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Données\Copie_ancien_DD\0-UPRT.fait\1-UPRT.FR-SITE-WEB\ff-fiches-fabrications\ff-fiches-fabrication-maj-08-2020\"/>
    </mc:Choice>
  </mc:AlternateContent>
  <xr:revisionPtr revIDLastSave="0" documentId="13_ncr:1_{1E039816-6832-481C-9E34-D5A462416B2B}" xr6:coauthVersionLast="47" xr6:coauthVersionMax="47" xr10:uidLastSave="{00000000-0000-0000-0000-000000000000}"/>
  <bookViews>
    <workbookView xWindow="-120" yWindow="-120" windowWidth="29040" windowHeight="15720" xr2:uid="{00000000-000D-0000-FFFF-FFFF00000000}"/>
  </bookViews>
  <sheets>
    <sheet name="Nota" sheetId="9" r:id="rId1"/>
    <sheet name="différence Portion et Poids" sheetId="28" r:id="rId2"/>
    <sheet name="aides cuisine" sheetId="24" r:id="rId3"/>
    <sheet name="aides patisserie" sheetId="25" r:id="rId4"/>
    <sheet name="conversions" sheetId="21" r:id="rId5"/>
    <sheet name="pourcentages" sheetId="22" r:id="rId6"/>
    <sheet name="Plat en sauce en 5 étapes" sheetId="15" r:id="rId7"/>
    <sheet name="Date et heure" sheetId="44" r:id="rId8"/>
    <sheet name="Jours ouvrés" sheetId="52" r:id="rId9"/>
    <sheet name="comparer des offres" sheetId="23" r:id="rId10"/>
    <sheet name="Boulangerie-comment" sheetId="64" r:id="rId11"/>
    <sheet name="Franck Barbenoire" sheetId="20" r:id="rId12"/>
    <sheet name="Matou.Matheux" sheetId="38" r:id="rId13"/>
    <sheet name="Adobe.Flash.Player" sheetId="51" r:id="rId14"/>
    <sheet name="Comprendre pour Transmettre" sheetId="33" r:id="rId15"/>
    <sheet name="Informations de base" sheetId="40" r:id="rId16"/>
    <sheet name="Introduction aux fonctions" sheetId="41" r:id="rId17"/>
    <sheet name="Moyenne" sheetId="42" r:id="rId18"/>
    <sheet name="MIN et MAX" sheetId="43" r:id="rId19"/>
    <sheet name="Combiner texte et nombres" sheetId="45" r:id="rId20"/>
    <sheet name="Instructions SI" sheetId="46" r:id="rId21"/>
    <sheet name="RECHERCHEV" sheetId="47" r:id="rId22"/>
    <sheet name="Fonctions conditionnelles" sheetId="48" r:id="rId23"/>
    <sheet name="Assistant Fonction" sheetId="49" r:id="rId24"/>
    <sheet name="Erreurs dans les formules" sheetId="50" r:id="rId25"/>
    <sheet name="relations formules" sheetId="34" r:id="rId26"/>
    <sheet name="des.sites.de.référence" sheetId="39" r:id="rId27"/>
    <sheet name="Formats-Formules-Fonctions" sheetId="53" r:id="rId28"/>
    <sheet name="Formules-Fonctions.2" sheetId="60" r:id="rId29"/>
    <sheet name="Epurer.un.texte" sheetId="65" r:id="rId30"/>
    <sheet name="Epurer un texte2" sheetId="62" r:id="rId31"/>
    <sheet name="Cuisiniers.Pesez" sheetId="54" r:id="rId32"/>
    <sheet name="Vocabulaire" sheetId="55" r:id="rId33"/>
    <sheet name="Polices de Symboles" sheetId="56" r:id="rId34"/>
    <sheet name="Emoticones " sheetId="57" r:id="rId35"/>
    <sheet name="Tutos Youtube" sheetId="58" r:id="rId36"/>
    <sheet name="CODES COULEURS" sheetId="59" r:id="rId37"/>
  </sheets>
  <definedNames>
    <definedName name="_xlnm._FilterDatabase" localSheetId="22" hidden="1">'Fonctions conditionnelles'!$F$2:$H$14</definedName>
    <definedName name="_xlnm._FilterDatabase" localSheetId="15" hidden="1">'Informations de base'!$P$9:$Q$10</definedName>
    <definedName name="_xlnm._FilterDatabase" localSheetId="0" hidden="1">Nota!#REF!</definedName>
    <definedName name="_xlnm._FilterDatabase" localSheetId="32" hidden="1">Vocabulaire!#REF!</definedName>
    <definedName name="_xlnm.Print_Area" localSheetId="14">'Comprendre pour Transmettre'!$A$14:$AK$36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65" l="1"/>
  <c r="D33" i="65"/>
  <c r="E32" i="65"/>
  <c r="D32" i="65"/>
  <c r="E31" i="65"/>
  <c r="D31" i="65"/>
  <c r="E30" i="65"/>
  <c r="D30" i="65"/>
  <c r="E29" i="65"/>
  <c r="D29" i="65"/>
  <c r="E28" i="65"/>
  <c r="D28" i="65"/>
  <c r="E27" i="65"/>
  <c r="D27" i="65"/>
  <c r="E26" i="65"/>
  <c r="D26" i="65"/>
  <c r="E25" i="65"/>
  <c r="D25" i="65"/>
  <c r="E24" i="65"/>
  <c r="D24" i="65"/>
  <c r="E23" i="65"/>
  <c r="D23" i="65"/>
  <c r="E22" i="65"/>
  <c r="D22" i="65"/>
  <c r="E21" i="65"/>
  <c r="D21" i="65"/>
  <c r="E20" i="65"/>
  <c r="D20" i="65"/>
  <c r="D19" i="65"/>
  <c r="E19" i="65" s="1"/>
  <c r="E18" i="65"/>
  <c r="D18" i="65"/>
  <c r="E17" i="65"/>
  <c r="D17" i="65"/>
  <c r="D16" i="65"/>
  <c r="E16" i="65" s="1"/>
  <c r="D15" i="65"/>
  <c r="E15" i="65" s="1"/>
  <c r="E14" i="65"/>
  <c r="D14" i="65"/>
  <c r="A4" i="65"/>
  <c r="K63" i="64"/>
  <c r="O62" i="64"/>
  <c r="M62" i="64"/>
  <c r="K62" i="64"/>
  <c r="C63" i="64"/>
  <c r="G62" i="64"/>
  <c r="E62" i="64"/>
  <c r="C62" i="64"/>
  <c r="K53" i="64"/>
  <c r="O52" i="64"/>
  <c r="M52" i="64"/>
  <c r="K52" i="64"/>
  <c r="C53" i="64"/>
  <c r="G52" i="64"/>
  <c r="E52" i="64"/>
  <c r="C52" i="64"/>
  <c r="G42" i="64"/>
  <c r="O42" i="64"/>
  <c r="C457" i="64"/>
  <c r="H452" i="64"/>
  <c r="G452" i="64"/>
  <c r="K452" i="64" s="1"/>
  <c r="G450" i="64"/>
  <c r="K448" i="64"/>
  <c r="B448" i="64"/>
  <c r="A448" i="64"/>
  <c r="C444" i="64"/>
  <c r="I439" i="64"/>
  <c r="G439" i="64"/>
  <c r="F439" i="64"/>
  <c r="J439" i="64" s="1"/>
  <c r="G437" i="64"/>
  <c r="K435" i="64"/>
  <c r="B435" i="64"/>
  <c r="A435" i="64"/>
  <c r="D421" i="64"/>
  <c r="H421" i="64" s="1"/>
  <c r="H422" i="64" s="1"/>
  <c r="H415" i="64"/>
  <c r="H416" i="64" s="1"/>
  <c r="G409" i="64"/>
  <c r="D409" i="64"/>
  <c r="C409" i="64"/>
  <c r="H374" i="64"/>
  <c r="D374" i="64"/>
  <c r="C373" i="64"/>
  <c r="D369" i="64"/>
  <c r="G365" i="64"/>
  <c r="G356" i="64"/>
  <c r="G361" i="64" s="1"/>
  <c r="H361" i="64" s="1"/>
  <c r="H369" i="64" s="1"/>
  <c r="I349" i="64"/>
  <c r="I348" i="64"/>
  <c r="I350" i="64" s="1"/>
  <c r="I344" i="64"/>
  <c r="G334" i="64"/>
  <c r="I332" i="64"/>
  <c r="H330" i="64"/>
  <c r="I326" i="64"/>
  <c r="I316" i="64"/>
  <c r="B316" i="64"/>
  <c r="A316" i="64"/>
  <c r="A312" i="64"/>
  <c r="H297" i="64"/>
  <c r="C297" i="64"/>
  <c r="I295" i="64"/>
  <c r="G295" i="64"/>
  <c r="D295" i="64"/>
  <c r="B295" i="64"/>
  <c r="I294" i="64"/>
  <c r="G294" i="64"/>
  <c r="D294" i="64"/>
  <c r="B294" i="64"/>
  <c r="J292" i="64"/>
  <c r="E292" i="64"/>
  <c r="AN290" i="64"/>
  <c r="AC290" i="64"/>
  <c r="R290" i="64"/>
  <c r="J290" i="64"/>
  <c r="E290" i="64"/>
  <c r="AQ289" i="64"/>
  <c r="AO289" i="64"/>
  <c r="AN289" i="64"/>
  <c r="AF289" i="64"/>
  <c r="AD289" i="64"/>
  <c r="AC289" i="64"/>
  <c r="U289" i="64"/>
  <c r="S289" i="64"/>
  <c r="R289" i="64"/>
  <c r="AQ288" i="64"/>
  <c r="AF288" i="64"/>
  <c r="U288" i="64"/>
  <c r="J286" i="64"/>
  <c r="K286" i="64" s="1"/>
  <c r="I286" i="64"/>
  <c r="E286" i="64"/>
  <c r="F286" i="64" s="1"/>
  <c r="D286" i="64"/>
  <c r="AR284" i="64"/>
  <c r="AS284" i="64" s="1"/>
  <c r="AG284" i="64"/>
  <c r="AH284" i="64" s="1"/>
  <c r="V284" i="64"/>
  <c r="W284" i="64" s="1"/>
  <c r="AU280" i="64"/>
  <c r="AN280" i="64"/>
  <c r="AM280" i="64"/>
  <c r="AJ280" i="64"/>
  <c r="AC280" i="64"/>
  <c r="AB280" i="64"/>
  <c r="Y280" i="64"/>
  <c r="R280" i="64"/>
  <c r="Q280" i="64"/>
  <c r="J280" i="64"/>
  <c r="B280" i="64"/>
  <c r="A280" i="64"/>
  <c r="A276" i="64"/>
  <c r="H262" i="64"/>
  <c r="C262" i="64"/>
  <c r="I260" i="64"/>
  <c r="G260" i="64"/>
  <c r="J260" i="64" s="1"/>
  <c r="D260" i="64"/>
  <c r="B260" i="64"/>
  <c r="E260" i="64" s="1"/>
  <c r="I259" i="64"/>
  <c r="G259" i="64"/>
  <c r="D259" i="64"/>
  <c r="B259" i="64"/>
  <c r="J257" i="64"/>
  <c r="E257" i="64"/>
  <c r="AN255" i="64"/>
  <c r="AC255" i="64"/>
  <c r="R255" i="64"/>
  <c r="J255" i="64"/>
  <c r="E255" i="64"/>
  <c r="AQ254" i="64"/>
  <c r="AO254" i="64"/>
  <c r="AN254" i="64"/>
  <c r="AF254" i="64"/>
  <c r="AD254" i="64"/>
  <c r="AH254" i="64" s="1"/>
  <c r="AC254" i="64"/>
  <c r="U254" i="64"/>
  <c r="S254" i="64"/>
  <c r="R254" i="64"/>
  <c r="AQ253" i="64"/>
  <c r="AF253" i="64"/>
  <c r="U253" i="64"/>
  <c r="J251" i="64"/>
  <c r="I251" i="64"/>
  <c r="E251" i="64"/>
  <c r="D251" i="64"/>
  <c r="AR249" i="64"/>
  <c r="AG249" i="64"/>
  <c r="V249" i="64"/>
  <c r="AU245" i="64"/>
  <c r="AN245" i="64"/>
  <c r="AM245" i="64"/>
  <c r="AJ245" i="64"/>
  <c r="AC245" i="64"/>
  <c r="AB245" i="64"/>
  <c r="Y245" i="64"/>
  <c r="R245" i="64"/>
  <c r="Q245" i="64"/>
  <c r="J245" i="64"/>
  <c r="B245" i="64"/>
  <c r="A245" i="64"/>
  <c r="A241" i="64"/>
  <c r="H227" i="64"/>
  <c r="C227" i="64"/>
  <c r="I225" i="64"/>
  <c r="G225" i="64"/>
  <c r="J225" i="64" s="1"/>
  <c r="K225" i="64" s="1"/>
  <c r="D225" i="64"/>
  <c r="B225" i="64"/>
  <c r="E225" i="64" s="1"/>
  <c r="F225" i="64" s="1"/>
  <c r="I224" i="64"/>
  <c r="G224" i="64"/>
  <c r="D224" i="64"/>
  <c r="B224" i="64"/>
  <c r="J222" i="64"/>
  <c r="E222" i="64"/>
  <c r="J220" i="64"/>
  <c r="E220" i="64"/>
  <c r="AO215" i="64"/>
  <c r="AN215" i="64"/>
  <c r="AD215" i="64"/>
  <c r="AC215" i="64"/>
  <c r="S215" i="64"/>
  <c r="R215" i="64"/>
  <c r="AQ214" i="64"/>
  <c r="AO214" i="64"/>
  <c r="AN214" i="64"/>
  <c r="AF214" i="64"/>
  <c r="AD214" i="64"/>
  <c r="AC214" i="64"/>
  <c r="U214" i="64"/>
  <c r="S214" i="64"/>
  <c r="R214" i="64"/>
  <c r="J214" i="64"/>
  <c r="E214" i="64"/>
  <c r="AQ213" i="64"/>
  <c r="AF213" i="64"/>
  <c r="U213" i="64"/>
  <c r="I213" i="64"/>
  <c r="I215" i="64" s="1"/>
  <c r="J213" i="64" s="1"/>
  <c r="K213" i="64" s="1"/>
  <c r="D213" i="64"/>
  <c r="D215" i="64" s="1"/>
  <c r="E213" i="64" s="1"/>
  <c r="AT209" i="64"/>
  <c r="AI209" i="64"/>
  <c r="X209" i="64"/>
  <c r="AT207" i="64"/>
  <c r="AU207" i="64" s="1"/>
  <c r="AS207" i="64"/>
  <c r="AI207" i="64"/>
  <c r="AJ207" i="64" s="1"/>
  <c r="AH207" i="64"/>
  <c r="X207" i="64"/>
  <c r="Y207" i="64" s="1"/>
  <c r="W207" i="64"/>
  <c r="AU205" i="64"/>
  <c r="AN205" i="64"/>
  <c r="AM205" i="64"/>
  <c r="AJ205" i="64"/>
  <c r="AC205" i="64"/>
  <c r="AB205" i="64"/>
  <c r="Y205" i="64"/>
  <c r="R205" i="64"/>
  <c r="Q205" i="64"/>
  <c r="J205" i="64"/>
  <c r="B205" i="64"/>
  <c r="A205" i="64"/>
  <c r="A201" i="64"/>
  <c r="AO188" i="64"/>
  <c r="AN188" i="64"/>
  <c r="S188" i="64"/>
  <c r="R188" i="64"/>
  <c r="C188" i="64"/>
  <c r="B188" i="64"/>
  <c r="AQ187" i="64"/>
  <c r="AO187" i="64"/>
  <c r="AN187" i="64"/>
  <c r="U187" i="64"/>
  <c r="S187" i="64"/>
  <c r="R187" i="64"/>
  <c r="E187" i="64"/>
  <c r="C187" i="64"/>
  <c r="B187" i="64"/>
  <c r="AQ186" i="64"/>
  <c r="U186" i="64"/>
  <c r="E186" i="64"/>
  <c r="AT182" i="64"/>
  <c r="X182" i="64"/>
  <c r="H182" i="64"/>
  <c r="AT180" i="64"/>
  <c r="AS180" i="64"/>
  <c r="X180" i="64"/>
  <c r="W180" i="64"/>
  <c r="H180" i="64"/>
  <c r="G180" i="64"/>
  <c r="AU178" i="64"/>
  <c r="AN178" i="64"/>
  <c r="AM178" i="64"/>
  <c r="Y178" i="64"/>
  <c r="R178" i="64"/>
  <c r="Q178" i="64"/>
  <c r="I178" i="64"/>
  <c r="B178" i="64"/>
  <c r="A178" i="64"/>
  <c r="A173" i="64"/>
  <c r="H159" i="64"/>
  <c r="C159" i="64"/>
  <c r="I157" i="64"/>
  <c r="G157" i="64"/>
  <c r="D157" i="64"/>
  <c r="B157" i="64"/>
  <c r="I156" i="64"/>
  <c r="G156" i="64"/>
  <c r="D156" i="64"/>
  <c r="B156" i="64"/>
  <c r="J154" i="64"/>
  <c r="AN149" i="64"/>
  <c r="AC149" i="64"/>
  <c r="R149" i="64"/>
  <c r="AQ148" i="64"/>
  <c r="AO148" i="64"/>
  <c r="AN148" i="64"/>
  <c r="AF148" i="64"/>
  <c r="AD148" i="64"/>
  <c r="AC148" i="64"/>
  <c r="U148" i="64"/>
  <c r="S148" i="64"/>
  <c r="R148" i="64"/>
  <c r="AQ147" i="64"/>
  <c r="AF147" i="64"/>
  <c r="U147" i="64"/>
  <c r="I147" i="64"/>
  <c r="I149" i="64" s="1"/>
  <c r="D147" i="64"/>
  <c r="D149" i="64" s="1"/>
  <c r="AS141" i="64"/>
  <c r="AS143" i="64" s="1"/>
  <c r="AT142" i="64" s="1"/>
  <c r="AH141" i="64"/>
  <c r="AH143" i="64" s="1"/>
  <c r="W141" i="64"/>
  <c r="W143" i="64" s="1"/>
  <c r="AU139" i="64"/>
  <c r="AN139" i="64"/>
  <c r="AM139" i="64"/>
  <c r="AJ139" i="64"/>
  <c r="AC139" i="64"/>
  <c r="AB139" i="64"/>
  <c r="Y139" i="64"/>
  <c r="R139" i="64"/>
  <c r="Q139" i="64"/>
  <c r="J139" i="64"/>
  <c r="B139" i="64"/>
  <c r="A139" i="64"/>
  <c r="A134" i="64"/>
  <c r="R120" i="64"/>
  <c r="U119" i="64"/>
  <c r="S119" i="64"/>
  <c r="R119" i="64"/>
  <c r="U118" i="64"/>
  <c r="W113" i="64"/>
  <c r="W114" i="64" s="1"/>
  <c r="Y110" i="64"/>
  <c r="R110" i="64"/>
  <c r="Q110" i="64"/>
  <c r="H106" i="64"/>
  <c r="C106" i="64"/>
  <c r="I104" i="64"/>
  <c r="G104" i="64"/>
  <c r="D104" i="64"/>
  <c r="B104" i="64"/>
  <c r="I103" i="64"/>
  <c r="G103" i="64"/>
  <c r="D103" i="64"/>
  <c r="B103" i="64"/>
  <c r="J101" i="64"/>
  <c r="AN97" i="64"/>
  <c r="AC97" i="64"/>
  <c r="AQ96" i="64"/>
  <c r="AO96" i="64"/>
  <c r="AN96" i="64"/>
  <c r="AF96" i="64"/>
  <c r="AD96" i="64"/>
  <c r="AC96" i="64"/>
  <c r="I96" i="64"/>
  <c r="I97" i="64" s="1"/>
  <c r="D96" i="64"/>
  <c r="D97" i="64" s="1"/>
  <c r="AQ95" i="64"/>
  <c r="AF95" i="64"/>
  <c r="X95" i="64"/>
  <c r="X96" i="64" s="1"/>
  <c r="Y94" i="64" s="1"/>
  <c r="T95" i="64"/>
  <c r="T96" i="64" s="1"/>
  <c r="Y92" i="64"/>
  <c r="AS90" i="64"/>
  <c r="AS91" i="64" s="1"/>
  <c r="AH90" i="64"/>
  <c r="AH91" i="64" s="1"/>
  <c r="AU87" i="64"/>
  <c r="AN87" i="64"/>
  <c r="AM87" i="64"/>
  <c r="AJ87" i="64"/>
  <c r="AC87" i="64"/>
  <c r="AB87" i="64"/>
  <c r="Y87" i="64"/>
  <c r="R87" i="64"/>
  <c r="Q87" i="64"/>
  <c r="J87" i="64"/>
  <c r="B87" i="64"/>
  <c r="A87" i="64"/>
  <c r="A83" i="64"/>
  <c r="G75" i="64"/>
  <c r="G76" i="64" s="1"/>
  <c r="H72" i="64"/>
  <c r="B72" i="64"/>
  <c r="A71" i="64"/>
  <c r="C60" i="64"/>
  <c r="M59" i="64"/>
  <c r="E59" i="64"/>
  <c r="M49" i="64"/>
  <c r="E49" i="64"/>
  <c r="C49" i="64"/>
  <c r="K40" i="64"/>
  <c r="K43" i="64"/>
  <c r="C43" i="64"/>
  <c r="M39" i="64"/>
  <c r="K42" i="64"/>
  <c r="E39" i="64"/>
  <c r="C39" i="64"/>
  <c r="C42" i="64"/>
  <c r="M42" i="64"/>
  <c r="E42" i="64"/>
  <c r="G31" i="64"/>
  <c r="G32" i="64" s="1"/>
  <c r="H31" i="64" s="1"/>
  <c r="H28" i="64"/>
  <c r="B28" i="64"/>
  <c r="A27" i="64"/>
  <c r="E67" i="9"/>
  <c r="H59" i="64"/>
  <c r="AT254" i="64"/>
  <c r="E226" i="64"/>
  <c r="H39" i="64"/>
  <c r="O60" i="64"/>
  <c r="H187" i="64"/>
  <c r="J296" i="64"/>
  <c r="J261" i="64"/>
  <c r="AI148" i="64"/>
  <c r="E296" i="64"/>
  <c r="H49" i="64"/>
  <c r="AS290" i="64"/>
  <c r="X119" i="64"/>
  <c r="X254" i="64"/>
  <c r="E261" i="64"/>
  <c r="E105" i="64"/>
  <c r="J105" i="64"/>
  <c r="AH215" i="64"/>
  <c r="J226" i="64"/>
  <c r="P49" i="64"/>
  <c r="W215" i="64"/>
  <c r="E158" i="64"/>
  <c r="W290" i="64"/>
  <c r="AT148" i="64"/>
  <c r="J158" i="64"/>
  <c r="AH290" i="64"/>
  <c r="O40" i="64"/>
  <c r="AS215" i="64"/>
  <c r="X187" i="64"/>
  <c r="AI254" i="64"/>
  <c r="X148" i="64"/>
  <c r="AT187" i="64"/>
  <c r="AI96" i="64"/>
  <c r="AT96" i="64"/>
  <c r="W289" i="64" l="1"/>
  <c r="X289" i="64" s="1"/>
  <c r="AH289" i="64"/>
  <c r="AI289" i="64" s="1"/>
  <c r="E295" i="64"/>
  <c r="K439" i="64"/>
  <c r="I440" i="64" s="1"/>
  <c r="H440" i="64" s="1"/>
  <c r="G265" i="64"/>
  <c r="H265" i="64" s="1"/>
  <c r="X113" i="64"/>
  <c r="X112" i="64"/>
  <c r="S120" i="64"/>
  <c r="AS254" i="64"/>
  <c r="J295" i="64"/>
  <c r="W119" i="64"/>
  <c r="G187" i="64"/>
  <c r="E215" i="64"/>
  <c r="AH214" i="64"/>
  <c r="AI214" i="64" s="1"/>
  <c r="J95" i="64"/>
  <c r="J96" i="64"/>
  <c r="G105" i="64"/>
  <c r="J104" i="64" s="1"/>
  <c r="W214" i="64"/>
  <c r="X214" i="64" s="1"/>
  <c r="AS289" i="64"/>
  <c r="AT289" i="64" s="1"/>
  <c r="J215" i="64"/>
  <c r="W187" i="64"/>
  <c r="AS214" i="64"/>
  <c r="AT214" i="64" s="1"/>
  <c r="W254" i="64"/>
  <c r="AS187" i="64"/>
  <c r="X142" i="64"/>
  <c r="X141" i="64"/>
  <c r="S149" i="64"/>
  <c r="W148" i="64" s="1"/>
  <c r="AI141" i="64"/>
  <c r="AI142" i="64"/>
  <c r="AI143" i="64" s="1"/>
  <c r="AD149" i="64"/>
  <c r="AH148" i="64" s="1"/>
  <c r="H75" i="64"/>
  <c r="H74" i="64"/>
  <c r="AD97" i="64"/>
  <c r="AH96" i="64" s="1"/>
  <c r="AI90" i="64"/>
  <c r="AI89" i="64"/>
  <c r="AT90" i="64"/>
  <c r="AT89" i="64"/>
  <c r="AO97" i="64"/>
  <c r="AS96" i="64" s="1"/>
  <c r="U95" i="64"/>
  <c r="U94" i="64"/>
  <c r="I453" i="64"/>
  <c r="K453" i="64" s="1"/>
  <c r="H453" i="64"/>
  <c r="E148" i="64"/>
  <c r="B158" i="64"/>
  <c r="E157" i="64" s="1"/>
  <c r="E147" i="64"/>
  <c r="J147" i="64"/>
  <c r="J148" i="64"/>
  <c r="G158" i="64"/>
  <c r="J157" i="64" s="1"/>
  <c r="G230" i="64"/>
  <c r="H230" i="64" s="1"/>
  <c r="F213" i="64"/>
  <c r="E96" i="64"/>
  <c r="E95" i="64"/>
  <c r="B105" i="64"/>
  <c r="E104" i="64" s="1"/>
  <c r="AO149" i="64"/>
  <c r="AS148" i="64" s="1"/>
  <c r="G300" i="64"/>
  <c r="H300" i="64" s="1"/>
  <c r="AT141" i="64"/>
  <c r="AT143" i="64" s="1"/>
  <c r="H30" i="64"/>
  <c r="C50" i="64"/>
  <c r="G49" i="64" s="1"/>
  <c r="Y95" i="64"/>
  <c r="Y96" i="64" s="1"/>
  <c r="C40" i="64"/>
  <c r="G39" i="64" s="1"/>
  <c r="J11" i="25"/>
  <c r="J8" i="25"/>
  <c r="J14" i="25"/>
  <c r="E37" i="62"/>
  <c r="F37" i="62" s="1"/>
  <c r="T36" i="62"/>
  <c r="S36" i="62"/>
  <c r="R36" i="62"/>
  <c r="P36" i="62"/>
  <c r="N36" i="62"/>
  <c r="M36" i="62"/>
  <c r="E36" i="62"/>
  <c r="F36" i="62" s="1"/>
  <c r="G36" i="62" s="1"/>
  <c r="I36" i="62" s="1"/>
  <c r="H36" i="62" s="1"/>
  <c r="B36" i="62" s="1"/>
  <c r="O36" i="62" s="1"/>
  <c r="T35" i="62"/>
  <c r="S35" i="62"/>
  <c r="R35" i="62"/>
  <c r="P35" i="62"/>
  <c r="N35" i="62"/>
  <c r="M35" i="62"/>
  <c r="E35" i="62"/>
  <c r="F35" i="62" s="1"/>
  <c r="G35" i="62" s="1"/>
  <c r="I35" i="62" s="1"/>
  <c r="H35" i="62" s="1"/>
  <c r="B35" i="62" s="1"/>
  <c r="O35" i="62" s="1"/>
  <c r="T34" i="62"/>
  <c r="S34" i="62"/>
  <c r="R34" i="62"/>
  <c r="P34" i="62"/>
  <c r="N34" i="62"/>
  <c r="M34" i="62"/>
  <c r="E34" i="62"/>
  <c r="F34" i="62" s="1"/>
  <c r="G34" i="62" s="1"/>
  <c r="I34" i="62" s="1"/>
  <c r="H34" i="62" s="1"/>
  <c r="B34" i="62" s="1"/>
  <c r="O34" i="62" s="1"/>
  <c r="T33" i="62"/>
  <c r="S33" i="62"/>
  <c r="R33" i="62"/>
  <c r="P33" i="62"/>
  <c r="N33" i="62"/>
  <c r="M33" i="62"/>
  <c r="F33" i="62"/>
  <c r="G33" i="62" s="1"/>
  <c r="I33" i="62" s="1"/>
  <c r="H33" i="62" s="1"/>
  <c r="B33" i="62" s="1"/>
  <c r="O33" i="62" s="1"/>
  <c r="E33" i="62"/>
  <c r="T32" i="62"/>
  <c r="S32" i="62"/>
  <c r="R32" i="62"/>
  <c r="P32" i="62"/>
  <c r="N32" i="62"/>
  <c r="M32" i="62"/>
  <c r="E32" i="62"/>
  <c r="F32" i="62" s="1"/>
  <c r="G32" i="62" s="1"/>
  <c r="I32" i="62" s="1"/>
  <c r="H32" i="62" s="1"/>
  <c r="B32" i="62" s="1"/>
  <c r="O32" i="62" s="1"/>
  <c r="T31" i="62"/>
  <c r="S31" i="62"/>
  <c r="R31" i="62"/>
  <c r="P31" i="62"/>
  <c r="N31" i="62"/>
  <c r="M31" i="62"/>
  <c r="E31" i="62"/>
  <c r="F31" i="62" s="1"/>
  <c r="G31" i="62" s="1"/>
  <c r="I31" i="62" s="1"/>
  <c r="H31" i="62" s="1"/>
  <c r="B31" i="62" s="1"/>
  <c r="O31" i="62" s="1"/>
  <c r="T30" i="62"/>
  <c r="S30" i="62"/>
  <c r="R30" i="62"/>
  <c r="P30" i="62"/>
  <c r="N30" i="62"/>
  <c r="M30" i="62"/>
  <c r="E30" i="62"/>
  <c r="F30" i="62" s="1"/>
  <c r="G30" i="62" s="1"/>
  <c r="I30" i="62" s="1"/>
  <c r="H30" i="62" s="1"/>
  <c r="B30" i="62" s="1"/>
  <c r="O30" i="62" s="1"/>
  <c r="T29" i="62"/>
  <c r="S29" i="62"/>
  <c r="R29" i="62"/>
  <c r="P29" i="62"/>
  <c r="N29" i="62"/>
  <c r="M29" i="62"/>
  <c r="F29" i="62"/>
  <c r="G29" i="62" s="1"/>
  <c r="I29" i="62" s="1"/>
  <c r="H29" i="62" s="1"/>
  <c r="B29" i="62" s="1"/>
  <c r="O29" i="62" s="1"/>
  <c r="E29" i="62"/>
  <c r="T28" i="62"/>
  <c r="S28" i="62"/>
  <c r="R28" i="62"/>
  <c r="P28" i="62"/>
  <c r="N28" i="62"/>
  <c r="M28" i="62"/>
  <c r="G28" i="62"/>
  <c r="I28" i="62" s="1"/>
  <c r="H28" i="62" s="1"/>
  <c r="B28" i="62" s="1"/>
  <c r="O28" i="62" s="1"/>
  <c r="F28" i="62"/>
  <c r="E28" i="62"/>
  <c r="T27" i="62"/>
  <c r="S27" i="62"/>
  <c r="R27" i="62"/>
  <c r="P27" i="62"/>
  <c r="N27" i="62"/>
  <c r="M27" i="62"/>
  <c r="F27" i="62"/>
  <c r="G27" i="62" s="1"/>
  <c r="I27" i="62" s="1"/>
  <c r="H27" i="62" s="1"/>
  <c r="B27" i="62" s="1"/>
  <c r="O27" i="62" s="1"/>
  <c r="E27" i="62"/>
  <c r="T26" i="62"/>
  <c r="S26" i="62"/>
  <c r="R26" i="62"/>
  <c r="P26" i="62"/>
  <c r="N26" i="62"/>
  <c r="M26" i="62"/>
  <c r="E26" i="62"/>
  <c r="F26" i="62" s="1"/>
  <c r="G26" i="62" s="1"/>
  <c r="I26" i="62" s="1"/>
  <c r="H26" i="62" s="1"/>
  <c r="B26" i="62" s="1"/>
  <c r="O26" i="62" s="1"/>
  <c r="T25" i="62"/>
  <c r="S25" i="62"/>
  <c r="R25" i="62"/>
  <c r="P25" i="62"/>
  <c r="N25" i="62"/>
  <c r="M25" i="62"/>
  <c r="E25" i="62"/>
  <c r="F25" i="62" s="1"/>
  <c r="G25" i="62" s="1"/>
  <c r="I25" i="62" s="1"/>
  <c r="H25" i="62" s="1"/>
  <c r="B25" i="62" s="1"/>
  <c r="O25" i="62" s="1"/>
  <c r="P24" i="62"/>
  <c r="N24" i="62"/>
  <c r="M24" i="62"/>
  <c r="E24" i="62"/>
  <c r="F24" i="62" s="1"/>
  <c r="G24" i="62" s="1"/>
  <c r="I24" i="62" s="1"/>
  <c r="H24" i="62" s="1"/>
  <c r="B24" i="62" s="1"/>
  <c r="O24" i="62" s="1"/>
  <c r="P23" i="62"/>
  <c r="N23" i="62"/>
  <c r="M23" i="62"/>
  <c r="E23" i="62"/>
  <c r="F23" i="62" s="1"/>
  <c r="G23" i="62" s="1"/>
  <c r="I23" i="62" s="1"/>
  <c r="H23" i="62" s="1"/>
  <c r="B23" i="62" s="1"/>
  <c r="O23" i="62" s="1"/>
  <c r="P22" i="62"/>
  <c r="N22" i="62"/>
  <c r="M22" i="62"/>
  <c r="E22" i="62"/>
  <c r="F22" i="62" s="1"/>
  <c r="G22" i="62" s="1"/>
  <c r="I22" i="62" s="1"/>
  <c r="H22" i="62" s="1"/>
  <c r="B22" i="62" s="1"/>
  <c r="O22" i="62" s="1"/>
  <c r="P21" i="62"/>
  <c r="N21" i="62"/>
  <c r="M21" i="62"/>
  <c r="F21" i="62"/>
  <c r="G21" i="62" s="1"/>
  <c r="I21" i="62" s="1"/>
  <c r="H21" i="62" s="1"/>
  <c r="B21" i="62" s="1"/>
  <c r="O21" i="62" s="1"/>
  <c r="E21" i="62"/>
  <c r="P20" i="62"/>
  <c r="N20" i="62"/>
  <c r="M20" i="62"/>
  <c r="E20" i="62"/>
  <c r="F20" i="62" s="1"/>
  <c r="G20" i="62" s="1"/>
  <c r="I20" i="62" s="1"/>
  <c r="H20" i="62" s="1"/>
  <c r="B20" i="62" s="1"/>
  <c r="O20" i="62" s="1"/>
  <c r="T19" i="62"/>
  <c r="S19" i="62"/>
  <c r="R19" i="62"/>
  <c r="P19" i="62"/>
  <c r="N19" i="62"/>
  <c r="M19" i="62"/>
  <c r="E19" i="62"/>
  <c r="F19" i="62" s="1"/>
  <c r="G19" i="62" s="1"/>
  <c r="I19" i="62" s="1"/>
  <c r="H19" i="62" s="1"/>
  <c r="B19" i="62" s="1"/>
  <c r="O19" i="62" s="1"/>
  <c r="P18" i="62"/>
  <c r="N18" i="62"/>
  <c r="M18" i="62"/>
  <c r="E18" i="62"/>
  <c r="F18" i="62" s="1"/>
  <c r="G18" i="62" s="1"/>
  <c r="I18" i="62" s="1"/>
  <c r="H18" i="62" s="1"/>
  <c r="B18" i="62" s="1"/>
  <c r="O18" i="62" s="1"/>
  <c r="T17" i="62"/>
  <c r="S17" i="62"/>
  <c r="R17" i="62"/>
  <c r="P17" i="62"/>
  <c r="N17" i="62"/>
  <c r="M17" i="62"/>
  <c r="F17" i="62"/>
  <c r="G17" i="62" s="1"/>
  <c r="I17" i="62" s="1"/>
  <c r="H17" i="62" s="1"/>
  <c r="B17" i="62" s="1"/>
  <c r="O17" i="62" s="1"/>
  <c r="E17" i="62"/>
  <c r="P16" i="62"/>
  <c r="N16" i="62"/>
  <c r="M16" i="62"/>
  <c r="E16" i="62"/>
  <c r="F16" i="62" s="1"/>
  <c r="G16" i="62" s="1"/>
  <c r="I16" i="62" s="1"/>
  <c r="H16" i="62" s="1"/>
  <c r="B16" i="62" s="1"/>
  <c r="O16" i="62" s="1"/>
  <c r="T15" i="62"/>
  <c r="S15" i="62"/>
  <c r="R15" i="62"/>
  <c r="P15" i="62"/>
  <c r="N15" i="62"/>
  <c r="M15" i="62"/>
  <c r="E15" i="62"/>
  <c r="F15" i="62" s="1"/>
  <c r="G15" i="62" s="1"/>
  <c r="I15" i="62" s="1"/>
  <c r="H15" i="62" s="1"/>
  <c r="B15" i="62" s="1"/>
  <c r="O15" i="62" s="1"/>
  <c r="P14" i="62"/>
  <c r="N14" i="62"/>
  <c r="M14" i="62"/>
  <c r="E14" i="62"/>
  <c r="F14" i="62" s="1"/>
  <c r="G14" i="62" s="1"/>
  <c r="I14" i="62" s="1"/>
  <c r="H14" i="62" s="1"/>
  <c r="T9" i="62"/>
  <c r="R9" i="62"/>
  <c r="Q9" i="62"/>
  <c r="O9" i="62"/>
  <c r="M9" i="62"/>
  <c r="K9" i="62"/>
  <c r="D9" i="62"/>
  <c r="C9" i="62"/>
  <c r="B9" i="62"/>
  <c r="C48" i="60"/>
  <c r="O23" i="60"/>
  <c r="O24" i="60"/>
  <c r="O22" i="60"/>
  <c r="O21" i="60"/>
  <c r="P18" i="60"/>
  <c r="P17" i="60"/>
  <c r="C17" i="60"/>
  <c r="H133" i="60"/>
  <c r="G133" i="60"/>
  <c r="F133" i="60"/>
  <c r="E133" i="60"/>
  <c r="D133" i="60"/>
  <c r="C133" i="60"/>
  <c r="B133" i="60"/>
  <c r="H130" i="60"/>
  <c r="I120" i="60"/>
  <c r="I119" i="60"/>
  <c r="G119" i="60"/>
  <c r="J120" i="60" s="1"/>
  <c r="M118" i="60"/>
  <c r="I118" i="60"/>
  <c r="F118" i="60"/>
  <c r="E118" i="60"/>
  <c r="J118" i="60" s="1"/>
  <c r="I116" i="60"/>
  <c r="I115" i="60"/>
  <c r="G115" i="60"/>
  <c r="G118" i="60" s="1"/>
  <c r="F115" i="60"/>
  <c r="H115" i="60" s="1"/>
  <c r="H112" i="60" s="1"/>
  <c r="I113" i="60"/>
  <c r="H113" i="60"/>
  <c r="G113" i="60"/>
  <c r="J113" i="60" s="1"/>
  <c r="I112" i="60"/>
  <c r="G112" i="60"/>
  <c r="J112" i="60" s="1"/>
  <c r="I110" i="60"/>
  <c r="I109" i="60"/>
  <c r="I108" i="60"/>
  <c r="I107" i="60"/>
  <c r="C107" i="60"/>
  <c r="B107" i="60"/>
  <c r="I106" i="60"/>
  <c r="G106" i="60"/>
  <c r="J106" i="60" s="1"/>
  <c r="H105" i="60"/>
  <c r="H102" i="60"/>
  <c r="G102" i="60"/>
  <c r="F102" i="60"/>
  <c r="E102" i="60"/>
  <c r="D102" i="60"/>
  <c r="C102" i="60"/>
  <c r="B102" i="60"/>
  <c r="H99" i="60"/>
  <c r="P35" i="60"/>
  <c r="O35" i="60"/>
  <c r="N35" i="60"/>
  <c r="M35" i="60"/>
  <c r="L35" i="60"/>
  <c r="K35" i="60"/>
  <c r="J35" i="60"/>
  <c r="I89" i="60"/>
  <c r="I88" i="60"/>
  <c r="G88" i="60"/>
  <c r="J89" i="60" s="1"/>
  <c r="I87" i="60"/>
  <c r="F87" i="60"/>
  <c r="E87" i="60"/>
  <c r="E88" i="60" s="1"/>
  <c r="J88" i="60" s="1"/>
  <c r="I84" i="60"/>
  <c r="F84" i="60"/>
  <c r="H84" i="60" s="1"/>
  <c r="I82" i="60"/>
  <c r="I81" i="60"/>
  <c r="G81" i="60"/>
  <c r="J81" i="60" s="1"/>
  <c r="I79" i="60"/>
  <c r="I78" i="60"/>
  <c r="I77" i="60"/>
  <c r="I76" i="60"/>
  <c r="C76" i="60"/>
  <c r="B76" i="60"/>
  <c r="I75" i="60"/>
  <c r="G75" i="60"/>
  <c r="J75" i="60" s="1"/>
  <c r="I74" i="60"/>
  <c r="I71" i="60"/>
  <c r="C46" i="60"/>
  <c r="C44" i="60"/>
  <c r="C32" i="60"/>
  <c r="C29" i="60"/>
  <c r="C26" i="60"/>
  <c r="C23" i="60"/>
  <c r="C20" i="60"/>
  <c r="D9" i="60"/>
  <c r="C9" i="60"/>
  <c r="E35" i="60" s="1"/>
  <c r="B9" i="60"/>
  <c r="K119" i="60"/>
  <c r="D23" i="60"/>
  <c r="K76" i="60"/>
  <c r="D20" i="60"/>
  <c r="P23" i="60"/>
  <c r="Q18" i="60"/>
  <c r="N118" i="60"/>
  <c r="K87" i="60"/>
  <c r="D29" i="60"/>
  <c r="K84" i="60"/>
  <c r="J71" i="60"/>
  <c r="K78" i="60"/>
  <c r="D46" i="60"/>
  <c r="K118" i="60"/>
  <c r="D44" i="60"/>
  <c r="K89" i="60"/>
  <c r="J15" i="25"/>
  <c r="K110" i="60"/>
  <c r="K79" i="60"/>
  <c r="K116" i="60"/>
  <c r="K81" i="60"/>
  <c r="D32" i="60"/>
  <c r="D26" i="60"/>
  <c r="Q17" i="60"/>
  <c r="J72" i="60"/>
  <c r="D17" i="60"/>
  <c r="B11" i="62"/>
  <c r="D48" i="60"/>
  <c r="K108" i="60"/>
  <c r="K88" i="60"/>
  <c r="P24" i="60"/>
  <c r="K75" i="60"/>
  <c r="P22" i="60"/>
  <c r="K112" i="60"/>
  <c r="K120" i="60"/>
  <c r="K107" i="60"/>
  <c r="K109" i="60"/>
  <c r="K106" i="60"/>
  <c r="K77" i="60"/>
  <c r="K113" i="60"/>
  <c r="K115" i="60"/>
  <c r="P21" i="60"/>
  <c r="E9" i="60"/>
  <c r="K82" i="60"/>
  <c r="J440" i="64" l="1"/>
  <c r="AI91" i="64"/>
  <c r="X114" i="64"/>
  <c r="J149" i="64"/>
  <c r="K440" i="64"/>
  <c r="AT91" i="64"/>
  <c r="J97" i="64"/>
  <c r="G162" i="64"/>
  <c r="E149" i="64"/>
  <c r="N76" i="64"/>
  <c r="J76" i="64"/>
  <c r="K76" i="64" s="1"/>
  <c r="P76" i="64"/>
  <c r="Q76" i="64" s="1"/>
  <c r="H76" i="64"/>
  <c r="L76" i="64"/>
  <c r="M76" i="64" s="1"/>
  <c r="U96" i="64"/>
  <c r="W98" i="64"/>
  <c r="E97" i="64"/>
  <c r="G109" i="64"/>
  <c r="K59" i="64"/>
  <c r="O59" i="64" s="1"/>
  <c r="P59" i="64" s="1"/>
  <c r="K39" i="64"/>
  <c r="O39" i="64" s="1"/>
  <c r="P39" i="64" s="1"/>
  <c r="H32" i="64"/>
  <c r="C59" i="64"/>
  <c r="G59" i="64" s="1"/>
  <c r="K49" i="64"/>
  <c r="O49" i="64" s="1"/>
  <c r="J32" i="64"/>
  <c r="K32" i="64" s="1"/>
  <c r="L32" i="64"/>
  <c r="M32" i="64" s="1"/>
  <c r="P32" i="64"/>
  <c r="Q32" i="64" s="1"/>
  <c r="N32" i="64"/>
  <c r="X143" i="64"/>
  <c r="T18" i="62"/>
  <c r="S18" i="62"/>
  <c r="R18" i="62"/>
  <c r="S22" i="62"/>
  <c r="R22" i="62"/>
  <c r="T22" i="62"/>
  <c r="R21" i="62"/>
  <c r="T21" i="62"/>
  <c r="S21" i="62"/>
  <c r="S16" i="62"/>
  <c r="T16" i="62"/>
  <c r="R16" i="62"/>
  <c r="S20" i="62"/>
  <c r="T20" i="62"/>
  <c r="R20" i="62"/>
  <c r="S23" i="62"/>
  <c r="R23" i="62"/>
  <c r="T23" i="62"/>
  <c r="R24" i="62"/>
  <c r="S24" i="62"/>
  <c r="T24" i="62"/>
  <c r="B14" i="62"/>
  <c r="O14" i="62" s="1"/>
  <c r="B12" i="62"/>
  <c r="E77" i="60"/>
  <c r="J76" i="60" s="1"/>
  <c r="E119" i="60"/>
  <c r="J119" i="60" s="1"/>
  <c r="J87" i="60"/>
  <c r="E82" i="60"/>
  <c r="J82" i="60" s="1"/>
  <c r="J115" i="60"/>
  <c r="H87" i="60"/>
  <c r="H81" i="60"/>
  <c r="I72" i="60" s="1"/>
  <c r="G84" i="60"/>
  <c r="H118" i="60"/>
  <c r="E108" i="60"/>
  <c r="J116" i="60"/>
  <c r="T14" i="62" l="1"/>
  <c r="S14" i="62"/>
  <c r="R14" i="62"/>
  <c r="H74" i="60"/>
  <c r="F77" i="60"/>
  <c r="J77" i="60" s="1"/>
  <c r="J107" i="60"/>
  <c r="F108" i="60"/>
  <c r="J84" i="60"/>
  <c r="G87" i="60"/>
  <c r="H77" i="60" l="1"/>
  <c r="J79" i="60" s="1"/>
  <c r="J108" i="60"/>
  <c r="G108" i="60"/>
  <c r="J109" i="60" s="1"/>
  <c r="H108" i="60"/>
  <c r="J110" i="60" s="1"/>
  <c r="G77" i="60" l="1"/>
  <c r="J78" i="60" s="1"/>
  <c r="O7" i="59"/>
  <c r="O8" i="58"/>
  <c r="AB1" i="57"/>
  <c r="Q135" i="56"/>
  <c r="D135" i="56"/>
  <c r="Q93" i="56"/>
  <c r="D93" i="56"/>
  <c r="Q51" i="56"/>
  <c r="D51" i="56"/>
  <c r="Q9" i="56"/>
  <c r="D9" i="56"/>
  <c r="B7" i="56"/>
  <c r="V6" i="55"/>
  <c r="L6" i="55"/>
  <c r="B6" i="55"/>
  <c r="B7" i="55" s="1"/>
  <c r="AH5" i="55"/>
  <c r="I1" i="55"/>
  <c r="C824" i="54"/>
  <c r="K817" i="54"/>
  <c r="J817" i="54"/>
  <c r="I817" i="54"/>
  <c r="H817" i="54"/>
  <c r="G817" i="54"/>
  <c r="M816" i="54"/>
  <c r="K814" i="54"/>
  <c r="J814" i="54"/>
  <c r="I814" i="54"/>
  <c r="H814" i="54"/>
  <c r="G814" i="54"/>
  <c r="M813" i="54"/>
  <c r="K813" i="54"/>
  <c r="K816" i="54" s="1"/>
  <c r="J813" i="54"/>
  <c r="J816" i="54" s="1"/>
  <c r="I813" i="54"/>
  <c r="I816" i="54" s="1"/>
  <c r="H813" i="54"/>
  <c r="H816" i="54" s="1"/>
  <c r="G813" i="54"/>
  <c r="G816" i="54" s="1"/>
  <c r="L812" i="54"/>
  <c r="K806" i="54"/>
  <c r="J806" i="54"/>
  <c r="I806" i="54"/>
  <c r="H806" i="54"/>
  <c r="G806" i="54"/>
  <c r="L805" i="54"/>
  <c r="C788" i="54"/>
  <c r="K781" i="54"/>
  <c r="J781" i="54"/>
  <c r="I781" i="54"/>
  <c r="H781" i="54"/>
  <c r="G781" i="54"/>
  <c r="M780" i="54"/>
  <c r="K778" i="54"/>
  <c r="J778" i="54"/>
  <c r="I778" i="54"/>
  <c r="H778" i="54"/>
  <c r="G778" i="54"/>
  <c r="M777" i="54"/>
  <c r="K777" i="54"/>
  <c r="K780" i="54" s="1"/>
  <c r="J777" i="54"/>
  <c r="J780" i="54" s="1"/>
  <c r="I777" i="54"/>
  <c r="I780" i="54" s="1"/>
  <c r="H777" i="54"/>
  <c r="H780" i="54" s="1"/>
  <c r="G777" i="54"/>
  <c r="G780" i="54" s="1"/>
  <c r="L776" i="54"/>
  <c r="L775" i="54"/>
  <c r="I754" i="54"/>
  <c r="I755" i="54" s="1"/>
  <c r="H754" i="54"/>
  <c r="H755" i="54" s="1"/>
  <c r="G754" i="54"/>
  <c r="G755" i="54" s="1"/>
  <c r="F754" i="54"/>
  <c r="J751" i="54"/>
  <c r="G738" i="54"/>
  <c r="G737" i="54"/>
  <c r="G736" i="54"/>
  <c r="G735" i="54"/>
  <c r="G734" i="54"/>
  <c r="G733" i="54"/>
  <c r="G732" i="54"/>
  <c r="G731" i="54"/>
  <c r="G730" i="54"/>
  <c r="G729" i="54"/>
  <c r="G728" i="54"/>
  <c r="G727" i="54"/>
  <c r="G724" i="54"/>
  <c r="M718" i="54"/>
  <c r="L718" i="54"/>
  <c r="J718" i="54"/>
  <c r="M717" i="54"/>
  <c r="L717" i="54"/>
  <c r="J717" i="54"/>
  <c r="L711" i="54"/>
  <c r="L710" i="54"/>
  <c r="D701" i="54"/>
  <c r="J701" i="54" s="1"/>
  <c r="I701" i="54" s="1"/>
  <c r="C701" i="54" s="1"/>
  <c r="E701" i="54" s="1"/>
  <c r="D700" i="54"/>
  <c r="J700" i="54" s="1"/>
  <c r="I700" i="54" s="1"/>
  <c r="C700" i="54" s="1"/>
  <c r="J699" i="54"/>
  <c r="I699" i="54" s="1"/>
  <c r="C699" i="54" s="1"/>
  <c r="E699" i="54" s="1"/>
  <c r="D699" i="54"/>
  <c r="D698" i="54"/>
  <c r="J698" i="54" s="1"/>
  <c r="I698" i="54" s="1"/>
  <c r="C698" i="54" s="1"/>
  <c r="D697" i="54"/>
  <c r="J697" i="54" s="1"/>
  <c r="I697" i="54" s="1"/>
  <c r="C697" i="54" s="1"/>
  <c r="E697" i="54" s="1"/>
  <c r="G671" i="54"/>
  <c r="G669" i="54"/>
  <c r="G667" i="54"/>
  <c r="L665" i="54"/>
  <c r="K665" i="54"/>
  <c r="J665" i="54"/>
  <c r="I665" i="54"/>
  <c r="H665" i="54"/>
  <c r="G663" i="54"/>
  <c r="G662" i="54"/>
  <c r="G661" i="54"/>
  <c r="G660" i="54"/>
  <c r="G659" i="54"/>
  <c r="G656" i="54"/>
  <c r="J653" i="54"/>
  <c r="G653" i="54"/>
  <c r="C651" i="54"/>
  <c r="F644" i="54"/>
  <c r="G636" i="54"/>
  <c r="G641" i="54" s="1"/>
  <c r="H641" i="54" s="1"/>
  <c r="K641" i="54" s="1"/>
  <c r="G634" i="54"/>
  <c r="F599" i="54"/>
  <c r="H599" i="54" s="1"/>
  <c r="F598" i="54"/>
  <c r="H598" i="54" s="1"/>
  <c r="F597" i="54"/>
  <c r="H597" i="54" s="1"/>
  <c r="F596" i="54"/>
  <c r="H596" i="54" s="1"/>
  <c r="H595" i="54"/>
  <c r="F595" i="54"/>
  <c r="F594" i="54"/>
  <c r="H594" i="54" s="1"/>
  <c r="B593" i="54"/>
  <c r="D592" i="54" s="1"/>
  <c r="G588" i="54"/>
  <c r="H588" i="54" s="1"/>
  <c r="H585" i="54"/>
  <c r="M578" i="54"/>
  <c r="N578" i="54" s="1"/>
  <c r="M575" i="54"/>
  <c r="N575" i="54" s="1"/>
  <c r="H574" i="54"/>
  <c r="H575" i="54" s="1"/>
  <c r="N567" i="54"/>
  <c r="N568" i="54" s="1"/>
  <c r="H567" i="54"/>
  <c r="H568" i="54" s="1"/>
  <c r="N566" i="54"/>
  <c r="L543" i="54"/>
  <c r="E543" i="54"/>
  <c r="N542" i="54"/>
  <c r="N543" i="54" s="1"/>
  <c r="L542" i="54"/>
  <c r="J542" i="54"/>
  <c r="J543" i="54" s="1"/>
  <c r="G542" i="54"/>
  <c r="G543" i="54" s="1"/>
  <c r="E542" i="54"/>
  <c r="C542" i="54"/>
  <c r="C543" i="54" s="1"/>
  <c r="N539" i="54"/>
  <c r="N538" i="54" s="1"/>
  <c r="G539" i="54"/>
  <c r="G538" i="54" s="1"/>
  <c r="E539" i="54"/>
  <c r="L538" i="54"/>
  <c r="L539" i="54" s="1"/>
  <c r="J538" i="54"/>
  <c r="J539" i="54" s="1"/>
  <c r="E538" i="54"/>
  <c r="C538" i="54"/>
  <c r="C539" i="54" s="1"/>
  <c r="G530" i="54"/>
  <c r="G529" i="54" s="1"/>
  <c r="J529" i="54"/>
  <c r="J530" i="54" s="1"/>
  <c r="D529" i="54"/>
  <c r="D530" i="54" s="1"/>
  <c r="G525" i="54"/>
  <c r="D525" i="54"/>
  <c r="J524" i="54"/>
  <c r="J525" i="54" s="1"/>
  <c r="G524" i="54"/>
  <c r="D524" i="54"/>
  <c r="K511" i="54"/>
  <c r="G511" i="54"/>
  <c r="B511" i="54"/>
  <c r="B510" i="54"/>
  <c r="C510" i="54" s="1"/>
  <c r="M508" i="54"/>
  <c r="K510" i="54" s="1"/>
  <c r="I508" i="54"/>
  <c r="G510" i="54" s="1"/>
  <c r="D508" i="54"/>
  <c r="N507" i="54"/>
  <c r="J507" i="54"/>
  <c r="A501" i="54"/>
  <c r="B500" i="54"/>
  <c r="B496" i="54"/>
  <c r="F491" i="54"/>
  <c r="A475" i="54"/>
  <c r="B474" i="54"/>
  <c r="C467" i="54"/>
  <c r="N461" i="54"/>
  <c r="K463" i="54" s="1"/>
  <c r="K466" i="54" s="1"/>
  <c r="E460" i="54"/>
  <c r="E467" i="54" s="1"/>
  <c r="L439" i="54"/>
  <c r="K439" i="54"/>
  <c r="M438" i="54"/>
  <c r="K438" i="54"/>
  <c r="M437" i="54"/>
  <c r="L437" i="54"/>
  <c r="H429" i="54"/>
  <c r="G429" i="54"/>
  <c r="F429" i="54"/>
  <c r="G428" i="54"/>
  <c r="I428" i="54" s="1"/>
  <c r="I427" i="54"/>
  <c r="H427" i="54"/>
  <c r="F427" i="54"/>
  <c r="G426" i="54"/>
  <c r="H426" i="54" s="1"/>
  <c r="I426" i="54" s="1"/>
  <c r="M416" i="54"/>
  <c r="N416" i="54" s="1"/>
  <c r="F416" i="54"/>
  <c r="G416" i="54" s="1"/>
  <c r="M415" i="54"/>
  <c r="N415" i="54" s="1"/>
  <c r="F415" i="54"/>
  <c r="G415" i="54" s="1"/>
  <c r="M414" i="54"/>
  <c r="N414" i="54" s="1"/>
  <c r="F414" i="54"/>
  <c r="G414" i="54" s="1"/>
  <c r="M413" i="54"/>
  <c r="N413" i="54" s="1"/>
  <c r="F413" i="54"/>
  <c r="G413" i="54" s="1"/>
  <c r="M412" i="54"/>
  <c r="N412" i="54" s="1"/>
  <c r="J412" i="54"/>
  <c r="F412" i="54"/>
  <c r="G412" i="54" s="1"/>
  <c r="C412" i="54"/>
  <c r="H384" i="54"/>
  <c r="J384" i="54" s="1"/>
  <c r="E359" i="54"/>
  <c r="L343" i="54" s="1"/>
  <c r="I347" i="54"/>
  <c r="F347" i="54" s="1"/>
  <c r="H347" i="54"/>
  <c r="E347" i="54" s="1"/>
  <c r="G347" i="54"/>
  <c r="D347" i="54"/>
  <c r="C347" i="54"/>
  <c r="M347" i="54" s="1"/>
  <c r="M345" i="54"/>
  <c r="C345" i="54"/>
  <c r="I339" i="54"/>
  <c r="F339" i="54" s="1"/>
  <c r="H339" i="54"/>
  <c r="E339" i="54" s="1"/>
  <c r="G339" i="54"/>
  <c r="D339" i="54"/>
  <c r="C339" i="54"/>
  <c r="J318" i="54"/>
  <c r="K311" i="54"/>
  <c r="K307" i="54"/>
  <c r="M297" i="54"/>
  <c r="F295" i="54"/>
  <c r="M293" i="54"/>
  <c r="K289" i="54"/>
  <c r="M289" i="54" s="1"/>
  <c r="M275" i="54"/>
  <c r="K271" i="54"/>
  <c r="M271" i="54" s="1"/>
  <c r="E263" i="54"/>
  <c r="F263" i="54" s="1"/>
  <c r="I260" i="54"/>
  <c r="N256" i="54" s="1"/>
  <c r="E260" i="54"/>
  <c r="F260" i="54" s="1"/>
  <c r="N258" i="54"/>
  <c r="F257" i="54"/>
  <c r="F168" i="54"/>
  <c r="D168" i="54" s="1"/>
  <c r="D165" i="54"/>
  <c r="C117" i="54"/>
  <c r="C114" i="54"/>
  <c r="C111" i="54"/>
  <c r="D104" i="54"/>
  <c r="H102" i="54"/>
  <c r="E102" i="54"/>
  <c r="H100" i="54"/>
  <c r="E100" i="54"/>
  <c r="Q1" i="54"/>
  <c r="P1" i="54"/>
  <c r="O1" i="54"/>
  <c r="N1" i="54"/>
  <c r="M1" i="54"/>
  <c r="L1" i="54"/>
  <c r="K1" i="54"/>
  <c r="J1" i="54"/>
  <c r="I1" i="54"/>
  <c r="H1" i="54"/>
  <c r="G1" i="54"/>
  <c r="F1" i="54"/>
  <c r="E1" i="54"/>
  <c r="D1" i="54"/>
  <c r="C1" i="54"/>
  <c r="B1" i="54"/>
  <c r="A1" i="54"/>
  <c r="C182" i="53"/>
  <c r="B182" i="53"/>
  <c r="C181" i="53"/>
  <c r="B181" i="53"/>
  <c r="B180" i="53"/>
  <c r="C170" i="53"/>
  <c r="B170" i="53"/>
  <c r="C167" i="53"/>
  <c r="B167" i="53"/>
  <c r="B166" i="53"/>
  <c r="B159" i="53"/>
  <c r="B156" i="53"/>
  <c r="C149" i="53"/>
  <c r="C156" i="53" s="1"/>
  <c r="C159" i="53" s="1"/>
  <c r="B149" i="53"/>
  <c r="C146" i="53"/>
  <c r="B146" i="53"/>
  <c r="C143" i="53"/>
  <c r="B143" i="53"/>
  <c r="C140" i="53"/>
  <c r="B140" i="53"/>
  <c r="C137" i="53"/>
  <c r="B137" i="53"/>
  <c r="D131" i="53"/>
  <c r="D130" i="53"/>
  <c r="D129" i="53"/>
  <c r="D128" i="53"/>
  <c r="D127" i="53"/>
  <c r="B127" i="53"/>
  <c r="D118" i="53"/>
  <c r="D117" i="53"/>
  <c r="D116" i="53"/>
  <c r="D115" i="53"/>
  <c r="D114" i="53"/>
  <c r="B114" i="53"/>
  <c r="E107" i="53"/>
  <c r="B107" i="53"/>
  <c r="B101" i="53"/>
  <c r="C100" i="53"/>
  <c r="B95" i="53"/>
  <c r="C94" i="53"/>
  <c r="B89" i="53"/>
  <c r="C88" i="53"/>
  <c r="B83" i="53"/>
  <c r="C77" i="53"/>
  <c r="B77" i="53"/>
  <c r="B69" i="53"/>
  <c r="B64" i="53"/>
  <c r="C63" i="53" a="1"/>
  <c r="C63" i="53" s="1"/>
  <c r="B58" i="53"/>
  <c r="C57" i="53" a="1"/>
  <c r="C57" i="53" s="1"/>
  <c r="B52" i="53"/>
  <c r="C51" i="53"/>
  <c r="B46" i="53"/>
  <c r="C45" i="53" a="1"/>
  <c r="C45" i="53" s="1"/>
  <c r="B40" i="53"/>
  <c r="C39" i="53"/>
  <c r="B34" i="53"/>
  <c r="C33" i="53"/>
  <c r="F15" i="53"/>
  <c r="L13" i="53"/>
  <c r="E12" i="53"/>
  <c r="L10" i="53"/>
  <c r="E10" i="53"/>
  <c r="L8" i="53"/>
  <c r="E8" i="53"/>
  <c r="AA1" i="53"/>
  <c r="Z1" i="53"/>
  <c r="Y1" i="53"/>
  <c r="X1" i="53"/>
  <c r="W1" i="53"/>
  <c r="V1" i="53"/>
  <c r="U1" i="53"/>
  <c r="T1" i="53"/>
  <c r="S1" i="53"/>
  <c r="R1" i="53"/>
  <c r="Q1" i="53"/>
  <c r="P1" i="53"/>
  <c r="O1" i="53"/>
  <c r="N1" i="53"/>
  <c r="M1" i="53"/>
  <c r="L1" i="53"/>
  <c r="K1" i="53"/>
  <c r="J1" i="53"/>
  <c r="I1" i="53"/>
  <c r="H1" i="53"/>
  <c r="G1" i="53"/>
  <c r="F1" i="53"/>
  <c r="E1" i="53"/>
  <c r="D1" i="53"/>
  <c r="C1" i="53"/>
  <c r="B1" i="53"/>
  <c r="A1" i="53"/>
  <c r="W6" i="9"/>
  <c r="L72" i="52"/>
  <c r="F62" i="52"/>
  <c r="E62" i="52"/>
  <c r="G62" i="52" s="1"/>
  <c r="G60" i="52"/>
  <c r="G59" i="52"/>
  <c r="G58" i="52"/>
  <c r="G57" i="52"/>
  <c r="G56" i="52"/>
  <c r="G55" i="52"/>
  <c r="G54" i="52"/>
  <c r="G53" i="52"/>
  <c r="G52" i="52"/>
  <c r="G51" i="52"/>
  <c r="G50" i="52"/>
  <c r="G49" i="52"/>
  <c r="E41" i="52"/>
  <c r="E67" i="52" s="1"/>
  <c r="C29" i="52"/>
  <c r="C28" i="52"/>
  <c r="C27" i="52"/>
  <c r="C26" i="52"/>
  <c r="C25" i="52"/>
  <c r="C24" i="52"/>
  <c r="C23" i="52"/>
  <c r="C22" i="52"/>
  <c r="C21" i="52"/>
  <c r="C20" i="52"/>
  <c r="C19" i="52"/>
  <c r="C18" i="52"/>
  <c r="C17" i="52"/>
  <c r="F16" i="52"/>
  <c r="B29" i="52" s="1"/>
  <c r="B16" i="52"/>
  <c r="F15" i="52"/>
  <c r="B28" i="52" s="1"/>
  <c r="B15" i="52"/>
  <c r="F14" i="52"/>
  <c r="B27" i="52" s="1"/>
  <c r="B14" i="52"/>
  <c r="F13" i="52"/>
  <c r="B26" i="52" s="1"/>
  <c r="B13" i="52"/>
  <c r="F12" i="52"/>
  <c r="B25" i="52" s="1"/>
  <c r="B12" i="52"/>
  <c r="V11" i="52"/>
  <c r="F11" i="52"/>
  <c r="B24" i="52" s="1"/>
  <c r="F10" i="52"/>
  <c r="B23" i="52" s="1"/>
  <c r="F9" i="52"/>
  <c r="B22" i="52" s="1"/>
  <c r="J8" i="52"/>
  <c r="F8" i="52"/>
  <c r="B21" i="52" s="1"/>
  <c r="B8" i="52"/>
  <c r="F7" i="52"/>
  <c r="B20" i="52" s="1"/>
  <c r="B7" i="52"/>
  <c r="F6" i="52"/>
  <c r="B19" i="52" s="1"/>
  <c r="F5" i="52"/>
  <c r="B18" i="52" s="1"/>
  <c r="B5" i="52"/>
  <c r="B10" i="52" s="1"/>
  <c r="F4" i="52"/>
  <c r="B17" i="52" s="1"/>
  <c r="B4" i="52"/>
  <c r="B43" i="28"/>
  <c r="C34" i="53"/>
  <c r="E127" i="53"/>
  <c r="G137" i="53"/>
  <c r="C52" i="53"/>
  <c r="G146" i="53"/>
  <c r="G12" i="53"/>
  <c r="N10" i="53"/>
  <c r="C40" i="53"/>
  <c r="C95" i="53"/>
  <c r="C171" i="53"/>
  <c r="N8" i="53"/>
  <c r="C78" i="53"/>
  <c r="C89" i="53"/>
  <c r="C160" i="53"/>
  <c r="C64" i="53"/>
  <c r="C157" i="53"/>
  <c r="C101" i="53"/>
  <c r="F16" i="53"/>
  <c r="G10" i="53"/>
  <c r="C46" i="53"/>
  <c r="C168" i="53"/>
  <c r="E108" i="53"/>
  <c r="G140" i="53"/>
  <c r="G181" i="53"/>
  <c r="E114" i="53"/>
  <c r="C58" i="53"/>
  <c r="G182" i="53"/>
  <c r="G8" i="53"/>
  <c r="G149" i="53"/>
  <c r="G143" i="53"/>
  <c r="J463" i="54" l="1"/>
  <c r="J466" i="54" s="1"/>
  <c r="F428" i="54"/>
  <c r="E592" i="54"/>
  <c r="N275" i="54"/>
  <c r="N271" i="54" s="1"/>
  <c r="L275" i="54" s="1"/>
  <c r="M571" i="54"/>
  <c r="N571" i="54" s="1"/>
  <c r="G640" i="54"/>
  <c r="H640" i="54" s="1"/>
  <c r="K640" i="54" s="1"/>
  <c r="I307" i="54"/>
  <c r="L463" i="54"/>
  <c r="L466" i="54" s="1"/>
  <c r="D510" i="54"/>
  <c r="G637" i="54"/>
  <c r="H637" i="54" s="1"/>
  <c r="K637" i="54" s="1"/>
  <c r="G643" i="54"/>
  <c r="H643" i="54" s="1"/>
  <c r="K643" i="54" s="1"/>
  <c r="H463" i="54"/>
  <c r="H466" i="54" s="1"/>
  <c r="M463" i="54"/>
  <c r="M466" i="54" s="1"/>
  <c r="E510" i="54"/>
  <c r="J754" i="54"/>
  <c r="F755" i="54"/>
  <c r="J755" i="54" s="1"/>
  <c r="L339" i="54"/>
  <c r="M340" i="54" s="1"/>
  <c r="L347" i="54"/>
  <c r="M348" i="54" s="1"/>
  <c r="M336" i="54" s="1"/>
  <c r="I463" i="54"/>
  <c r="I466" i="54" s="1"/>
  <c r="G639" i="54"/>
  <c r="H639" i="54" s="1"/>
  <c r="K639" i="54" s="1"/>
  <c r="V7" i="55"/>
  <c r="V8" i="55" s="1"/>
  <c r="V9" i="55" s="1"/>
  <c r="AH6" i="55"/>
  <c r="B8" i="55"/>
  <c r="L7" i="55"/>
  <c r="L8" i="55" s="1"/>
  <c r="N466" i="54"/>
  <c r="H510" i="54"/>
  <c r="J510" i="54"/>
  <c r="I510" i="54"/>
  <c r="H593" i="54"/>
  <c r="L780" i="54"/>
  <c r="L816" i="54"/>
  <c r="L510" i="54"/>
  <c r="M510" i="54"/>
  <c r="N510" i="54"/>
  <c r="M339" i="54"/>
  <c r="L777" i="54"/>
  <c r="L813" i="54"/>
  <c r="E698" i="54"/>
  <c r="G638" i="54"/>
  <c r="H638" i="54" s="1"/>
  <c r="K638" i="54" s="1"/>
  <c r="G642" i="54"/>
  <c r="H642" i="54" s="1"/>
  <c r="K642" i="54" s="1"/>
  <c r="E700" i="54"/>
  <c r="B9" i="52"/>
  <c r="E43" i="52"/>
  <c r="E46" i="52" s="1"/>
  <c r="D71" i="52" s="1"/>
  <c r="E69" i="52"/>
  <c r="E65" i="52"/>
  <c r="B6" i="52"/>
  <c r="J9" i="52"/>
  <c r="J10" i="52" s="1"/>
  <c r="J11" i="52" s="1"/>
  <c r="J12" i="52" s="1"/>
  <c r="J13" i="52" s="1"/>
  <c r="J14" i="52" s="1"/>
  <c r="J15" i="52" s="1"/>
  <c r="J16" i="52" s="1"/>
  <c r="J17" i="52" s="1"/>
  <c r="J18" i="52" s="1"/>
  <c r="J19" i="52" s="1"/>
  <c r="J20" i="52" s="1"/>
  <c r="J21" i="52" s="1"/>
  <c r="J22" i="52" s="1"/>
  <c r="J23" i="52" s="1"/>
  <c r="J24" i="52" s="1"/>
  <c r="J25" i="52" s="1"/>
  <c r="J26" i="52" s="1"/>
  <c r="J27" i="52" s="1"/>
  <c r="J28" i="52" s="1"/>
  <c r="J29" i="52" s="1"/>
  <c r="J30" i="52" s="1"/>
  <c r="J31" i="52" s="1"/>
  <c r="B11" i="52"/>
  <c r="P136" i="9"/>
  <c r="O136" i="9"/>
  <c r="Q135" i="9"/>
  <c r="P135" i="9"/>
  <c r="O135" i="9"/>
  <c r="Q134" i="9"/>
  <c r="P134" i="9"/>
  <c r="O134" i="9"/>
  <c r="J756" i="54" l="1"/>
  <c r="J757" i="54" s="1"/>
  <c r="L336" i="54"/>
  <c r="E71" i="52"/>
  <c r="E72" i="52" s="1"/>
  <c r="AH7" i="55"/>
  <c r="AH8" i="55" s="1"/>
  <c r="B9" i="55"/>
  <c r="L10" i="55"/>
  <c r="L11" i="55" s="1"/>
  <c r="V10" i="55"/>
  <c r="L696" i="54"/>
  <c r="J32" i="52"/>
  <c r="D9" i="50"/>
  <c r="D10" i="49"/>
  <c r="D123" i="48"/>
  <c r="E106" i="48"/>
  <c r="H64" i="48"/>
  <c r="D64" i="48"/>
  <c r="A38" i="48"/>
  <c r="A25" i="48"/>
  <c r="A21" i="48"/>
  <c r="A9" i="48"/>
  <c r="A4" i="48"/>
  <c r="G43" i="47"/>
  <c r="D43" i="47"/>
  <c r="A3" i="47"/>
  <c r="F35" i="46"/>
  <c r="E31" i="46"/>
  <c r="F29" i="46"/>
  <c r="F28" i="46"/>
  <c r="F31" i="46" s="1"/>
  <c r="F33" i="46" s="1"/>
  <c r="F37" i="46" s="1"/>
  <c r="D12" i="46"/>
  <c r="D29" i="45"/>
  <c r="C37" i="45" s="1"/>
  <c r="D28" i="45"/>
  <c r="C36" i="45" s="1"/>
  <c r="F3" i="45"/>
  <c r="E3" i="45"/>
  <c r="D36" i="44"/>
  <c r="D11" i="44"/>
  <c r="D8" i="44"/>
  <c r="F6" i="44"/>
  <c r="G15" i="43"/>
  <c r="G51" i="41"/>
  <c r="D51" i="41"/>
  <c r="D39" i="41"/>
  <c r="D7" i="41"/>
  <c r="J43" i="40"/>
  <c r="G7" i="40"/>
  <c r="G6" i="40"/>
  <c r="G5" i="40"/>
  <c r="G4" i="40"/>
  <c r="G3" i="40"/>
  <c r="I67" i="33"/>
  <c r="I84" i="33"/>
  <c r="A85" i="33"/>
  <c r="A93" i="33"/>
  <c r="A92" i="33"/>
  <c r="B48" i="33"/>
  <c r="D48" i="33"/>
  <c r="E48" i="33"/>
  <c r="D36" i="50"/>
  <c r="J95" i="33"/>
  <c r="H79" i="33"/>
  <c r="P61" i="33"/>
  <c r="B10" i="55" l="1"/>
  <c r="L12" i="55"/>
  <c r="V11" i="55"/>
  <c r="AH9" i="55"/>
  <c r="F701" i="54"/>
  <c r="F697" i="54"/>
  <c r="F699" i="54"/>
  <c r="F700" i="54"/>
  <c r="F698" i="54"/>
  <c r="C32" i="45"/>
  <c r="C33" i="45"/>
  <c r="A3" i="39"/>
  <c r="Q1" i="39"/>
  <c r="P1" i="39"/>
  <c r="O1" i="39"/>
  <c r="N1" i="39"/>
  <c r="M1" i="39"/>
  <c r="L1" i="39"/>
  <c r="K1" i="39"/>
  <c r="J1" i="39"/>
  <c r="I1" i="39"/>
  <c r="H1" i="39"/>
  <c r="G1" i="39"/>
  <c r="F1" i="39"/>
  <c r="E1" i="39"/>
  <c r="D1" i="39"/>
  <c r="C1" i="39"/>
  <c r="B1" i="39"/>
  <c r="A1" i="39"/>
  <c r="AH10" i="55" l="1"/>
  <c r="V12" i="55"/>
  <c r="V13" i="55" s="1"/>
  <c r="L13" i="55"/>
  <c r="B11" i="55"/>
  <c r="G700" i="54"/>
  <c r="K700" i="54"/>
  <c r="L700" i="54" s="1"/>
  <c r="G699" i="54"/>
  <c r="K699" i="54" s="1"/>
  <c r="L699" i="54" s="1"/>
  <c r="G697" i="54"/>
  <c r="F689" i="54"/>
  <c r="D692" i="54" s="1"/>
  <c r="K697" i="54"/>
  <c r="L697" i="54" s="1"/>
  <c r="G698" i="54"/>
  <c r="K698" i="54"/>
  <c r="L698" i="54" s="1"/>
  <c r="G701" i="54"/>
  <c r="K701" i="54"/>
  <c r="L701" i="54" s="1"/>
  <c r="F52" i="9"/>
  <c r="L14" i="55" l="1"/>
  <c r="B13" i="55"/>
  <c r="B15" i="55" s="1"/>
  <c r="V14" i="55"/>
  <c r="V15" i="55"/>
  <c r="L15" i="55"/>
  <c r="L16" i="55" s="1"/>
  <c r="AH11" i="55"/>
  <c r="I692" i="54"/>
  <c r="D694" i="54"/>
  <c r="H692" i="54"/>
  <c r="C692" i="54"/>
  <c r="C694" i="54"/>
  <c r="K696" i="54"/>
  <c r="E689" i="54" s="1"/>
  <c r="C689" i="54" s="1"/>
  <c r="I689" i="54"/>
  <c r="G692" i="54" s="1"/>
  <c r="K692" i="54" s="1"/>
  <c r="K93" i="33"/>
  <c r="E93" i="33"/>
  <c r="K92" i="33"/>
  <c r="E92" i="33"/>
  <c r="K91" i="33"/>
  <c r="E91" i="33"/>
  <c r="AA29" i="33"/>
  <c r="O90" i="33"/>
  <c r="L90" i="33"/>
  <c r="X29" i="33" s="1"/>
  <c r="J90" i="33"/>
  <c r="V29" i="33" s="1"/>
  <c r="O85" i="33"/>
  <c r="C85" i="33"/>
  <c r="L83" i="33" s="1"/>
  <c r="B85" i="33"/>
  <c r="U85" i="33"/>
  <c r="B75" i="33"/>
  <c r="H75" i="33" s="1"/>
  <c r="C69" i="33"/>
  <c r="L67" i="33" s="1"/>
  <c r="B69" i="33"/>
  <c r="B68" i="33"/>
  <c r="N60" i="33"/>
  <c r="P60" i="33" s="1"/>
  <c r="E60" i="33"/>
  <c r="G60" i="33" s="1"/>
  <c r="D60" i="33"/>
  <c r="C60" i="33"/>
  <c r="D51" i="33"/>
  <c r="D78" i="33" s="1"/>
  <c r="C51" i="33"/>
  <c r="C78" i="33" s="1"/>
  <c r="I78" i="33" s="1"/>
  <c r="B51" i="33"/>
  <c r="B78" i="33" s="1"/>
  <c r="C50" i="33"/>
  <c r="B50" i="33"/>
  <c r="E50" i="33" s="1"/>
  <c r="D49" i="33"/>
  <c r="D76" i="33" s="1"/>
  <c r="C49" i="33"/>
  <c r="C76" i="33" s="1"/>
  <c r="I76" i="33" s="1"/>
  <c r="B49" i="33"/>
  <c r="E49" i="33" s="1"/>
  <c r="G48" i="33"/>
  <c r="D47" i="33"/>
  <c r="C47" i="33"/>
  <c r="AK34" i="33"/>
  <c r="W34" i="33"/>
  <c r="E34" i="33"/>
  <c r="W33" i="33"/>
  <c r="E33" i="33"/>
  <c r="AJ32" i="33"/>
  <c r="AJ34" i="33" s="1"/>
  <c r="AI32" i="33"/>
  <c r="AI34" i="33" s="1"/>
  <c r="AG32" i="33"/>
  <c r="AG34" i="33" s="1"/>
  <c r="AF32" i="33"/>
  <c r="AF34" i="33" s="1"/>
  <c r="AE32" i="33"/>
  <c r="AE34" i="33" s="1"/>
  <c r="W32" i="33"/>
  <c r="E32" i="33"/>
  <c r="W31" i="33"/>
  <c r="V31" i="33"/>
  <c r="E31" i="33"/>
  <c r="U31" i="33" s="1"/>
  <c r="AJ30" i="33"/>
  <c r="AJ33" i="33" s="1"/>
  <c r="AI30" i="33"/>
  <c r="AI33" i="33" s="1"/>
  <c r="AG30" i="33"/>
  <c r="AG33" i="33" s="1"/>
  <c r="AF30" i="33"/>
  <c r="AF33" i="33" s="1"/>
  <c r="AE30" i="33"/>
  <c r="W30" i="33"/>
  <c r="K61" i="33" s="1"/>
  <c r="E30" i="33"/>
  <c r="AH29" i="33"/>
  <c r="U29" i="33"/>
  <c r="T29" i="33"/>
  <c r="AK28" i="33"/>
  <c r="AD23" i="33" s="1"/>
  <c r="S27" i="33"/>
  <c r="Q27" i="33"/>
  <c r="O27" i="33"/>
  <c r="M27" i="33"/>
  <c r="K27" i="33"/>
  <c r="I27" i="33"/>
  <c r="F26" i="33"/>
  <c r="T25" i="33"/>
  <c r="E25" i="33"/>
  <c r="AK23" i="33"/>
  <c r="Y23" i="33"/>
  <c r="E19" i="33"/>
  <c r="D19" i="33"/>
  <c r="C19" i="33"/>
  <c r="B19" i="33"/>
  <c r="AW18" i="33"/>
  <c r="A17" i="33"/>
  <c r="A15" i="33"/>
  <c r="AW14" i="33"/>
  <c r="AN14" i="33"/>
  <c r="G14" i="33"/>
  <c r="S93" i="33"/>
  <c r="R85" i="33"/>
  <c r="G49" i="33"/>
  <c r="L76" i="33"/>
  <c r="G61" i="33"/>
  <c r="B16" i="55" l="1"/>
  <c r="B17" i="55" s="1"/>
  <c r="B19" i="55" s="1"/>
  <c r="B20" i="55" s="1"/>
  <c r="B21" i="55" s="1"/>
  <c r="B22" i="55" s="1"/>
  <c r="D5" i="55" s="1"/>
  <c r="L18" i="55"/>
  <c r="L19" i="55"/>
  <c r="AH12" i="55"/>
  <c r="AH13" i="55" s="1"/>
  <c r="V16" i="55"/>
  <c r="E692" i="54"/>
  <c r="E694" i="54"/>
  <c r="J694" i="54"/>
  <c r="B76" i="33"/>
  <c r="E76" i="33" s="1"/>
  <c r="C61" i="33"/>
  <c r="E78" i="33"/>
  <c r="AE33" i="33"/>
  <c r="U32" i="33"/>
  <c r="E47" i="33"/>
  <c r="E36" i="33"/>
  <c r="AH30" i="33"/>
  <c r="AH33" i="33" s="1"/>
  <c r="AH32" i="33"/>
  <c r="AH34" i="33" s="1"/>
  <c r="E51" i="33"/>
  <c r="E86" i="33"/>
  <c r="D6" i="55" l="1"/>
  <c r="D7" i="55" s="1"/>
  <c r="L20" i="55"/>
  <c r="V17" i="55"/>
  <c r="V19" i="55" s="1"/>
  <c r="V20" i="55" s="1"/>
  <c r="V21" i="55" s="1"/>
  <c r="V22" i="55" s="1"/>
  <c r="V23" i="55" s="1"/>
  <c r="AH14" i="55"/>
  <c r="G694" i="54"/>
  <c r="K694" i="54" s="1"/>
  <c r="H694" i="54"/>
  <c r="H76" i="33"/>
  <c r="AK30" i="33"/>
  <c r="R32" i="33" s="1"/>
  <c r="AK33" i="33"/>
  <c r="V24" i="55" l="1"/>
  <c r="V25" i="55" s="1"/>
  <c r="V26" i="55" s="1"/>
  <c r="V27" i="55" s="1"/>
  <c r="V28" i="55" s="1"/>
  <c r="V31" i="55" s="1"/>
  <c r="V32" i="55" s="1"/>
  <c r="V33" i="55" s="1"/>
  <c r="V34" i="55" s="1"/>
  <c r="V35" i="55" s="1"/>
  <c r="V36" i="55" s="1"/>
  <c r="V37" i="55" s="1"/>
  <c r="V38" i="55" s="1"/>
  <c r="V39" i="55" s="1"/>
  <c r="V40" i="55" s="1"/>
  <c r="V41" i="55" s="1"/>
  <c r="V42" i="55" s="1"/>
  <c r="V43" i="55" s="1"/>
  <c r="V44" i="55" s="1"/>
  <c r="V45" i="55" s="1"/>
  <c r="V46" i="55" s="1"/>
  <c r="V47" i="55" s="1"/>
  <c r="V48" i="55" s="1"/>
  <c r="V49" i="55" s="1"/>
  <c r="V50" i="55" s="1"/>
  <c r="V51" i="55" s="1"/>
  <c r="V52" i="55" s="1"/>
  <c r="V53" i="55" s="1"/>
  <c r="V54" i="55" s="1"/>
  <c r="V55" i="55" s="1"/>
  <c r="V56" i="55" s="1"/>
  <c r="V57" i="55" s="1"/>
  <c r="V58" i="55" s="1"/>
  <c r="V59" i="55" s="1"/>
  <c r="V60" i="55" s="1"/>
  <c r="V61" i="55" s="1"/>
  <c r="V62" i="55" s="1"/>
  <c r="X5" i="55" s="1"/>
  <c r="L21" i="55"/>
  <c r="L22" i="55" s="1"/>
  <c r="L23" i="55" s="1"/>
  <c r="L24" i="55" s="1"/>
  <c r="L25" i="55" s="1"/>
  <c r="L26" i="55" s="1"/>
  <c r="L27" i="55" s="1"/>
  <c r="L28" i="55" s="1"/>
  <c r="L29" i="55" s="1"/>
  <c r="L30" i="55" s="1"/>
  <c r="L31" i="55" s="1"/>
  <c r="L32" i="55" s="1"/>
  <c r="L33" i="55" s="1"/>
  <c r="L34" i="55" s="1"/>
  <c r="L35" i="55" s="1"/>
  <c r="L36" i="55" s="1"/>
  <c r="L37" i="55" s="1"/>
  <c r="L38" i="55" s="1"/>
  <c r="L40" i="55" s="1"/>
  <c r="L41" i="55" s="1"/>
  <c r="L42" i="55" s="1"/>
  <c r="L43" i="55" s="1"/>
  <c r="L44" i="55" s="1"/>
  <c r="L45" i="55" s="1"/>
  <c r="L46" i="55" s="1"/>
  <c r="L47" i="55" s="1"/>
  <c r="L48" i="55" s="1"/>
  <c r="L49" i="55" s="1"/>
  <c r="L50" i="55" s="1"/>
  <c r="L51" i="55" s="1"/>
  <c r="L52" i="55" s="1"/>
  <c r="N5" i="55" s="1"/>
  <c r="AH15" i="55"/>
  <c r="D8" i="55"/>
  <c r="D9" i="55" s="1"/>
  <c r="AD25" i="33"/>
  <c r="L31" i="33"/>
  <c r="P31" i="33"/>
  <c r="H31" i="33"/>
  <c r="N31" i="33"/>
  <c r="J31" i="33"/>
  <c r="R31" i="33"/>
  <c r="H32" i="33"/>
  <c r="N32" i="33"/>
  <c r="L32" i="33"/>
  <c r="AF25" i="33"/>
  <c r="W23" i="33"/>
  <c r="J32" i="33"/>
  <c r="P32" i="33"/>
  <c r="N6" i="55" l="1"/>
  <c r="X6" i="55"/>
  <c r="D11" i="55"/>
  <c r="AH16" i="55"/>
  <c r="AH17" i="55" s="1"/>
  <c r="AH18" i="55" s="1"/>
  <c r="AH19" i="55" s="1"/>
  <c r="AH20" i="55" s="1"/>
  <c r="AH21" i="55" s="1"/>
  <c r="AH22" i="55" s="1"/>
  <c r="AH23" i="55" s="1"/>
  <c r="AH24" i="55" s="1"/>
  <c r="AH25" i="55" s="1"/>
  <c r="AH26" i="55" s="1"/>
  <c r="AH27" i="55" s="1"/>
  <c r="AH28" i="55" s="1"/>
  <c r="AH29" i="55" s="1"/>
  <c r="AH30" i="55" s="1"/>
  <c r="AH31" i="55" s="1"/>
  <c r="AH32" i="55" s="1"/>
  <c r="AH33" i="55" s="1"/>
  <c r="AH34" i="55" s="1"/>
  <c r="AH35" i="55" s="1"/>
  <c r="AH36" i="55" s="1"/>
  <c r="AH37" i="55" s="1"/>
  <c r="AH38" i="55" s="1"/>
  <c r="AH39" i="55" s="1"/>
  <c r="AH40" i="55" s="1"/>
  <c r="AH41" i="55" s="1"/>
  <c r="AH42" i="55" s="1"/>
  <c r="AH43" i="55" s="1"/>
  <c r="AH44" i="55" s="1"/>
  <c r="AH45" i="55" s="1"/>
  <c r="AH46" i="55" s="1"/>
  <c r="AH47" i="55" s="1"/>
  <c r="AH48" i="55" s="1"/>
  <c r="AH49" i="55" s="1"/>
  <c r="AH50" i="55" s="1"/>
  <c r="AH51" i="55" s="1"/>
  <c r="AH52" i="55" s="1"/>
  <c r="AH53" i="55" s="1"/>
  <c r="AH54" i="55" s="1"/>
  <c r="AH55" i="55" s="1"/>
  <c r="AH56" i="55" s="1"/>
  <c r="AH57" i="55" s="1"/>
  <c r="AH58" i="55" s="1"/>
  <c r="AH59" i="55" s="1"/>
  <c r="AK4" i="55" s="1"/>
  <c r="V33" i="33"/>
  <c r="V32" i="33"/>
  <c r="J83" i="33"/>
  <c r="J67" i="33"/>
  <c r="H78" i="33" s="1"/>
  <c r="V34" i="33"/>
  <c r="V30" i="33"/>
  <c r="J61" i="33" s="1"/>
  <c r="X32" i="33"/>
  <c r="X33" i="33"/>
  <c r="X31" i="33"/>
  <c r="X34" i="33"/>
  <c r="X30" i="33"/>
  <c r="N61" i="33" s="1"/>
  <c r="AK5" i="55" l="1"/>
  <c r="D13" i="55"/>
  <c r="N7" i="55"/>
  <c r="X7" i="55"/>
  <c r="X8" i="55" s="1"/>
  <c r="AA34" i="33"/>
  <c r="S34" i="33"/>
  <c r="O34" i="33"/>
  <c r="K34" i="33"/>
  <c r="Q34" i="33"/>
  <c r="I34" i="33"/>
  <c r="M34" i="33"/>
  <c r="U34" i="33"/>
  <c r="S31" i="33"/>
  <c r="O31" i="33"/>
  <c r="K31" i="33"/>
  <c r="M31" i="33"/>
  <c r="AA31" i="33"/>
  <c r="Q31" i="33"/>
  <c r="I31" i="33"/>
  <c r="Q33" i="33"/>
  <c r="M33" i="33"/>
  <c r="I33" i="33"/>
  <c r="AA33" i="33"/>
  <c r="S33" i="33"/>
  <c r="K33" i="33"/>
  <c r="O33" i="33"/>
  <c r="U33" i="33"/>
  <c r="E61" i="33"/>
  <c r="AA30" i="33"/>
  <c r="S30" i="33"/>
  <c r="O30" i="33"/>
  <c r="K30" i="33"/>
  <c r="Q30" i="33"/>
  <c r="I30" i="33"/>
  <c r="M30" i="33"/>
  <c r="U30" i="33"/>
  <c r="X36" i="33"/>
  <c r="Q32" i="33"/>
  <c r="M32" i="33"/>
  <c r="I32" i="33"/>
  <c r="AA32" i="33"/>
  <c r="O32" i="33"/>
  <c r="S32" i="33"/>
  <c r="K32" i="33"/>
  <c r="L93" i="33"/>
  <c r="J91" i="33"/>
  <c r="J93" i="33"/>
  <c r="P93" i="33" s="1"/>
  <c r="L92" i="33"/>
  <c r="L91" i="33"/>
  <c r="J92" i="33"/>
  <c r="C29" i="20"/>
  <c r="C27" i="20"/>
  <c r="C25" i="20"/>
  <c r="X9" i="55" l="1"/>
  <c r="X10" i="55"/>
  <c r="X11" i="55"/>
  <c r="D15" i="55"/>
  <c r="D16" i="55" s="1"/>
  <c r="AK6" i="55"/>
  <c r="N8" i="55"/>
  <c r="AK7" i="55"/>
  <c r="P33" i="33"/>
  <c r="L33" i="33"/>
  <c r="H33" i="33"/>
  <c r="N33" i="33"/>
  <c r="R33" i="33"/>
  <c r="J33" i="33"/>
  <c r="P92" i="33"/>
  <c r="P30" i="33"/>
  <c r="L30" i="33"/>
  <c r="H30" i="33"/>
  <c r="R30" i="33"/>
  <c r="J30" i="33"/>
  <c r="N30" i="33"/>
  <c r="U36" i="33"/>
  <c r="P34" i="33"/>
  <c r="L34" i="33"/>
  <c r="H34" i="33"/>
  <c r="R34" i="33"/>
  <c r="J34" i="33"/>
  <c r="N34" i="33"/>
  <c r="L94" i="33"/>
  <c r="M93" i="33" s="1"/>
  <c r="P91" i="33"/>
  <c r="Z27" i="33"/>
  <c r="AA36" i="33"/>
  <c r="C43" i="28"/>
  <c r="P31" i="28" s="1"/>
  <c r="P41" i="28"/>
  <c r="F41" i="28"/>
  <c r="E41" i="28"/>
  <c r="F40" i="28"/>
  <c r="E40" i="28"/>
  <c r="F39" i="28"/>
  <c r="E39" i="28"/>
  <c r="F38" i="28"/>
  <c r="E38" i="28"/>
  <c r="F37" i="28"/>
  <c r="E37" i="28"/>
  <c r="F36" i="28"/>
  <c r="E36" i="28"/>
  <c r="F35" i="28"/>
  <c r="E35" i="28"/>
  <c r="F23" i="28"/>
  <c r="E23" i="28"/>
  <c r="F22" i="28"/>
  <c r="E22" i="28"/>
  <c r="F21" i="28"/>
  <c r="E21" i="28"/>
  <c r="F20" i="28"/>
  <c r="E20" i="28"/>
  <c r="F19" i="28"/>
  <c r="E19" i="28"/>
  <c r="F18" i="28"/>
  <c r="E18" i="28"/>
  <c r="F17" i="28"/>
  <c r="E17" i="28"/>
  <c r="N16" i="28"/>
  <c r="F16" i="28"/>
  <c r="E16" i="28"/>
  <c r="N15" i="28"/>
  <c r="E43" i="28" l="1"/>
  <c r="D18" i="55"/>
  <c r="D20" i="55" s="1"/>
  <c r="D22" i="55" s="1"/>
  <c r="AK8" i="55"/>
  <c r="N9" i="55"/>
  <c r="N10" i="55" s="1"/>
  <c r="D23" i="55"/>
  <c r="D24" i="55" s="1"/>
  <c r="D25" i="55" s="1"/>
  <c r="D26" i="55" s="1"/>
  <c r="F5" i="55" s="1"/>
  <c r="X12" i="55"/>
  <c r="O88" i="33"/>
  <c r="P89" i="33" s="1"/>
  <c r="M91" i="33"/>
  <c r="M92" i="33"/>
  <c r="S28" i="33"/>
  <c r="O28" i="33"/>
  <c r="K28" i="33"/>
  <c r="M28" i="33"/>
  <c r="Q28" i="33"/>
  <c r="AA28" i="33"/>
  <c r="I28" i="33"/>
  <c r="J36" i="33"/>
  <c r="P42" i="28"/>
  <c r="N31" i="28"/>
  <c r="F6" i="55" l="1"/>
  <c r="X13" i="55"/>
  <c r="N11" i="55"/>
  <c r="AK9" i="55"/>
  <c r="AK10" i="55"/>
  <c r="M36" i="33"/>
  <c r="L28" i="33"/>
  <c r="L36" i="33" s="1"/>
  <c r="H28" i="33"/>
  <c r="H36" i="33" s="1"/>
  <c r="I36" i="33"/>
  <c r="K36" i="33"/>
  <c r="J28" i="33"/>
  <c r="O36" i="33"/>
  <c r="N28" i="33"/>
  <c r="N36" i="33" s="1"/>
  <c r="P28" i="33"/>
  <c r="P36" i="33" s="1"/>
  <c r="Q36" i="33"/>
  <c r="S36" i="33"/>
  <c r="R28" i="33"/>
  <c r="R36" i="33" s="1"/>
  <c r="O54" i="9"/>
  <c r="L57" i="9"/>
  <c r="L56" i="9"/>
  <c r="M56" i="9" s="1"/>
  <c r="M57" i="9" s="1"/>
  <c r="D52" i="9"/>
  <c r="O52" i="9" s="1"/>
  <c r="K347" i="20"/>
  <c r="V346" i="20"/>
  <c r="O346" i="20"/>
  <c r="H346" i="20"/>
  <c r="V341" i="20"/>
  <c r="Y341" i="20" s="1"/>
  <c r="O341" i="20"/>
  <c r="H341" i="20"/>
  <c r="X326" i="20"/>
  <c r="B326" i="20"/>
  <c r="A326" i="20"/>
  <c r="AK11" i="55" l="1"/>
  <c r="AK12" i="55"/>
  <c r="X14" i="55"/>
  <c r="F7" i="55"/>
  <c r="F8" i="55" s="1"/>
  <c r="N13" i="55"/>
  <c r="AK13" i="55"/>
  <c r="AK14" i="55" s="1"/>
  <c r="X15" i="55"/>
  <c r="X16" i="55" s="1"/>
  <c r="L59" i="9"/>
  <c r="L58" i="9"/>
  <c r="R341" i="20"/>
  <c r="R346" i="20" s="1"/>
  <c r="O356" i="20" s="1"/>
  <c r="V351" i="20"/>
  <c r="Y346" i="20"/>
  <c r="V356" i="20"/>
  <c r="K341" i="20"/>
  <c r="K346" i="20" s="1"/>
  <c r="H356" i="20" s="1"/>
  <c r="B944" i="20"/>
  <c r="H1002" i="20"/>
  <c r="H996" i="20"/>
  <c r="H997" i="20" s="1"/>
  <c r="D1000" i="20" s="1"/>
  <c r="I998" i="20" s="1"/>
  <c r="I1002" i="20" s="1"/>
  <c r="I995" i="20"/>
  <c r="H992" i="20"/>
  <c r="D992" i="20"/>
  <c r="C992" i="20"/>
  <c r="E982" i="20"/>
  <c r="C982" i="20"/>
  <c r="G973" i="20"/>
  <c r="E973" i="20"/>
  <c r="C973" i="20"/>
  <c r="G972" i="20"/>
  <c r="E980" i="20" s="1"/>
  <c r="G980" i="20" s="1"/>
  <c r="G961" i="20"/>
  <c r="E961" i="20"/>
  <c r="C961" i="20"/>
  <c r="I960" i="20"/>
  <c r="I947" i="20"/>
  <c r="B947" i="20"/>
  <c r="A947" i="20"/>
  <c r="G317" i="20"/>
  <c r="G316" i="20"/>
  <c r="H316" i="20" s="1"/>
  <c r="H317" i="20" s="1"/>
  <c r="G312" i="20"/>
  <c r="B312" i="20"/>
  <c r="A312" i="20"/>
  <c r="R289" i="20"/>
  <c r="Q291" i="20" s="1"/>
  <c r="Q289" i="20" s="1"/>
  <c r="Q285" i="20"/>
  <c r="M285" i="20"/>
  <c r="L285" i="20"/>
  <c r="R4" i="24"/>
  <c r="H972" i="20"/>
  <c r="I980" i="20"/>
  <c r="I961" i="20"/>
  <c r="E981" i="20"/>
  <c r="F9" i="55" l="1"/>
  <c r="AK15" i="55"/>
  <c r="F10" i="55"/>
  <c r="X17" i="55"/>
  <c r="X18" i="55" s="1"/>
  <c r="X19" i="55" s="1"/>
  <c r="X20" i="55" s="1"/>
  <c r="X21" i="55" s="1"/>
  <c r="X22" i="55" s="1"/>
  <c r="X23" i="55" s="1"/>
  <c r="X24" i="55" s="1"/>
  <c r="X25" i="55" s="1"/>
  <c r="X26" i="55" s="1"/>
  <c r="X27" i="55" s="1"/>
  <c r="X28" i="55" s="1"/>
  <c r="X29" i="55" s="1"/>
  <c r="X30" i="55" s="1"/>
  <c r="X31" i="55" s="1"/>
  <c r="X32" i="55" s="1"/>
  <c r="X33" i="55" s="1"/>
  <c r="X36" i="55" s="1"/>
  <c r="X37" i="55" s="1"/>
  <c r="X38" i="55" s="1"/>
  <c r="X39" i="55" s="1"/>
  <c r="X40" i="55" s="1"/>
  <c r="X41" i="55" s="1"/>
  <c r="X42" i="55" s="1"/>
  <c r="X43" i="55" s="1"/>
  <c r="X44" i="55" s="1"/>
  <c r="X45" i="55" s="1"/>
  <c r="X46" i="55" s="1"/>
  <c r="X47" i="55" s="1"/>
  <c r="X48" i="55" s="1"/>
  <c r="X49" i="55" s="1"/>
  <c r="X50" i="55" s="1"/>
  <c r="X51" i="55" s="1"/>
  <c r="X52" i="55" s="1"/>
  <c r="X53" i="55" s="1"/>
  <c r="X54" i="55" s="1"/>
  <c r="X55" i="55" s="1"/>
  <c r="X56" i="55" s="1"/>
  <c r="X57" i="55" s="1"/>
  <c r="X58" i="55" s="1"/>
  <c r="X59" i="55" s="1"/>
  <c r="X60" i="55" s="1"/>
  <c r="X61" i="55" s="1"/>
  <c r="X62" i="55" s="1"/>
  <c r="X63" i="55" s="1"/>
  <c r="Z5" i="55" s="1"/>
  <c r="N14" i="55"/>
  <c r="H351" i="20"/>
  <c r="O351" i="20"/>
  <c r="R290" i="20"/>
  <c r="G319" i="20"/>
  <c r="G318" i="20"/>
  <c r="Q290" i="20"/>
  <c r="E164" i="25"/>
  <c r="L148" i="25" s="1"/>
  <c r="I152" i="25"/>
  <c r="F152" i="25" s="1"/>
  <c r="H152" i="25"/>
  <c r="E152" i="25" s="1"/>
  <c r="G152" i="25"/>
  <c r="D152" i="25"/>
  <c r="C152" i="25"/>
  <c r="M152" i="25" s="1"/>
  <c r="M150" i="25"/>
  <c r="C150" i="25"/>
  <c r="I144" i="25"/>
  <c r="F144" i="25" s="1"/>
  <c r="H144" i="25"/>
  <c r="E144" i="25" s="1"/>
  <c r="G144" i="25"/>
  <c r="D144" i="25"/>
  <c r="C144" i="25"/>
  <c r="B131" i="25"/>
  <c r="F23" i="25" s="1"/>
  <c r="A129" i="25"/>
  <c r="J122" i="25"/>
  <c r="K115" i="25"/>
  <c r="K111" i="25"/>
  <c r="B108" i="25"/>
  <c r="F20" i="25" s="1"/>
  <c r="A107" i="25"/>
  <c r="G97" i="25"/>
  <c r="E97" i="25"/>
  <c r="C97" i="25"/>
  <c r="C96" i="25"/>
  <c r="G93" i="25"/>
  <c r="F93" i="25"/>
  <c r="E93" i="25"/>
  <c r="N90" i="25"/>
  <c r="F88" i="25"/>
  <c r="D88" i="25"/>
  <c r="L86" i="25"/>
  <c r="N86" i="25" s="1"/>
  <c r="G86" i="25"/>
  <c r="E86" i="25"/>
  <c r="F86" i="25" s="1"/>
  <c r="J81" i="25"/>
  <c r="B81" i="25"/>
  <c r="F17" i="25" s="1"/>
  <c r="I80" i="25"/>
  <c r="A80" i="25"/>
  <c r="B74" i="25"/>
  <c r="G70" i="25" s="1"/>
  <c r="G72" i="25"/>
  <c r="B69" i="25"/>
  <c r="F14" i="25" s="1"/>
  <c r="A69" i="25"/>
  <c r="N60" i="25"/>
  <c r="N61" i="25" s="1"/>
  <c r="F60" i="25"/>
  <c r="F61" i="25" s="1"/>
  <c r="J57" i="25"/>
  <c r="B57" i="25"/>
  <c r="F11" i="25" s="1"/>
  <c r="I56" i="25"/>
  <c r="A56" i="25"/>
  <c r="N46" i="25"/>
  <c r="N47" i="25" s="1"/>
  <c r="F46" i="25"/>
  <c r="N45" i="25"/>
  <c r="L45" i="25"/>
  <c r="K45" i="25"/>
  <c r="J45" i="25"/>
  <c r="F45" i="25"/>
  <c r="C45" i="25"/>
  <c r="B45" i="25"/>
  <c r="N40" i="25"/>
  <c r="N41" i="25" s="1"/>
  <c r="E40" i="25"/>
  <c r="F40" i="25" s="1"/>
  <c r="N39" i="25"/>
  <c r="L39" i="25"/>
  <c r="K39" i="25"/>
  <c r="J39" i="25"/>
  <c r="F39" i="25"/>
  <c r="E39" i="25"/>
  <c r="C39" i="25"/>
  <c r="B39" i="25"/>
  <c r="M34" i="25"/>
  <c r="N34" i="25" s="1"/>
  <c r="N35" i="25" s="1"/>
  <c r="F34" i="25"/>
  <c r="N33" i="25"/>
  <c r="M33" i="25"/>
  <c r="L33" i="25"/>
  <c r="K33" i="25"/>
  <c r="J33" i="25"/>
  <c r="F33" i="25"/>
  <c r="C33" i="25"/>
  <c r="B33" i="25"/>
  <c r="J30" i="25"/>
  <c r="B30" i="25"/>
  <c r="F8" i="25" s="1"/>
  <c r="I29" i="25"/>
  <c r="A29" i="25"/>
  <c r="A2" i="25"/>
  <c r="I487" i="24"/>
  <c r="I488" i="24" s="1"/>
  <c r="H487" i="24"/>
  <c r="H488" i="24" s="1"/>
  <c r="G487" i="24"/>
  <c r="G488" i="24" s="1"/>
  <c r="F487" i="24"/>
  <c r="F488" i="24" s="1"/>
  <c r="J484" i="24"/>
  <c r="B480" i="24"/>
  <c r="J41" i="24" s="1"/>
  <c r="A480" i="24"/>
  <c r="C467" i="24"/>
  <c r="B467" i="24"/>
  <c r="C465" i="24" s="1"/>
  <c r="C466" i="24"/>
  <c r="B447" i="24"/>
  <c r="J38" i="24" s="1"/>
  <c r="A447" i="24"/>
  <c r="K441" i="24"/>
  <c r="K439" i="24"/>
  <c r="K437" i="24"/>
  <c r="G435" i="24"/>
  <c r="F435" i="24"/>
  <c r="E435" i="24"/>
  <c r="D435" i="24"/>
  <c r="C435" i="24"/>
  <c r="K433" i="24"/>
  <c r="K432" i="24"/>
  <c r="K431" i="24"/>
  <c r="K430" i="24"/>
  <c r="K429" i="24"/>
  <c r="K425" i="24"/>
  <c r="I422" i="24"/>
  <c r="F422" i="24"/>
  <c r="B420" i="24"/>
  <c r="B417" i="24"/>
  <c r="J35" i="24" s="1"/>
  <c r="A417" i="24"/>
  <c r="F413" i="24"/>
  <c r="E412" i="24"/>
  <c r="F404" i="24"/>
  <c r="F409" i="24" s="1"/>
  <c r="G409" i="24" s="1"/>
  <c r="J409" i="24" s="1"/>
  <c r="B403" i="24"/>
  <c r="J32" i="24" s="1"/>
  <c r="A403" i="24"/>
  <c r="K394" i="24"/>
  <c r="G394" i="24"/>
  <c r="B394" i="24"/>
  <c r="M391" i="24"/>
  <c r="K393" i="24" s="1"/>
  <c r="N393" i="24" s="1"/>
  <c r="I391" i="24"/>
  <c r="G393" i="24" s="1"/>
  <c r="J393" i="24" s="1"/>
  <c r="D391" i="24"/>
  <c r="B393" i="24" s="1"/>
  <c r="E393" i="24" s="1"/>
  <c r="N390" i="24"/>
  <c r="J390" i="24"/>
  <c r="B383" i="24"/>
  <c r="J29" i="24" s="1"/>
  <c r="A383" i="24"/>
  <c r="B382" i="24"/>
  <c r="B378" i="24"/>
  <c r="F373" i="24"/>
  <c r="B356" i="24"/>
  <c r="J23" i="24" s="1"/>
  <c r="A356" i="24"/>
  <c r="B355" i="24"/>
  <c r="C351" i="24"/>
  <c r="N345" i="24"/>
  <c r="K347" i="24" s="1"/>
  <c r="K350" i="24" s="1"/>
  <c r="E344" i="24"/>
  <c r="E351" i="24" s="1"/>
  <c r="H343" i="24"/>
  <c r="J26" i="24" s="1"/>
  <c r="G343" i="24"/>
  <c r="B343" i="24"/>
  <c r="C47" i="24" s="1"/>
  <c r="A343" i="24"/>
  <c r="C337" i="24"/>
  <c r="K330" i="24"/>
  <c r="J330" i="24"/>
  <c r="I330" i="24"/>
  <c r="H330" i="24"/>
  <c r="G330" i="24"/>
  <c r="M329" i="24"/>
  <c r="K327" i="24"/>
  <c r="J327" i="24"/>
  <c r="I327" i="24"/>
  <c r="H327" i="24"/>
  <c r="G327" i="24"/>
  <c r="M326" i="24"/>
  <c r="K326" i="24"/>
  <c r="K329" i="24" s="1"/>
  <c r="J326" i="24"/>
  <c r="J329" i="24" s="1"/>
  <c r="I326" i="24"/>
  <c r="I329" i="24" s="1"/>
  <c r="H326" i="24"/>
  <c r="H329" i="24" s="1"/>
  <c r="G326" i="24"/>
  <c r="L325" i="24"/>
  <c r="K319" i="24"/>
  <c r="J319" i="24"/>
  <c r="I319" i="24"/>
  <c r="H319" i="24"/>
  <c r="G319" i="24"/>
  <c r="L318" i="24"/>
  <c r="B306" i="24"/>
  <c r="C44" i="24" s="1"/>
  <c r="A306" i="24"/>
  <c r="C300" i="24"/>
  <c r="K293" i="24"/>
  <c r="J293" i="24"/>
  <c r="I293" i="24"/>
  <c r="H293" i="24"/>
  <c r="G293" i="24"/>
  <c r="M292" i="24"/>
  <c r="K290" i="24"/>
  <c r="J290" i="24"/>
  <c r="I290" i="24"/>
  <c r="H290" i="24"/>
  <c r="G290" i="24"/>
  <c r="M289" i="24"/>
  <c r="K289" i="24"/>
  <c r="K292" i="24" s="1"/>
  <c r="J289" i="24"/>
  <c r="J292" i="24" s="1"/>
  <c r="I289" i="24"/>
  <c r="I292" i="24" s="1"/>
  <c r="H289" i="24"/>
  <c r="H292" i="24" s="1"/>
  <c r="G289" i="24"/>
  <c r="G292" i="24" s="1"/>
  <c r="L288" i="24"/>
  <c r="L287" i="24"/>
  <c r="B276" i="24"/>
  <c r="C41" i="24" s="1"/>
  <c r="A276" i="24"/>
  <c r="Q269" i="24"/>
  <c r="Q268" i="24"/>
  <c r="D266" i="24"/>
  <c r="D265" i="24"/>
  <c r="D264" i="24"/>
  <c r="D263" i="24"/>
  <c r="Q262" i="24"/>
  <c r="D262" i="24"/>
  <c r="Q261" i="24"/>
  <c r="D261" i="24"/>
  <c r="D260" i="24"/>
  <c r="D259" i="24"/>
  <c r="D258" i="24"/>
  <c r="D257" i="24"/>
  <c r="D256" i="24"/>
  <c r="D255" i="24"/>
  <c r="Q253" i="24"/>
  <c r="Q252" i="24"/>
  <c r="D252" i="24"/>
  <c r="M248" i="24"/>
  <c r="J20" i="24" s="1"/>
  <c r="B248" i="24"/>
  <c r="C38" i="24" s="1"/>
  <c r="A248" i="24"/>
  <c r="H244" i="24"/>
  <c r="G244" i="24"/>
  <c r="E244" i="24"/>
  <c r="J244" i="24" s="1"/>
  <c r="B239" i="24"/>
  <c r="C35" i="24" s="1"/>
  <c r="A239" i="24"/>
  <c r="T238" i="24"/>
  <c r="R238" i="24"/>
  <c r="Q238" i="24"/>
  <c r="T237" i="24"/>
  <c r="S237" i="24"/>
  <c r="U237" i="24" s="1"/>
  <c r="V237" i="24" s="1"/>
  <c r="Z234" i="24"/>
  <c r="N231" i="24"/>
  <c r="J17" i="24" s="1"/>
  <c r="M231" i="24"/>
  <c r="E231" i="24"/>
  <c r="D231" i="24"/>
  <c r="B231" i="24"/>
  <c r="P227" i="24"/>
  <c r="O227" i="24"/>
  <c r="N227" i="24"/>
  <c r="N219" i="24"/>
  <c r="J14" i="24" s="1"/>
  <c r="M219" i="24"/>
  <c r="B219" i="24"/>
  <c r="C32" i="24" s="1"/>
  <c r="A219" i="24"/>
  <c r="D210" i="24"/>
  <c r="C208" i="24"/>
  <c r="D207" i="24"/>
  <c r="C205" i="24"/>
  <c r="E204" i="24"/>
  <c r="D206" i="24" s="1"/>
  <c r="R203" i="24"/>
  <c r="N203" i="24"/>
  <c r="K203" i="24"/>
  <c r="N202" i="24" s="1"/>
  <c r="Q201" i="24"/>
  <c r="M201" i="24"/>
  <c r="R202" i="24" s="1"/>
  <c r="S202" i="24" s="1"/>
  <c r="H200" i="24"/>
  <c r="J11" i="24" s="1"/>
  <c r="G200" i="24"/>
  <c r="B200" i="24"/>
  <c r="C29" i="24" s="1"/>
  <c r="A200" i="24"/>
  <c r="C191" i="24"/>
  <c r="C189" i="24"/>
  <c r="D192" i="24" s="1"/>
  <c r="E192" i="24" s="1"/>
  <c r="K188" i="24"/>
  <c r="N187" i="24" s="1"/>
  <c r="E188" i="24"/>
  <c r="D190" i="24" s="1"/>
  <c r="O187" i="24"/>
  <c r="Q186" i="24"/>
  <c r="M186" i="24"/>
  <c r="R187" i="24" s="1"/>
  <c r="S187" i="24" s="1"/>
  <c r="H185" i="24"/>
  <c r="J8" i="24" s="1"/>
  <c r="G185" i="24"/>
  <c r="B185" i="24"/>
  <c r="C26" i="24" s="1"/>
  <c r="A185" i="24"/>
  <c r="C180" i="24"/>
  <c r="G174" i="24"/>
  <c r="F174" i="24"/>
  <c r="J174" i="24" s="1"/>
  <c r="F172" i="24"/>
  <c r="J170" i="24"/>
  <c r="B170" i="24"/>
  <c r="C23" i="24" s="1"/>
  <c r="A170" i="24"/>
  <c r="C166" i="24"/>
  <c r="K161" i="24"/>
  <c r="I161" i="24"/>
  <c r="G161" i="24"/>
  <c r="F161" i="24"/>
  <c r="J161" i="24" s="1"/>
  <c r="G159" i="24"/>
  <c r="K157" i="24"/>
  <c r="B157" i="24"/>
  <c r="C20" i="24" s="1"/>
  <c r="A157" i="24"/>
  <c r="I145" i="24"/>
  <c r="H145" i="24" s="1"/>
  <c r="H151" i="24" s="1"/>
  <c r="G145" i="24"/>
  <c r="H150" i="24" s="1"/>
  <c r="F145" i="24"/>
  <c r="H149" i="24" s="1"/>
  <c r="F144" i="24"/>
  <c r="H148" i="24" s="1"/>
  <c r="F142" i="24"/>
  <c r="E142" i="24"/>
  <c r="D142" i="24"/>
  <c r="C142" i="24"/>
  <c r="F141" i="24"/>
  <c r="K140" i="24" s="1"/>
  <c r="E141" i="24"/>
  <c r="I140" i="24" s="1"/>
  <c r="B136" i="24"/>
  <c r="C17" i="24" s="1"/>
  <c r="A136" i="24"/>
  <c r="B121" i="24"/>
  <c r="C14" i="24" s="1"/>
  <c r="A121" i="24"/>
  <c r="M115" i="24"/>
  <c r="L115" i="24"/>
  <c r="O115" i="24" s="1"/>
  <c r="P115" i="24" s="1"/>
  <c r="M114" i="24"/>
  <c r="L114" i="24"/>
  <c r="O114" i="24" s="1"/>
  <c r="P114" i="24" s="1"/>
  <c r="M113" i="24"/>
  <c r="L113" i="24"/>
  <c r="O113" i="24" s="1"/>
  <c r="P113" i="24" s="1"/>
  <c r="M111" i="24"/>
  <c r="L111" i="24"/>
  <c r="O111" i="24" s="1"/>
  <c r="P111" i="24" s="1"/>
  <c r="M110" i="24"/>
  <c r="L110" i="24"/>
  <c r="O110" i="24" s="1"/>
  <c r="P110" i="24" s="1"/>
  <c r="M109" i="24"/>
  <c r="L109" i="24"/>
  <c r="O109" i="24" s="1"/>
  <c r="M108" i="24"/>
  <c r="L108" i="24"/>
  <c r="O108" i="24" s="1"/>
  <c r="L106" i="24"/>
  <c r="B101" i="24"/>
  <c r="C11" i="24" s="1"/>
  <c r="A101" i="24"/>
  <c r="B71" i="24"/>
  <c r="C8" i="24" s="1"/>
  <c r="A70" i="24"/>
  <c r="J54" i="24"/>
  <c r="J5" i="24" s="1"/>
  <c r="B54" i="24"/>
  <c r="C5" i="24" s="1"/>
  <c r="I53" i="24"/>
  <c r="A53" i="24"/>
  <c r="A2" i="24"/>
  <c r="V47" i="23"/>
  <c r="U47" i="23"/>
  <c r="T47" i="23"/>
  <c r="S47" i="23"/>
  <c r="E47" i="23"/>
  <c r="V46" i="23"/>
  <c r="U46" i="23"/>
  <c r="T46" i="23"/>
  <c r="S46" i="23"/>
  <c r="E46" i="23"/>
  <c r="V45" i="23"/>
  <c r="U45" i="23"/>
  <c r="T45" i="23"/>
  <c r="S45" i="23"/>
  <c r="E45" i="23"/>
  <c r="B34" i="23"/>
  <c r="A34" i="23"/>
  <c r="V21" i="23"/>
  <c r="U21" i="23"/>
  <c r="T21" i="23"/>
  <c r="S21" i="23"/>
  <c r="E21" i="23"/>
  <c r="V20" i="23"/>
  <c r="U20" i="23"/>
  <c r="T20" i="23"/>
  <c r="S20" i="23"/>
  <c r="E20" i="23"/>
  <c r="V19" i="23"/>
  <c r="U19" i="23"/>
  <c r="T19" i="23"/>
  <c r="S19" i="23"/>
  <c r="E19" i="23"/>
  <c r="B8" i="23"/>
  <c r="A8" i="23"/>
  <c r="A2" i="23"/>
  <c r="A135" i="22"/>
  <c r="N126" i="22"/>
  <c r="P126" i="22" s="1"/>
  <c r="N125" i="22"/>
  <c r="P125" i="22" s="1"/>
  <c r="N124" i="22"/>
  <c r="P124" i="22" s="1"/>
  <c r="N123" i="22"/>
  <c r="P123" i="22" s="1"/>
  <c r="P122" i="22"/>
  <c r="N122" i="22"/>
  <c r="N121" i="22"/>
  <c r="P121" i="22" s="1"/>
  <c r="N120" i="22"/>
  <c r="P120" i="22" s="1"/>
  <c r="N119" i="22"/>
  <c r="P119" i="22" s="1"/>
  <c r="N118" i="22"/>
  <c r="P118" i="22" s="1"/>
  <c r="F118" i="22"/>
  <c r="N117" i="22"/>
  <c r="P117" i="22" s="1"/>
  <c r="J116" i="22"/>
  <c r="P113" i="22" s="1"/>
  <c r="F115" i="22"/>
  <c r="F125" i="22" s="1"/>
  <c r="K113" i="22"/>
  <c r="J110" i="22"/>
  <c r="J80" i="22" s="1"/>
  <c r="I110" i="22"/>
  <c r="B110" i="22"/>
  <c r="C80" i="22" s="1"/>
  <c r="A110" i="22"/>
  <c r="A76" i="22"/>
  <c r="B74" i="22"/>
  <c r="C74" i="22" s="1"/>
  <c r="B71" i="22"/>
  <c r="C71" i="22" s="1"/>
  <c r="K67" i="22"/>
  <c r="L67" i="22" s="1"/>
  <c r="L64" i="22"/>
  <c r="C63" i="22"/>
  <c r="B67" i="22" s="1"/>
  <c r="C67" i="22" s="1"/>
  <c r="C62" i="22"/>
  <c r="K59" i="22"/>
  <c r="J17" i="22" s="1"/>
  <c r="B59" i="22"/>
  <c r="C17" i="22" s="1"/>
  <c r="J58" i="22"/>
  <c r="A58" i="22"/>
  <c r="L54" i="22"/>
  <c r="L55" i="22" s="1"/>
  <c r="C54" i="22"/>
  <c r="C55" i="22" s="1"/>
  <c r="K51" i="22"/>
  <c r="J14" i="22" s="1"/>
  <c r="B51" i="22"/>
  <c r="C14" i="22" s="1"/>
  <c r="J50" i="22"/>
  <c r="A50" i="22"/>
  <c r="N44" i="22"/>
  <c r="E44" i="22"/>
  <c r="P43" i="22"/>
  <c r="P44" i="22" s="1"/>
  <c r="N43" i="22"/>
  <c r="L43" i="22"/>
  <c r="L44" i="22" s="1"/>
  <c r="G43" i="22"/>
  <c r="G44" i="22" s="1"/>
  <c r="E43" i="22"/>
  <c r="C43" i="22"/>
  <c r="C44" i="22" s="1"/>
  <c r="P40" i="22"/>
  <c r="P39" i="22" s="1"/>
  <c r="G40" i="22"/>
  <c r="G39" i="22" s="1"/>
  <c r="N39" i="22"/>
  <c r="N40" i="22" s="1"/>
  <c r="L39" i="22"/>
  <c r="L40" i="22" s="1"/>
  <c r="E39" i="22"/>
  <c r="E40" i="22" s="1"/>
  <c r="C39" i="22"/>
  <c r="C40" i="22" s="1"/>
  <c r="K36" i="22"/>
  <c r="J11" i="22" s="1"/>
  <c r="J36" i="22"/>
  <c r="B36" i="22"/>
  <c r="C11" i="22" s="1"/>
  <c r="A36" i="22"/>
  <c r="G30" i="22"/>
  <c r="G29" i="22" s="1"/>
  <c r="J29" i="22"/>
  <c r="J30" i="22" s="1"/>
  <c r="D29" i="22"/>
  <c r="D30" i="22" s="1"/>
  <c r="G25" i="22"/>
  <c r="D25" i="22"/>
  <c r="J24" i="22"/>
  <c r="J25" i="22" s="1"/>
  <c r="G24" i="22"/>
  <c r="D24" i="22"/>
  <c r="B21" i="22"/>
  <c r="C8" i="22" s="1"/>
  <c r="A21" i="22"/>
  <c r="A2" i="22"/>
  <c r="L58" i="21"/>
  <c r="K58" i="21"/>
  <c r="M57" i="21"/>
  <c r="K57" i="21"/>
  <c r="M56" i="21"/>
  <c r="L56" i="21"/>
  <c r="K53" i="21"/>
  <c r="J14" i="21" s="1"/>
  <c r="J53" i="21"/>
  <c r="B53" i="21"/>
  <c r="J11" i="21" s="1"/>
  <c r="A53" i="21"/>
  <c r="I37" i="21"/>
  <c r="H37" i="21"/>
  <c r="G37" i="21"/>
  <c r="H36" i="21"/>
  <c r="J36" i="21" s="1"/>
  <c r="J35" i="21"/>
  <c r="I35" i="21"/>
  <c r="G35" i="21"/>
  <c r="H34" i="21"/>
  <c r="I34" i="21" s="1"/>
  <c r="J34" i="21" s="1"/>
  <c r="M30" i="21"/>
  <c r="J8" i="21" s="1"/>
  <c r="G30" i="21"/>
  <c r="B14" i="21" s="1"/>
  <c r="L29" i="21"/>
  <c r="F29" i="21"/>
  <c r="N24" i="21"/>
  <c r="O24" i="21" s="1"/>
  <c r="F24" i="21"/>
  <c r="G24" i="21" s="1"/>
  <c r="N23" i="21"/>
  <c r="O23" i="21" s="1"/>
  <c r="F23" i="21"/>
  <c r="G23" i="21" s="1"/>
  <c r="N22" i="21"/>
  <c r="O22" i="21" s="1"/>
  <c r="F22" i="21"/>
  <c r="G22" i="21" s="1"/>
  <c r="N21" i="21"/>
  <c r="O21" i="21" s="1"/>
  <c r="F21" i="21"/>
  <c r="G21" i="21" s="1"/>
  <c r="N20" i="21"/>
  <c r="O20" i="21" s="1"/>
  <c r="K20" i="21"/>
  <c r="F20" i="21"/>
  <c r="G20" i="21" s="1"/>
  <c r="C20" i="21"/>
  <c r="J18" i="21"/>
  <c r="B11" i="21" s="1"/>
  <c r="I18" i="21"/>
  <c r="B18" i="21"/>
  <c r="B8" i="21" s="1"/>
  <c r="A18" i="21"/>
  <c r="A2" i="21"/>
  <c r="N42" i="25"/>
  <c r="I150" i="24"/>
  <c r="G234" i="24"/>
  <c r="I234" i="24"/>
  <c r="I152" i="24"/>
  <c r="K141" i="24"/>
  <c r="F233" i="24"/>
  <c r="I151" i="24"/>
  <c r="I148" i="24"/>
  <c r="E41" i="25"/>
  <c r="M36" i="25"/>
  <c r="H233" i="24"/>
  <c r="D233" i="24"/>
  <c r="F47" i="25"/>
  <c r="N48" i="25"/>
  <c r="F35" i="25"/>
  <c r="N36" i="25"/>
  <c r="I141" i="24"/>
  <c r="F41" i="25"/>
  <c r="B233" i="24"/>
  <c r="I149" i="24"/>
  <c r="J233" i="24"/>
  <c r="H152" i="24" l="1"/>
  <c r="L292" i="24"/>
  <c r="F407" i="24"/>
  <c r="G407" i="24" s="1"/>
  <c r="J407" i="24" s="1"/>
  <c r="O90" i="25"/>
  <c r="O86" i="25" s="1"/>
  <c r="M90" i="25" s="1"/>
  <c r="X21" i="23"/>
  <c r="C21" i="23" s="1"/>
  <c r="X46" i="23"/>
  <c r="C46" i="23" s="1"/>
  <c r="P109" i="24"/>
  <c r="Q109" i="24" s="1"/>
  <c r="F408" i="24"/>
  <c r="G408" i="24" s="1"/>
  <c r="J408" i="24" s="1"/>
  <c r="P108" i="24"/>
  <c r="Q108" i="24" s="1"/>
  <c r="R185" i="24"/>
  <c r="S238" i="24"/>
  <c r="C462" i="24"/>
  <c r="I111" i="25"/>
  <c r="L144" i="25"/>
  <c r="M145" i="25" s="1"/>
  <c r="Z6" i="55"/>
  <c r="F11" i="55"/>
  <c r="AK16" i="55"/>
  <c r="N15" i="55"/>
  <c r="N16" i="55" s="1"/>
  <c r="N17" i="55" s="1"/>
  <c r="N18" i="55" s="1"/>
  <c r="N19" i="55" s="1"/>
  <c r="N20" i="55" s="1"/>
  <c r="N21" i="55" s="1"/>
  <c r="N22" i="55" s="1"/>
  <c r="N23" i="55" s="1"/>
  <c r="N24" i="55" s="1"/>
  <c r="N25" i="55" s="1"/>
  <c r="N26" i="55" s="1"/>
  <c r="N27" i="55" s="1"/>
  <c r="N28" i="55" s="1"/>
  <c r="N29" i="55" s="1"/>
  <c r="N30" i="55" s="1"/>
  <c r="N31" i="55" s="1"/>
  <c r="N33" i="55" s="1"/>
  <c r="N34" i="55" s="1"/>
  <c r="N35" i="55" s="1"/>
  <c r="N36" i="55" s="1"/>
  <c r="N37" i="55" s="1"/>
  <c r="N38" i="55" s="1"/>
  <c r="N39" i="55" s="1"/>
  <c r="N40" i="55" s="1"/>
  <c r="N41" i="55" s="1"/>
  <c r="N42" i="55" s="1"/>
  <c r="N43" i="55" s="1"/>
  <c r="N44" i="55" s="1"/>
  <c r="N45" i="55" s="1"/>
  <c r="L326" i="24"/>
  <c r="H347" i="24"/>
  <c r="H350" i="24" s="1"/>
  <c r="F411" i="24"/>
  <c r="G411" i="24" s="1"/>
  <c r="J411" i="24" s="1"/>
  <c r="I462" i="24"/>
  <c r="H462" i="24" s="1"/>
  <c r="B462" i="24" s="1"/>
  <c r="D462" i="24" s="1"/>
  <c r="L347" i="24"/>
  <c r="L350" i="24" s="1"/>
  <c r="I466" i="24"/>
  <c r="H466" i="24" s="1"/>
  <c r="B466" i="24" s="1"/>
  <c r="D466" i="24" s="1"/>
  <c r="C64" i="22"/>
  <c r="W19" i="23"/>
  <c r="D19" i="23" s="1"/>
  <c r="J19" i="23" s="1"/>
  <c r="R227" i="24"/>
  <c r="S227" i="24" s="1"/>
  <c r="F123" i="22"/>
  <c r="X47" i="23"/>
  <c r="C47" i="23" s="1"/>
  <c r="J47" i="23" s="1"/>
  <c r="E190" i="24"/>
  <c r="P116" i="22"/>
  <c r="F121" i="22"/>
  <c r="F113" i="22" s="1"/>
  <c r="E121" i="22" s="1"/>
  <c r="X19" i="23"/>
  <c r="C19" i="23" s="1"/>
  <c r="X20" i="23"/>
  <c r="C20" i="23" s="1"/>
  <c r="X45" i="23"/>
  <c r="C45" i="23" s="1"/>
  <c r="D193" i="24"/>
  <c r="D211" i="24"/>
  <c r="Q292" i="20"/>
  <c r="Q293" i="20"/>
  <c r="G96" i="25"/>
  <c r="E96" i="25"/>
  <c r="M144" i="25"/>
  <c r="L152" i="25"/>
  <c r="M153" i="25" s="1"/>
  <c r="Q113" i="24"/>
  <c r="R113" i="24"/>
  <c r="S113" i="24" s="1"/>
  <c r="T113" i="24" s="1"/>
  <c r="Q111" i="24"/>
  <c r="R111" i="24"/>
  <c r="S111" i="24" s="1"/>
  <c r="T111" i="24" s="1"/>
  <c r="Q114" i="24"/>
  <c r="R114" i="24"/>
  <c r="S114" i="24" s="1"/>
  <c r="T114" i="24" s="1"/>
  <c r="J488" i="24"/>
  <c r="R109" i="24"/>
  <c r="S109" i="24" s="1"/>
  <c r="T109" i="24" s="1"/>
  <c r="J162" i="24"/>
  <c r="Q110" i="24"/>
  <c r="R110" i="24"/>
  <c r="S110" i="24" s="1"/>
  <c r="T110" i="24" s="1"/>
  <c r="Q115" i="24"/>
  <c r="R115" i="24"/>
  <c r="S115" i="24" s="1"/>
  <c r="T115" i="24" s="1"/>
  <c r="I465" i="24"/>
  <c r="H465" i="24" s="1"/>
  <c r="B465" i="24" s="1"/>
  <c r="D465" i="24" s="1"/>
  <c r="G175" i="24"/>
  <c r="R200" i="24"/>
  <c r="O202" i="24"/>
  <c r="D209" i="24"/>
  <c r="E209" i="24" s="1"/>
  <c r="F231" i="24"/>
  <c r="G231" i="24" s="1"/>
  <c r="W237" i="24"/>
  <c r="U238" i="24"/>
  <c r="V238" i="24" s="1"/>
  <c r="G329" i="24"/>
  <c r="L329" i="24" s="1"/>
  <c r="I347" i="24"/>
  <c r="I350" i="24" s="1"/>
  <c r="M347" i="24"/>
  <c r="M350" i="24" s="1"/>
  <c r="C393" i="24"/>
  <c r="H393" i="24"/>
  <c r="L393" i="24"/>
  <c r="F406" i="24"/>
  <c r="G406" i="24" s="1"/>
  <c r="J406" i="24" s="1"/>
  <c r="F410" i="24"/>
  <c r="G410" i="24" s="1"/>
  <c r="J410" i="24" s="1"/>
  <c r="C463" i="24"/>
  <c r="J487" i="24"/>
  <c r="I162" i="24"/>
  <c r="K162" i="24" s="1"/>
  <c r="H175" i="24"/>
  <c r="J175" i="24" s="1"/>
  <c r="E206" i="24"/>
  <c r="X237" i="24"/>
  <c r="Y237" i="24" s="1"/>
  <c r="Z237" i="24" s="1"/>
  <c r="J347" i="24"/>
  <c r="J350" i="24" s="1"/>
  <c r="D393" i="24"/>
  <c r="I393" i="24"/>
  <c r="M393" i="24"/>
  <c r="F405" i="24"/>
  <c r="G405" i="24" s="1"/>
  <c r="J405" i="24" s="1"/>
  <c r="C464" i="24"/>
  <c r="L289" i="24"/>
  <c r="P45" i="23"/>
  <c r="J45" i="23"/>
  <c r="M45" i="23"/>
  <c r="G45" i="23"/>
  <c r="P46" i="23"/>
  <c r="M19" i="23"/>
  <c r="G19" i="23"/>
  <c r="P19" i="23"/>
  <c r="W20" i="23"/>
  <c r="D20" i="23" s="1"/>
  <c r="W45" i="23"/>
  <c r="D45" i="23" s="1"/>
  <c r="W21" i="23"/>
  <c r="D21" i="23" s="1"/>
  <c r="G46" i="23"/>
  <c r="M46" i="23"/>
  <c r="W46" i="23"/>
  <c r="D46" i="23" s="1"/>
  <c r="W47" i="23"/>
  <c r="D47" i="23" s="1"/>
  <c r="J46" i="23"/>
  <c r="E125" i="22"/>
  <c r="L113" i="22"/>
  <c r="F127" i="22"/>
  <c r="G36" i="21"/>
  <c r="B734" i="20"/>
  <c r="B23" i="20" s="1"/>
  <c r="C23" i="20"/>
  <c r="B759" i="20"/>
  <c r="B25" i="20" s="1"/>
  <c r="B792" i="20"/>
  <c r="B27" i="20" s="1"/>
  <c r="B920" i="20"/>
  <c r="B29" i="20" s="1"/>
  <c r="B38" i="20"/>
  <c r="T38" i="20"/>
  <c r="A39" i="20"/>
  <c r="G60" i="20"/>
  <c r="T60" i="20"/>
  <c r="G67" i="20"/>
  <c r="T67" i="20"/>
  <c r="G73" i="20"/>
  <c r="T73" i="20"/>
  <c r="A86" i="20"/>
  <c r="B86" i="20"/>
  <c r="P86" i="20"/>
  <c r="E90" i="20"/>
  <c r="L90" i="20"/>
  <c r="N90" i="20"/>
  <c r="G91" i="20"/>
  <c r="P91" i="20"/>
  <c r="E93" i="20"/>
  <c r="M93" i="20"/>
  <c r="B107" i="20"/>
  <c r="M107" i="20"/>
  <c r="A108" i="20"/>
  <c r="G144" i="20"/>
  <c r="C145" i="20"/>
  <c r="E145" i="20"/>
  <c r="G145" i="20"/>
  <c r="E153" i="20"/>
  <c r="I153" i="20" s="1"/>
  <c r="C154" i="20"/>
  <c r="E154" i="20"/>
  <c r="G154" i="20"/>
  <c r="C162" i="20"/>
  <c r="E162" i="20"/>
  <c r="G162" i="20"/>
  <c r="E163" i="20"/>
  <c r="I163" i="20" s="1"/>
  <c r="E165" i="20"/>
  <c r="I171" i="20"/>
  <c r="C181" i="20"/>
  <c r="E181" i="20"/>
  <c r="G181" i="20"/>
  <c r="G182" i="20"/>
  <c r="I182" i="20" s="1"/>
  <c r="D184" i="20"/>
  <c r="G194" i="20"/>
  <c r="C195" i="20"/>
  <c r="E195" i="20"/>
  <c r="C203" i="20"/>
  <c r="E203" i="20"/>
  <c r="E205" i="20"/>
  <c r="G205" i="20" s="1"/>
  <c r="J205" i="20"/>
  <c r="D207" i="20"/>
  <c r="C217" i="20"/>
  <c r="E217" i="20"/>
  <c r="G217" i="20"/>
  <c r="E218" i="20"/>
  <c r="I218" i="20" s="1"/>
  <c r="E220" i="20"/>
  <c r="C230" i="20"/>
  <c r="E230" i="20"/>
  <c r="G230" i="20"/>
  <c r="I231" i="20"/>
  <c r="E233" i="20"/>
  <c r="C242" i="20"/>
  <c r="E242" i="20"/>
  <c r="G242" i="20"/>
  <c r="E244" i="20"/>
  <c r="I244" i="20" s="1"/>
  <c r="E246" i="20"/>
  <c r="C254" i="20"/>
  <c r="E254" i="20"/>
  <c r="G254" i="20"/>
  <c r="E256" i="20"/>
  <c r="I256" i="20" s="1"/>
  <c r="E258" i="20"/>
  <c r="C267" i="20"/>
  <c r="E267" i="20"/>
  <c r="G267" i="20"/>
  <c r="I269" i="20"/>
  <c r="E271" i="20"/>
  <c r="A285" i="20"/>
  <c r="B285" i="20"/>
  <c r="I285" i="20"/>
  <c r="H290" i="20"/>
  <c r="D291" i="20"/>
  <c r="F291" i="20"/>
  <c r="G295" i="20"/>
  <c r="G297" i="20"/>
  <c r="I297" i="20" s="1"/>
  <c r="C298" i="20"/>
  <c r="E298" i="20"/>
  <c r="G298" i="20"/>
  <c r="A360" i="20"/>
  <c r="B360" i="20"/>
  <c r="M360" i="20"/>
  <c r="D384" i="20"/>
  <c r="G385" i="20"/>
  <c r="C391" i="20"/>
  <c r="E391" i="20"/>
  <c r="G393" i="20"/>
  <c r="C396" i="20"/>
  <c r="E396" i="20"/>
  <c r="C400" i="20"/>
  <c r="E400" i="20"/>
  <c r="G402" i="20"/>
  <c r="D405" i="20"/>
  <c r="C414" i="20"/>
  <c r="E414" i="20"/>
  <c r="G416" i="20"/>
  <c r="C420" i="20"/>
  <c r="E420" i="20"/>
  <c r="G422" i="20"/>
  <c r="C431" i="20"/>
  <c r="E431" i="20"/>
  <c r="E434" i="20"/>
  <c r="G433" i="20" s="1"/>
  <c r="C436" i="20"/>
  <c r="E436" i="20"/>
  <c r="C440" i="20"/>
  <c r="E440" i="20"/>
  <c r="E443" i="20"/>
  <c r="G442" i="20" s="1"/>
  <c r="C448" i="20"/>
  <c r="E448" i="20"/>
  <c r="G450" i="20"/>
  <c r="D453" i="20"/>
  <c r="B466" i="20"/>
  <c r="C466" i="20"/>
  <c r="H466" i="20"/>
  <c r="H471" i="20"/>
  <c r="F477" i="20" s="1"/>
  <c r="F479" i="20" s="1"/>
  <c r="D472" i="20"/>
  <c r="F472" i="20"/>
  <c r="H472" i="20"/>
  <c r="F476" i="20"/>
  <c r="I502" i="20"/>
  <c r="E532" i="20"/>
  <c r="B620" i="20"/>
  <c r="C620" i="20"/>
  <c r="J620" i="20"/>
  <c r="J627" i="20"/>
  <c r="D628" i="20"/>
  <c r="F628" i="20"/>
  <c r="H628" i="20"/>
  <c r="J634" i="20"/>
  <c r="J635" i="20"/>
  <c r="B653" i="20"/>
  <c r="C653" i="20"/>
  <c r="J653" i="20"/>
  <c r="J666" i="20"/>
  <c r="D667" i="20"/>
  <c r="F667" i="20"/>
  <c r="H667" i="20"/>
  <c r="H678" i="20"/>
  <c r="F686" i="20" s="1"/>
  <c r="H686" i="20" s="1"/>
  <c r="D679" i="20"/>
  <c r="F679" i="20"/>
  <c r="H679" i="20"/>
  <c r="D688" i="20"/>
  <c r="F688" i="20"/>
  <c r="D698" i="20"/>
  <c r="E698" i="20"/>
  <c r="I698" i="20"/>
  <c r="J701" i="20"/>
  <c r="I702" i="20"/>
  <c r="I703" i="20" s="1"/>
  <c r="E706" i="20" s="1"/>
  <c r="J704" i="20" s="1"/>
  <c r="J708" i="20" s="1"/>
  <c r="I708" i="20"/>
  <c r="B745" i="20"/>
  <c r="C745" i="20"/>
  <c r="H745" i="20"/>
  <c r="H749" i="20"/>
  <c r="I749" i="20" s="1"/>
  <c r="H751" i="20" s="1"/>
  <c r="H750" i="20"/>
  <c r="B771" i="20"/>
  <c r="C771" i="20"/>
  <c r="K771" i="20"/>
  <c r="H778" i="20"/>
  <c r="H774" i="20" s="1"/>
  <c r="B839" i="20"/>
  <c r="C839" i="20"/>
  <c r="H839" i="20"/>
  <c r="I843" i="20"/>
  <c r="H845" i="20" s="1"/>
  <c r="H843" i="20" s="1"/>
  <c r="B855" i="20"/>
  <c r="C65" i="15"/>
  <c r="N63" i="15"/>
  <c r="M63" i="15"/>
  <c r="L63" i="15"/>
  <c r="K63" i="15"/>
  <c r="J63" i="15"/>
  <c r="I63" i="15"/>
  <c r="H63" i="15"/>
  <c r="G63" i="15"/>
  <c r="F63" i="15"/>
  <c r="E63" i="15"/>
  <c r="D63" i="15"/>
  <c r="C63" i="15"/>
  <c r="B63" i="15"/>
  <c r="A62" i="15"/>
  <c r="K59" i="15"/>
  <c r="J59" i="15"/>
  <c r="H59" i="15"/>
  <c r="M59" i="15" s="1"/>
  <c r="B56" i="15"/>
  <c r="A56" i="15"/>
  <c r="M52" i="15"/>
  <c r="L52" i="15" s="1"/>
  <c r="G52" i="15"/>
  <c r="E52" i="15"/>
  <c r="I52" i="15" s="1"/>
  <c r="B49" i="15"/>
  <c r="A49" i="15"/>
  <c r="M44" i="15"/>
  <c r="L44" i="15"/>
  <c r="G44" i="15"/>
  <c r="F44" i="15"/>
  <c r="H44" i="15" s="1"/>
  <c r="I44" i="15" s="1"/>
  <c r="B41" i="15"/>
  <c r="A41" i="15"/>
  <c r="A37" i="15"/>
  <c r="M33" i="15"/>
  <c r="N33" i="15" s="1"/>
  <c r="L33" i="15"/>
  <c r="K33" i="15"/>
  <c r="E33" i="15"/>
  <c r="B30" i="15"/>
  <c r="N26" i="15"/>
  <c r="L26" i="15"/>
  <c r="G26" i="15"/>
  <c r="F33" i="15" s="1"/>
  <c r="E26" i="15"/>
  <c r="I26" i="15" s="1"/>
  <c r="B23" i="15"/>
  <c r="A23" i="15"/>
  <c r="A19" i="15"/>
  <c r="M15" i="15"/>
  <c r="A15" i="15"/>
  <c r="A13" i="15"/>
  <c r="A12" i="15"/>
  <c r="A11" i="15"/>
  <c r="A10" i="15"/>
  <c r="A9" i="15"/>
  <c r="A2" i="15"/>
  <c r="H393" i="20"/>
  <c r="H291" i="20"/>
  <c r="J256" i="20"/>
  <c r="J231" i="20"/>
  <c r="P92" i="20"/>
  <c r="J636" i="20"/>
  <c r="J218" i="20"/>
  <c r="J667" i="20"/>
  <c r="J628" i="20"/>
  <c r="H205" i="20"/>
  <c r="H91" i="20"/>
  <c r="G68" i="20"/>
  <c r="H450" i="20"/>
  <c r="I471" i="20"/>
  <c r="T62" i="20"/>
  <c r="J686" i="20"/>
  <c r="H144" i="20"/>
  <c r="H194" i="20"/>
  <c r="H433" i="20"/>
  <c r="J163" i="20"/>
  <c r="G75" i="20"/>
  <c r="J269" i="20"/>
  <c r="H402" i="20"/>
  <c r="G479" i="20"/>
  <c r="I678" i="20"/>
  <c r="T75" i="20"/>
  <c r="H416" i="20"/>
  <c r="J153" i="20"/>
  <c r="I532" i="20"/>
  <c r="G62" i="20"/>
  <c r="J244" i="20"/>
  <c r="H385" i="20"/>
  <c r="J171" i="20"/>
  <c r="F687" i="20"/>
  <c r="H422" i="20"/>
  <c r="T69" i="20"/>
  <c r="H442" i="20"/>
  <c r="G477" i="20"/>
  <c r="I298" i="20"/>
  <c r="J182" i="20"/>
  <c r="N52" i="15" l="1"/>
  <c r="N350" i="24"/>
  <c r="E123" i="22"/>
  <c r="P47" i="23"/>
  <c r="R108" i="24"/>
  <c r="S108" i="24" s="1"/>
  <c r="T108" i="24" s="1"/>
  <c r="N46" i="55"/>
  <c r="N48" i="55" s="1"/>
  <c r="N49" i="55" s="1"/>
  <c r="N50" i="55" s="1"/>
  <c r="N51" i="55" s="1"/>
  <c r="N52" i="55" s="1"/>
  <c r="P5" i="55" s="1"/>
  <c r="M26" i="15"/>
  <c r="N44" i="15"/>
  <c r="F12" i="55"/>
  <c r="P6" i="55"/>
  <c r="AK17" i="55"/>
  <c r="AK18" i="55" s="1"/>
  <c r="AK19" i="55" s="1"/>
  <c r="AK20" i="55" s="1"/>
  <c r="AK21" i="55" s="1"/>
  <c r="AK22" i="55" s="1"/>
  <c r="AK23" i="55" s="1"/>
  <c r="AK24"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K43" i="55" s="1"/>
  <c r="AK44" i="55" s="1"/>
  <c r="AK45" i="55" s="1"/>
  <c r="AK46" i="55" s="1"/>
  <c r="AK47" i="55" s="1"/>
  <c r="AK48" i="55" s="1"/>
  <c r="AK49" i="55" s="1"/>
  <c r="AK50" i="55" s="1"/>
  <c r="AK51" i="55" s="1"/>
  <c r="AK52" i="55" s="1"/>
  <c r="AK53" i="55" s="1"/>
  <c r="AK54" i="55" s="1"/>
  <c r="AK55" i="55" s="1"/>
  <c r="AK56" i="55" s="1"/>
  <c r="AK57" i="55" s="1"/>
  <c r="AK58" i="55" s="1"/>
  <c r="Z7" i="55"/>
  <c r="Z8" i="55" s="1"/>
  <c r="U227" i="24"/>
  <c r="V227" i="24" s="1"/>
  <c r="W227" i="24" s="1"/>
  <c r="T227" i="24"/>
  <c r="G33" i="15"/>
  <c r="H33" i="15" s="1"/>
  <c r="I33" i="15" s="1"/>
  <c r="M47" i="23"/>
  <c r="AB47" i="23" s="1"/>
  <c r="E127" i="22"/>
  <c r="G47" i="23"/>
  <c r="Z47" i="23" s="1"/>
  <c r="I844" i="20"/>
  <c r="I750" i="20"/>
  <c r="H752" i="20" s="1"/>
  <c r="H775" i="20"/>
  <c r="H777" i="20" s="1"/>
  <c r="H844" i="20"/>
  <c r="I778" i="20"/>
  <c r="M141" i="25"/>
  <c r="L141" i="25"/>
  <c r="G94" i="25"/>
  <c r="F94" i="25"/>
  <c r="E94" i="25"/>
  <c r="G91" i="25"/>
  <c r="E91" i="25"/>
  <c r="I231" i="24"/>
  <c r="H231" i="24"/>
  <c r="J231" i="24"/>
  <c r="K231" i="24" s="1"/>
  <c r="X238" i="24"/>
  <c r="Y238" i="24" s="1"/>
  <c r="Z238" i="24" s="1"/>
  <c r="W238" i="24"/>
  <c r="I464" i="24"/>
  <c r="H464" i="24" s="1"/>
  <c r="B464" i="24" s="1"/>
  <c r="D464" i="24" s="1"/>
  <c r="I463" i="24"/>
  <c r="H463" i="24" s="1"/>
  <c r="B463" i="24" s="1"/>
  <c r="D463" i="24" s="1"/>
  <c r="K461" i="24" s="1"/>
  <c r="H162" i="24"/>
  <c r="J489" i="24"/>
  <c r="J490" i="24" s="1"/>
  <c r="Z46" i="23"/>
  <c r="AB19" i="23"/>
  <c r="AA45" i="23"/>
  <c r="P21" i="23"/>
  <c r="J21" i="23"/>
  <c r="M21" i="23"/>
  <c r="G21" i="23"/>
  <c r="AA19" i="23"/>
  <c r="AC46" i="23"/>
  <c r="AC45" i="23"/>
  <c r="AC19" i="23"/>
  <c r="Z45" i="23"/>
  <c r="AA47" i="23"/>
  <c r="AA46" i="23"/>
  <c r="AB46" i="23"/>
  <c r="P20" i="23"/>
  <c r="J20" i="23"/>
  <c r="M20" i="23"/>
  <c r="G20" i="23"/>
  <c r="Z19" i="23"/>
  <c r="AB45" i="23"/>
  <c r="AC47" i="23"/>
  <c r="H47" i="23" l="1"/>
  <c r="Q19" i="23"/>
  <c r="F14" i="55"/>
  <c r="F15" i="55" s="1"/>
  <c r="H846" i="20"/>
  <c r="Z9" i="55"/>
  <c r="P7" i="55"/>
  <c r="N46" i="23"/>
  <c r="K47" i="23"/>
  <c r="N45" i="23"/>
  <c r="H776" i="20"/>
  <c r="H847" i="20"/>
  <c r="I774" i="20"/>
  <c r="I775" i="20"/>
  <c r="E464" i="24"/>
  <c r="E462" i="24"/>
  <c r="E466" i="24"/>
  <c r="E465" i="24"/>
  <c r="E463" i="24"/>
  <c r="Q47" i="23"/>
  <c r="H19" i="23"/>
  <c r="AA20" i="23"/>
  <c r="K46" i="23"/>
  <c r="H45" i="23"/>
  <c r="K19" i="23"/>
  <c r="AA21" i="23"/>
  <c r="K45" i="23"/>
  <c r="AC20" i="23"/>
  <c r="Q45" i="23"/>
  <c r="AC21" i="23"/>
  <c r="N47" i="23"/>
  <c r="Z20" i="23"/>
  <c r="Q46" i="23"/>
  <c r="Z21" i="23"/>
  <c r="N19" i="23"/>
  <c r="H46" i="23"/>
  <c r="AB20" i="23"/>
  <c r="AB21" i="23"/>
  <c r="N20" i="23" l="1"/>
  <c r="F16" i="55"/>
  <c r="F17" i="55"/>
  <c r="F18" i="55" s="1"/>
  <c r="F19" i="55" s="1"/>
  <c r="F20" i="55" s="1"/>
  <c r="F21" i="55" s="1"/>
  <c r="Z10" i="55"/>
  <c r="P9" i="55"/>
  <c r="H20" i="23"/>
  <c r="K21" i="23"/>
  <c r="K20" i="23"/>
  <c r="J778" i="20"/>
  <c r="I776" i="20"/>
  <c r="F463" i="24"/>
  <c r="J463" i="24"/>
  <c r="K463" i="24" s="1"/>
  <c r="F465" i="24"/>
  <c r="J465" i="24"/>
  <c r="K465" i="24" s="1"/>
  <c r="F466" i="24"/>
  <c r="J466" i="24" s="1"/>
  <c r="K466" i="24" s="1"/>
  <c r="J464" i="24"/>
  <c r="K464" i="24" s="1"/>
  <c r="F464" i="24"/>
  <c r="E452" i="24"/>
  <c r="C456" i="24" s="1"/>
  <c r="F462" i="24"/>
  <c r="J462" i="24"/>
  <c r="K462" i="24" s="1"/>
  <c r="Q21" i="23"/>
  <c r="Q20" i="23"/>
  <c r="N21" i="23"/>
  <c r="H21" i="23"/>
  <c r="F22" i="55" l="1"/>
  <c r="F23" i="55" s="1"/>
  <c r="F24" i="55" s="1"/>
  <c r="H5" i="55" s="1"/>
  <c r="P11" i="55"/>
  <c r="Z11" i="55"/>
  <c r="J775" i="20"/>
  <c r="J774" i="20"/>
  <c r="J461" i="24"/>
  <c r="K450" i="24" s="1"/>
  <c r="I450" i="24" s="1"/>
  <c r="H452" i="24"/>
  <c r="K458" i="24" s="1"/>
  <c r="H456" i="24"/>
  <c r="C458" i="24"/>
  <c r="G456" i="24"/>
  <c r="B456" i="24"/>
  <c r="B458" i="24"/>
  <c r="H6" i="55" l="1"/>
  <c r="H7" i="55" s="1"/>
  <c r="P12" i="55"/>
  <c r="P13" i="55" s="1"/>
  <c r="Z12" i="55"/>
  <c r="F456" i="24"/>
  <c r="J456" i="24" s="1"/>
  <c r="K778" i="20"/>
  <c r="J776" i="20"/>
  <c r="D458" i="24"/>
  <c r="I458" i="24"/>
  <c r="D456" i="24" l="1"/>
  <c r="H8" i="55"/>
  <c r="H10" i="55" s="1"/>
  <c r="Z13" i="55"/>
  <c r="Z14" i="55" s="1"/>
  <c r="Z15" i="55" s="1"/>
  <c r="Z16" i="55" s="1"/>
  <c r="Z17" i="55" s="1"/>
  <c r="Z18" i="55" s="1"/>
  <c r="Z19" i="55" s="1"/>
  <c r="Z20" i="55" s="1"/>
  <c r="Z21" i="55" s="1"/>
  <c r="Z22" i="55" s="1"/>
  <c r="Z23" i="55" s="1"/>
  <c r="Z24" i="55" s="1"/>
  <c r="Z25" i="55" s="1"/>
  <c r="Z26" i="55" s="1"/>
  <c r="Z29" i="55" s="1"/>
  <c r="Z30" i="55" s="1"/>
  <c r="Z31" i="55" s="1"/>
  <c r="Z32" i="55" s="1"/>
  <c r="Z33" i="55" s="1"/>
  <c r="Z34" i="55" s="1"/>
  <c r="Z35" i="55" s="1"/>
  <c r="Z36" i="55" s="1"/>
  <c r="Z37" i="55" s="1"/>
  <c r="Z38" i="55" s="1"/>
  <c r="Z39" i="55" s="1"/>
  <c r="Z40" i="55" s="1"/>
  <c r="Z41" i="55" s="1"/>
  <c r="Z44" i="55" s="1"/>
  <c r="Z45" i="55" s="1"/>
  <c r="Z46" i="55" s="1"/>
  <c r="Z47" i="55" s="1"/>
  <c r="Z48" i="55" s="1"/>
  <c r="Z51" i="55" s="1"/>
  <c r="Z54" i="55" s="1"/>
  <c r="Z55" i="55" s="1"/>
  <c r="Z56" i="55" s="1"/>
  <c r="Z57" i="55" s="1"/>
  <c r="Z58" i="55" s="1"/>
  <c r="Z59" i="55" s="1"/>
  <c r="Z60" i="55" s="1"/>
  <c r="Z61" i="55" s="1"/>
  <c r="Z62" i="55" s="1"/>
  <c r="AB5" i="55" s="1"/>
  <c r="P14" i="55"/>
  <c r="K774" i="20"/>
  <c r="K775" i="20"/>
  <c r="F458" i="24"/>
  <c r="J458" i="24" s="1"/>
  <c r="G458" i="24"/>
  <c r="H11" i="55" l="1"/>
  <c r="H12" i="55"/>
  <c r="H14" i="55"/>
  <c r="H16" i="55" s="1"/>
  <c r="AB6" i="55"/>
  <c r="P16" i="55"/>
  <c r="P17" i="55" s="1"/>
  <c r="P18" i="55" s="1"/>
  <c r="P19" i="55" s="1"/>
  <c r="L778" i="20"/>
  <c r="K776" i="20"/>
  <c r="H18" i="55" l="1"/>
  <c r="H19" i="55"/>
  <c r="P20" i="55"/>
  <c r="P21" i="55" s="1"/>
  <c r="P22" i="55" s="1"/>
  <c r="P23" i="55" s="1"/>
  <c r="P24" i="55" s="1"/>
  <c r="P25" i="55" s="1"/>
  <c r="P26" i="55" s="1"/>
  <c r="P27" i="55" s="1"/>
  <c r="P29" i="55" s="1"/>
  <c r="P30" i="55" s="1"/>
  <c r="P33" i="55" s="1"/>
  <c r="P34" i="55" s="1"/>
  <c r="P35" i="55" s="1"/>
  <c r="P36" i="55" s="1"/>
  <c r="P37" i="55" s="1"/>
  <c r="P38" i="55" s="1"/>
  <c r="P39" i="55" s="1"/>
  <c r="P40" i="55" s="1"/>
  <c r="P41" i="55" s="1"/>
  <c r="P42" i="55" s="1"/>
  <c r="P43" i="55" s="1"/>
  <c r="P45" i="55" s="1"/>
  <c r="P48" i="55" s="1"/>
  <c r="P49" i="55" s="1"/>
  <c r="P50" i="55" s="1"/>
  <c r="P51" i="55" s="1"/>
  <c r="P52" i="55" s="1"/>
  <c r="R5" i="55" s="1"/>
  <c r="R6" i="55" s="1"/>
  <c r="AB7" i="55"/>
  <c r="AB8" i="55" s="1"/>
  <c r="L774" i="20"/>
  <c r="L775" i="20"/>
  <c r="R7" i="55" l="1"/>
  <c r="R8" i="55" s="1"/>
  <c r="R9" i="55" s="1"/>
  <c r="AB9" i="55"/>
  <c r="L776" i="20"/>
  <c r="R10" i="55" l="1"/>
  <c r="R11" i="55" s="1"/>
  <c r="AB10" i="55"/>
  <c r="AB11" i="55" l="1"/>
  <c r="AB12" i="55" s="1"/>
  <c r="R13" i="55"/>
  <c r="R14" i="55" s="1"/>
  <c r="R15" i="55" l="1"/>
  <c r="R16" i="55"/>
  <c r="AB13" i="55"/>
  <c r="R17" i="55"/>
  <c r="R18" i="55" s="1"/>
  <c r="R19" i="55" s="1"/>
  <c r="R21" i="55" s="1"/>
  <c r="R22" i="55" s="1"/>
  <c r="R23" i="55" s="1"/>
  <c r="R24" i="55" s="1"/>
  <c r="R25" i="55" s="1"/>
  <c r="R26" i="55" s="1"/>
  <c r="R27" i="55" s="1"/>
  <c r="R28" i="55" s="1"/>
  <c r="R29" i="55" s="1"/>
  <c r="R30" i="55" s="1"/>
  <c r="R31" i="55" s="1"/>
  <c r="R34" i="55" s="1"/>
  <c r="R35" i="55" s="1"/>
  <c r="R36" i="55" s="1"/>
  <c r="R39" i="55" s="1"/>
  <c r="AB14" i="55" l="1"/>
  <c r="AB15" i="55" s="1"/>
  <c r="AB16" i="55" l="1"/>
  <c r="AB17" i="55" s="1"/>
  <c r="AB18" i="55" l="1"/>
  <c r="AB19" i="55" s="1"/>
  <c r="AB20" i="55" s="1"/>
  <c r="AB21" i="55" s="1"/>
  <c r="AB22" i="55" s="1"/>
  <c r="AB23" i="55" s="1"/>
  <c r="AB24" i="55" s="1"/>
  <c r="AB25" i="55" s="1"/>
  <c r="AB26" i="55" s="1"/>
  <c r="AB27" i="55" s="1"/>
  <c r="AB28" i="55" s="1"/>
  <c r="AB30" i="55" s="1"/>
  <c r="AB31" i="55" s="1"/>
  <c r="AB33" i="55" s="1"/>
  <c r="AB34" i="55" s="1"/>
  <c r="AB35" i="55" s="1"/>
  <c r="AB36" i="55" s="1"/>
  <c r="AB37" i="55" s="1"/>
  <c r="AB38" i="55" s="1"/>
  <c r="AB39" i="55" s="1"/>
  <c r="AB40" i="55" s="1"/>
  <c r="AB41" i="55" s="1"/>
  <c r="AB42" i="55" s="1"/>
  <c r="AB43" i="55" s="1"/>
  <c r="AB44" i="55" s="1"/>
  <c r="AB45" i="55" s="1"/>
  <c r="AB46" i="55" s="1"/>
  <c r="AB47" i="55" s="1"/>
  <c r="AB48" i="55" s="1"/>
  <c r="AB49" i="55" s="1"/>
  <c r="AB50" i="55" s="1"/>
  <c r="AB51" i="55" s="1"/>
  <c r="AB52" i="55" s="1"/>
  <c r="AB53" i="55" s="1"/>
  <c r="AB54" i="55" s="1"/>
  <c r="AB55" i="55" s="1"/>
  <c r="AB56" i="55" s="1"/>
  <c r="AB57" i="55" s="1"/>
  <c r="AB58" i="55" s="1"/>
  <c r="AB59" i="55" s="1"/>
  <c r="AB62" i="55" s="1"/>
  <c r="AD5" i="55" s="1"/>
  <c r="AD6" i="55" s="1"/>
  <c r="AD7" i="55" l="1"/>
  <c r="AD8" i="55" l="1"/>
  <c r="AD9" i="55" l="1"/>
  <c r="AD10" i="55" s="1"/>
  <c r="AD11" i="55" l="1"/>
  <c r="AD12" i="55" l="1"/>
  <c r="AD13" i="55" l="1"/>
  <c r="AD14" i="55" s="1"/>
  <c r="AD15" i="55" s="1"/>
  <c r="AD16" i="55" s="1"/>
  <c r="AD17" i="55" s="1"/>
  <c r="AD18" i="55" s="1"/>
  <c r="AD19" i="55" s="1"/>
  <c r="AD20" i="55" s="1"/>
  <c r="AD21" i="55" s="1"/>
  <c r="AD22" i="55" s="1"/>
  <c r="AD23" i="55" s="1"/>
  <c r="AD24" i="55" s="1"/>
  <c r="AD25" i="55" s="1"/>
  <c r="AD26" i="55" s="1"/>
  <c r="AD27" i="55" s="1"/>
  <c r="AD28" i="55" s="1"/>
  <c r="AD29" i="55" s="1"/>
  <c r="AD30" i="55" s="1"/>
  <c r="AD31" i="55" s="1"/>
  <c r="AD32" i="55" s="1"/>
  <c r="AD33" i="55" s="1"/>
  <c r="AD34" i="55" s="1"/>
  <c r="AD35" i="55" s="1"/>
  <c r="AD36" i="55" s="1"/>
  <c r="AD37" i="55" s="1"/>
  <c r="AD38" i="55" s="1"/>
  <c r="AD41" i="55" s="1"/>
  <c r="AD42" i="55" s="1"/>
  <c r="AD43" i="55" s="1"/>
  <c r="AD44" i="55" s="1"/>
  <c r="AD45" i="55" s="1"/>
  <c r="AD46" i="55" s="1"/>
  <c r="AD47" i="55" s="1"/>
  <c r="AD48" i="55" s="1"/>
  <c r="AD49" i="55" s="1"/>
  <c r="AD50" i="55" s="1"/>
  <c r="AD51" i="55" s="1"/>
  <c r="AD52" i="55" s="1"/>
  <c r="AD53" i="55" s="1"/>
  <c r="AD54" i="55" s="1"/>
  <c r="AD55" i="55" s="1"/>
  <c r="AD56" i="55" s="1"/>
  <c r="AD57" i="55" s="1"/>
  <c r="AF5" i="55" s="1"/>
  <c r="AF6" i="55" l="1"/>
  <c r="AF7" i="55" s="1"/>
  <c r="AF8" i="55" l="1"/>
  <c r="AF9" i="55" l="1"/>
  <c r="AF10" i="55" l="1"/>
  <c r="AF11" i="55" l="1"/>
  <c r="AF12" i="55" s="1"/>
  <c r="AF13" i="55" l="1"/>
  <c r="AF14" i="55" s="1"/>
  <c r="AF15" i="55" s="1"/>
  <c r="AF16" i="55" l="1"/>
  <c r="AF17" i="55" s="1"/>
  <c r="AF18" i="55" s="1"/>
  <c r="AF19" i="55" s="1"/>
  <c r="AF22" i="55" s="1"/>
  <c r="AF23" i="55" s="1"/>
  <c r="AF26" i="55" s="1"/>
  <c r="AF27" i="55" s="1"/>
  <c r="AF28" i="55" s="1"/>
  <c r="AF29" i="55" s="1"/>
  <c r="AF30" i="55" s="1"/>
  <c r="AF33"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CHF</author>
  </authors>
  <commentList>
    <comment ref="D4" authorId="0" shapeId="0" xr:uid="{00000000-0006-0000-0900-000001000000}">
      <text>
        <r>
          <rPr>
            <b/>
            <sz val="8"/>
            <color indexed="81"/>
            <rFont val="Tahoma"/>
            <family val="2"/>
          </rPr>
          <t>Veuillez saisir le jour, des dates à inscrire sur le calendrier</t>
        </r>
      </text>
    </comment>
    <comment ref="E4" authorId="0" shapeId="0" xr:uid="{00000000-0006-0000-0900-000002000000}">
      <text>
        <r>
          <rPr>
            <b/>
            <sz val="8"/>
            <color indexed="81"/>
            <rFont val="Tahoma"/>
            <family val="2"/>
          </rPr>
          <t>Veuillez saisir  le mois des dates à inscrire sur le calendrier</t>
        </r>
      </text>
    </comment>
    <comment ref="G4" authorId="0" shapeId="0" xr:uid="{00000000-0006-0000-0900-000003000000}">
      <text>
        <r>
          <rPr>
            <b/>
            <sz val="8"/>
            <color indexed="81"/>
            <rFont val="Tahoma"/>
            <family val="2"/>
          </rPr>
          <t>Veuillez saisir le libellé des dates à inscrire sur le calendrier</t>
        </r>
      </text>
    </comment>
  </commentList>
</comments>
</file>

<file path=xl/sharedStrings.xml><?xml version="1.0" encoding="utf-8"?>
<sst xmlns="http://schemas.openxmlformats.org/spreadsheetml/2006/main" count="16249" uniqueCount="7852">
  <si>
    <t>Bonne utilisation et… à chacun d'améliorer et d'adapter ces documents.  J Leboucher</t>
  </si>
  <si>
    <t>Transmettez vos savoirs faires peut importe qui les récupèrent pourvu qu'ils servent à un plus grand nombre</t>
  </si>
  <si>
    <t>Etc…</t>
  </si>
  <si>
    <t>Pièces individuelles</t>
  </si>
  <si>
    <t>Tartes</t>
  </si>
  <si>
    <t>Coussin Cœur St Valentin 2014 François Perret Journal du Patissier N° 292 page 40</t>
  </si>
  <si>
    <t>C</t>
  </si>
  <si>
    <t>Gros Gateaux</t>
  </si>
  <si>
    <t>Sirop à Crackers</t>
  </si>
  <si>
    <t>Sauce Fraise</t>
  </si>
  <si>
    <t>Siphon Fraise</t>
  </si>
  <si>
    <t>Sorbet Avocat</t>
  </si>
  <si>
    <t>S</t>
  </si>
  <si>
    <t>Cracker (Poudre à)</t>
  </si>
  <si>
    <t>Kappa fraise</t>
  </si>
  <si>
    <t>K</t>
  </si>
  <si>
    <t>Cracker (Pâte à)</t>
  </si>
  <si>
    <t>Jus de fraise</t>
  </si>
  <si>
    <t>J</t>
  </si>
  <si>
    <t>Insert Kappa fraise</t>
  </si>
  <si>
    <t>I</t>
  </si>
  <si>
    <t>B</t>
  </si>
  <si>
    <t>Fraises des bois dans leur jus</t>
  </si>
  <si>
    <t>F</t>
  </si>
  <si>
    <t>A</t>
  </si>
  <si>
    <t>Entremets</t>
  </si>
  <si>
    <t>Répertoire Patisserie</t>
  </si>
  <si>
    <t>vous pouvez utiliser un disque dur externe qui vous suivra partout</t>
  </si>
  <si>
    <t>etc...autant de possibilités que de façons de penser</t>
  </si>
  <si>
    <t xml:space="preserve">par ingrédients </t>
  </si>
  <si>
    <t>par technique</t>
  </si>
  <si>
    <t>par famille de produits</t>
  </si>
  <si>
    <t>Créer un ou plusieurs répertoires n'est pas tâche facile…à chacun de classer comme il le souhaite</t>
  </si>
  <si>
    <t>RÉFLEXION SUR DES MODÈLE DE RÉPERTOIRES</t>
  </si>
  <si>
    <t>Adaptation : Joël Leboucher..UPRT "Union des Personnels de la Restauration Territoriale"  membre du réseau RESTAU'CO</t>
  </si>
  <si>
    <t>du 03-01-2017 Annule et remplace les versions précédentes</t>
  </si>
  <si>
    <t>Mise à jour</t>
  </si>
  <si>
    <t>Adresse PC</t>
  </si>
  <si>
    <t>Familles de convives :Mater = enfants Maternelles Prim = enfants de l'enseignement Primaire Adulte = sédentaire Adulte + = travailleur de force Seniors = nos Ainés je classe les Adolescennts en Adultes +</t>
  </si>
  <si>
    <t>litres</t>
  </si>
  <si>
    <t>Pièce(s)</t>
  </si>
  <si>
    <t>Portions</t>
  </si>
  <si>
    <t>Kg</t>
  </si>
  <si>
    <t>Collez une des unités suivante ou saisissez un nom de produit</t>
  </si>
  <si>
    <t>❷</t>
  </si>
  <si>
    <t>si vous n'avez pas de perte ne saisissez rien</t>
  </si>
  <si>
    <t>❸</t>
  </si>
  <si>
    <t>Brut à Commander</t>
  </si>
  <si>
    <t>% de perte</t>
  </si>
  <si>
    <t>Vous devriez préparer :</t>
  </si>
  <si>
    <t>couverts</t>
  </si>
  <si>
    <t xml:space="preserve">Saisissez vos effectifs </t>
  </si>
  <si>
    <t>Que traitez vous : des Kg des litres des pièces des portions …des poires etc…</t>
  </si>
  <si>
    <t>BONUS</t>
  </si>
  <si>
    <t>A vous de saisir un poids</t>
  </si>
  <si>
    <t>❶</t>
  </si>
  <si>
    <t>Portions / pièces / parts</t>
  </si>
  <si>
    <t>Vous pourrIez servir</t>
  </si>
  <si>
    <t>de moyenne</t>
  </si>
  <si>
    <t>Saisissez vos grammages nets à servir</t>
  </si>
  <si>
    <t>Seniors</t>
  </si>
  <si>
    <t>Adultes +</t>
  </si>
  <si>
    <t>Adultes</t>
  </si>
  <si>
    <t>Prim</t>
  </si>
  <si>
    <t>Mater</t>
  </si>
  <si>
    <t>Famille de convives</t>
  </si>
  <si>
    <t xml:space="preserve">Poids de votre préparation </t>
  </si>
  <si>
    <t>Vous avez préparé ou il vous reste un poids X d'une préparation. Avec ce poids combien de convives ou combien de portions pourrez vous servir</t>
  </si>
  <si>
    <t>DESCRIPTIF</t>
  </si>
  <si>
    <t>COMBIEN POURRIEZ VOUS SERVIR AVEC</t>
  </si>
  <si>
    <t>ICI</t>
  </si>
  <si>
    <t>Net à préparer :</t>
  </si>
  <si>
    <t>Saisissez vos quantités nets à servir</t>
  </si>
  <si>
    <t>pommes</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</si>
  <si>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</si>
  <si>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QUANTITÉS A SERVIR OU A COMMANDER</t>
  </si>
  <si>
    <t>Vous obtiendrez le poids brut à commander</t>
  </si>
  <si>
    <t>Facultatif Mais si vous saisissez un % la question à vous poser c'est : le produit brut ou cru perd comblien au parage ou en cuisson</t>
  </si>
  <si>
    <t>@</t>
  </si>
  <si>
    <t>en moyenne par convive</t>
  </si>
  <si>
    <t>poids de perte</t>
  </si>
  <si>
    <t>Brut</t>
  </si>
  <si>
    <t>Net</t>
  </si>
  <si>
    <t>Net à servir :</t>
  </si>
  <si>
    <t>Quantités à Prévoir</t>
  </si>
  <si>
    <t>Familles de convives</t>
  </si>
  <si>
    <t xml:space="preserve"> et vos grammages nets à servir</t>
  </si>
  <si>
    <t>Petit utilitaire d'Aide à la décision</t>
  </si>
  <si>
    <t>Combien faut-il commander pour des effectifs et des grammages différents</t>
  </si>
  <si>
    <t>Les Mx cela peut s'appliquer à des morceaux de bourguignon mais aussi des tomates farcies ou des oreillons de pêches au sirop pour le dessert etc..</t>
  </si>
  <si>
    <t>Le contenant peut être une louche pour le service un gastro pour la cuisson  etc…</t>
  </si>
  <si>
    <t>1 Boite de compote pour 25</t>
  </si>
  <si>
    <t>1 CITRON POUR 4</t>
  </si>
  <si>
    <t>1 plaque pour 8 ( 6 morceau par adulte + )</t>
  </si>
  <si>
    <t>1 plaque pour 16 ( 1 morceau par adulte plus RAB )</t>
  </si>
  <si>
    <t>1 plaque pour 20 ( 1 morceau par primaire plus RAB )</t>
  </si>
  <si>
    <t>1 plaque pour 25 ( 1 morceau par maternelle plus RAB )</t>
  </si>
  <si>
    <t>33 tranches par plaque ( 1.5 tranches par primaire)</t>
  </si>
  <si>
    <t>1 plaque pour 25 ( 1 tranche par maternelle plus RAB )</t>
  </si>
  <si>
    <t>32 tranches par plaque ( 1 plaque pour 16 adultes)</t>
  </si>
  <si>
    <t>table de 12</t>
  </si>
  <si>
    <t>32 tranches par plaque ( 1 plaque pour 26 maternelles)</t>
  </si>
  <si>
    <t>EXEMPLES</t>
  </si>
  <si>
    <t>QUOI ?</t>
  </si>
  <si>
    <t>Police de couleur pour saisir vos valeurs    Noir = formules</t>
  </si>
  <si>
    <t>Nb portions</t>
  </si>
  <si>
    <t>Portion Nb de Mx par portion</t>
  </si>
  <si>
    <t>Total Mx dans 1 contenant</t>
  </si>
  <si>
    <t>pour</t>
  </si>
  <si>
    <t xml:space="preserve">1 plaque hachis parmentier </t>
  </si>
  <si>
    <t xml:space="preserve">1 melon de </t>
  </si>
  <si>
    <t>Poids de la portion</t>
  </si>
  <si>
    <t>Exemples</t>
  </si>
  <si>
    <t>Nb de Portions à servir</t>
  </si>
  <si>
    <t xml:space="preserve"> Poids dans 1 contenant</t>
  </si>
  <si>
    <t xml:space="preserve">1 louche ou 1 contenant pour </t>
  </si>
  <si>
    <t>Poids d' une Portion</t>
  </si>
  <si>
    <t>Tableaux pour service ou cuisson</t>
  </si>
  <si>
    <t>produits entiers</t>
  </si>
  <si>
    <t>Meilleur rapport</t>
  </si>
  <si>
    <t>Écart de poids</t>
  </si>
  <si>
    <t>Poids  produit envoyé</t>
  </si>
  <si>
    <t>Poids  produit à servir</t>
  </si>
  <si>
    <t>enfants</t>
  </si>
  <si>
    <t>parts</t>
  </si>
  <si>
    <t>Grammages à servir</t>
  </si>
  <si>
    <t xml:space="preserve">Poids unitaire du produit </t>
  </si>
  <si>
    <t>Au repas si l'enfant mange beaucoup de pain avec ou en remplacement du plat proposé; les quantités ingérées seront d'autant diminuées. Pour limiter le "gaspillage" et satisfaire les "gourmants"; vous pouvez avoir recours à cet exemple de service.</t>
  </si>
  <si>
    <t>Les quantités consommées par les enfants dépendent :de l'âge, de la saison, du goût, de l'influence des camarades,de l'activité phisique et/ou du grignotage en récréation sans parler du verre de lait (long à digérer) servi parfois trop près de l'heure du repas</t>
  </si>
  <si>
    <t>Comment respecter un grammage à servir Exemple N° 1</t>
  </si>
  <si>
    <t>Bouillon</t>
  </si>
  <si>
    <t>Semoule cuite</t>
  </si>
  <si>
    <t>légumes couscous cuits</t>
  </si>
  <si>
    <t>Ainés</t>
  </si>
  <si>
    <t>Agneau boulettes</t>
  </si>
  <si>
    <t>Agneau en morceaux</t>
  </si>
  <si>
    <t>merguez</t>
  </si>
  <si>
    <t>pilon de poulet</t>
  </si>
  <si>
    <t>haut de cuisse de poulet</t>
  </si>
  <si>
    <t>grammages ou nombre de Morceaux ou tranches à saisir</t>
  </si>
  <si>
    <t>Total Effectifs</t>
  </si>
  <si>
    <t>Document édité le :</t>
  </si>
  <si>
    <t>COUSCOUS</t>
  </si>
  <si>
    <t>SERVICE EN FONCTION DES EFFECTIFS</t>
  </si>
  <si>
    <t xml:space="preserve">Veullez saisir les informations dans les cellules fond de couleur ivoire. </t>
  </si>
  <si>
    <t>COMPOSITION ET SERVICE D'UN PLAT COMPLET</t>
  </si>
  <si>
    <t>Total</t>
  </si>
  <si>
    <t>poivrons verts coupés</t>
  </si>
  <si>
    <t>poivrons rouges coupés</t>
  </si>
  <si>
    <t>garniture de céléri branche</t>
  </si>
  <si>
    <t>pois chiches pré-cuits</t>
  </si>
  <si>
    <t>navets coupé</t>
  </si>
  <si>
    <t>courgettescoupées</t>
  </si>
  <si>
    <t>carottes coupées</t>
  </si>
  <si>
    <t>Poids brut à mettre en œuvre</t>
  </si>
  <si>
    <t>perte en cuisson</t>
  </si>
  <si>
    <t>Net cuit</t>
  </si>
  <si>
    <t>POIDS NET A FABRIQUER</t>
  </si>
  <si>
    <t>Composition d'une garniture "COUSCOUS"</t>
  </si>
  <si>
    <t>j'ai volontairement ajouté cette colonne..si vous supprimez une ligne le tableau fonctionnera quand même</t>
  </si>
  <si>
    <t>http://www.astuceshebdo.com/2012/03/comment-calculer-un-pourcentage-cas-n-1.html</t>
  </si>
  <si>
    <t>mode d'emploi simple pour appliquer un pourcentage d'augmentation avec la Calculatrice de Windows.</t>
  </si>
  <si>
    <t>http://www.slate.fr/story/82029/soldes-calculer-rabais</t>
  </si>
  <si>
    <t>Comment calculer combien on va payer pendant les soldes?</t>
  </si>
  <si>
    <t>https://www.youtube.com/watch?v=QTGvjmAhEHo</t>
  </si>
  <si>
    <t>https://www.youtube.com/watch?v=dQafvb2O01U</t>
  </si>
  <si>
    <t>http://fortimelp.fr/content/44-calculer-un-pourcentage</t>
  </si>
  <si>
    <t>http://www.capte-les-maths.com/pourcentage/les_pourcentages_p10.php</t>
  </si>
  <si>
    <t>Calculer un pourcentage avec Excel</t>
  </si>
  <si>
    <t>Alors capte-les-maths.com est fait pour vous !</t>
  </si>
  <si>
    <t>Vous qui désespérez... Vous que les Maths n'intéressent pas... Et pourtant il faudrait...</t>
  </si>
  <si>
    <t>http://www.capte-les-maths.com/pourcentage/les_pourcentages_p6.php</t>
  </si>
  <si>
    <t>Les Maths ? Je capte pas ! Les chiffres ? J'y comprends rien ! Vous vous reconnaissez ?</t>
  </si>
  <si>
    <t>Comment appliquer une augmentation en pourcentage ?</t>
  </si>
  <si>
    <t>Comment retrouver la valeur de départ ?</t>
  </si>
  <si>
    <t>http://fabie.info.pagesperso-orange.fr/math/cours7.htm</t>
  </si>
  <si>
    <t>http://www.un-calcul.fr/calcul-comptabilite/comment-calculer-un-pourcentage-338</t>
  </si>
  <si>
    <t>fabie.info.pagesperso-orange</t>
  </si>
  <si>
    <t>http://calc.name/blog/comment-compter-le-pourcentage-de-tete-vite-et-facilement/</t>
  </si>
  <si>
    <t>Comment compter le pourcentage de tête vite et facilement</t>
  </si>
  <si>
    <t>https://fr.wikihow.com/convertir-en-pourcentage</t>
  </si>
  <si>
    <t>Comment convertir en pourcentage</t>
  </si>
  <si>
    <t>https://www.deleze.name/marcel/culture/taux_composes/taux_simple.html</t>
  </si>
  <si>
    <t>https://www.cmath.fr/6eme/pourcentages/cours.php</t>
  </si>
  <si>
    <t>une multiplication, ce qui augmente la vitesse et réduit les occasions de se tromper.</t>
  </si>
  <si>
    <t>https://www.cmath.fr/cesite/presentation.php</t>
  </si>
  <si>
    <t>Besançon</t>
  </si>
  <si>
    <t>http://www.lyc-monnet-juvisy.ac-versailles.fr/Diapomath.pdf</t>
  </si>
  <si>
    <t>Liam Dauchat</t>
  </si>
  <si>
    <t>Lycée Jean Monnet…Juvisy - académie de Versailles</t>
  </si>
  <si>
    <t>Florent Gouachon</t>
  </si>
  <si>
    <t>D.CATROU 2010</t>
  </si>
  <si>
    <t>Comprendre les maths!</t>
  </si>
  <si>
    <t>sans calculatrice...</t>
  </si>
  <si>
    <t>Révisez, et entrainez vous.</t>
  </si>
  <si>
    <t>https://fr.wikipedia.org/wiki/Pourcentage</t>
  </si>
  <si>
    <t>wikipedia.org</t>
  </si>
  <si>
    <t>https://www.mathematiquesfaciles.com/pourcentages-calculer-un-pourcentage_2_19885.htm</t>
  </si>
  <si>
    <t>Pourcentages : Calculer un pourcentage</t>
  </si>
  <si>
    <t>Citron vert</t>
  </si>
  <si>
    <t>Jus d'orange</t>
  </si>
  <si>
    <t>Jus de pamplemousse</t>
  </si>
  <si>
    <t>Sucre de cannes</t>
  </si>
  <si>
    <t>Rhum</t>
  </si>
  <si>
    <t>POIDS DE LA RECETTE A DÉCRYPTER</t>
  </si>
  <si>
    <t>BRUT</t>
  </si>
  <si>
    <t>% Perte</t>
  </si>
  <si>
    <t>NET</t>
  </si>
  <si>
    <t>Pourcentages</t>
  </si>
  <si>
    <t>Décriptage d'une recette par les pourcentages</t>
  </si>
  <si>
    <t>500 x 0.08 = 40</t>
  </si>
  <si>
    <t>ou alors</t>
  </si>
  <si>
    <t xml:space="preserve"> Poids de perte</t>
  </si>
  <si>
    <t>%  de PERTE</t>
  </si>
  <si>
    <t>0.08 = (8/100)</t>
  </si>
  <si>
    <t>POIDS BRUT</t>
  </si>
  <si>
    <t>500 x (8/100) = 40</t>
  </si>
  <si>
    <t>par exemple 8% de 500 :</t>
  </si>
  <si>
    <t xml:space="preserve">Voici la formule pour calculer un pourcentage, </t>
  </si>
  <si>
    <t>90% ? On multiplie 140 par 0.9</t>
  </si>
  <si>
    <t xml:space="preserve">Avec cette manière de faire, la calculatrice n'a été utilisée que pour une seule opération arithmétique : </t>
  </si>
  <si>
    <t>(87 Kg) × 0.95 = 82.65 kg</t>
  </si>
  <si>
    <t>Poids net</t>
  </si>
  <si>
    <t xml:space="preserve">On peut alors calculer directement le résultat, à savoir: </t>
  </si>
  <si>
    <t>coefficient</t>
  </si>
  <si>
    <t xml:space="preserve"> 5 %, il reste le 95 %     ( 100 - 5 )</t>
  </si>
  <si>
    <t>on aurait multiplié 140 par 0.4</t>
  </si>
  <si>
    <t>Commencer par un calcul oral: quand on déduit le</t>
  </si>
  <si>
    <t xml:space="preserve">Si on avait à trouver 40% de 140, </t>
  </si>
  <si>
    <t>Pour déduire, par exemple, le 5 % de 87 Kg</t>
  </si>
  <si>
    <t>.</t>
  </si>
  <si>
    <t>140 * 0.2(On obtient : 28)</t>
  </si>
  <si>
    <t>(87 Kg) x 0.05 = 4.35 Kg</t>
  </si>
  <si>
    <t xml:space="preserve">ou plus simplement : </t>
  </si>
  <si>
    <t>Le calcul se réduit maintenant à une seule opération arithmétique, a savoir</t>
  </si>
  <si>
    <t>opération qu'on peut réaliser mentalement.</t>
  </si>
  <si>
    <t xml:space="preserve">5 / 100 = 0.05, </t>
  </si>
  <si>
    <t>c'est-à-dire faire : (140 * 20) / 100</t>
  </si>
  <si>
    <t xml:space="preserve"> il est plus simple de multiplier par </t>
  </si>
  <si>
    <t>il suffit de multiplier 140 par 20 %</t>
  </si>
  <si>
    <t>Au lieu de multiplier par 5, puis de diviser par 100,</t>
  </si>
  <si>
    <t>Pour prendre 20% de 140</t>
  </si>
  <si>
    <t>Pour prendre, par exemple, le 5 % de 87 Kg</t>
  </si>
  <si>
    <t>Valeur d'un pourcentage, calcul simplifié</t>
  </si>
  <si>
    <t>https://www.economie.gouv.fr/files/files/directions_services/dgccrf/documentation/publications/depliants/poidsbrut_poidsnet.pdf</t>
  </si>
  <si>
    <t>https://www.youtube.com/watch?v=_PTjJ7UD4eo</t>
  </si>
  <si>
    <t>Poids brut ou poids net ? Ne payez pas l'emballage !</t>
  </si>
  <si>
    <t>https://www.youtube.com/watch?v=PyDvkMr3qfg</t>
  </si>
  <si>
    <t>https://www.youtube.com/watch?v=psIZ0y_8VVc</t>
  </si>
  <si>
    <t>http://www.maths-et-tiques.fr/index.php/cours-en-videos</t>
  </si>
  <si>
    <t>https://www.youtube.com/watch?v=dWC54hCv0pc</t>
  </si>
  <si>
    <t>https://www.maths-et-tiques.fr/telech/Pourcent.pdf</t>
  </si>
  <si>
    <t>https://www.youtube.com/watch?v=tSp2xkS-tKs</t>
  </si>
  <si>
    <t>https://www.youtube.com/c/YMONKA</t>
  </si>
  <si>
    <t>https://www.youtube.com/watch?v=mGDjvAcvigc</t>
  </si>
  <si>
    <t>Calculer un pourcentage - exemple</t>
  </si>
  <si>
    <t>lien vidéo Youtube</t>
  </si>
  <si>
    <t>A chacun d'utiliser le lien qui lui convient le mieux</t>
  </si>
  <si>
    <t>Saisissez vos valeurs dans les cellules fond ivoire ou jaune</t>
  </si>
  <si>
    <t>%  de perte</t>
  </si>
  <si>
    <t>POIDS de PERTE</t>
  </si>
  <si>
    <t>POIDS NET</t>
  </si>
  <si>
    <t>Poids brut</t>
  </si>
  <si>
    <t>Pourcentages NET / BRUT et BRUT / NET</t>
  </si>
  <si>
    <t>Aide à la décision en Kg</t>
  </si>
  <si>
    <t>Aide à la décision en Gr</t>
  </si>
  <si>
    <t>largeur de colonnes</t>
  </si>
  <si>
    <t>%  d'augmentation</t>
  </si>
  <si>
    <t>PRIX D'ACHAT</t>
  </si>
  <si>
    <t>Augmentation</t>
  </si>
  <si>
    <t>PRIX VENTE</t>
  </si>
  <si>
    <t>Prix D'ACHAT / Prix de VENTE</t>
  </si>
  <si>
    <t>Adaptation : Joël Leboucher..UPRT "Union des Professionnels de la Restauration Territoriale"  membre du réseau RESTAU'CO</t>
  </si>
  <si>
    <t>Œufs 101 - Introduction aux œufs » Lesoeufs.ca</t>
  </si>
  <si>
    <t>Lien internet :</t>
  </si>
  <si>
    <t>n'hésitez pas a cliquer sur les liens internet</t>
  </si>
  <si>
    <t>Combien d'œufs - de jaunes ou de blancs - à vous de saisir un nombre</t>
  </si>
  <si>
    <t>si vous n'êtes pas d'accord avec les grammages saisis - saisissez ce qui vous convient</t>
  </si>
  <si>
    <t>eau</t>
  </si>
  <si>
    <t>M.Grasse</t>
  </si>
  <si>
    <t>Protéines</t>
  </si>
  <si>
    <t>Poids</t>
  </si>
  <si>
    <t>gr</t>
  </si>
  <si>
    <t>blancs =</t>
  </si>
  <si>
    <t>jaunes =</t>
  </si>
  <si>
    <t>œufs =</t>
  </si>
  <si>
    <t>Blancs d'œufs  ( 1 =</t>
  </si>
  <si>
    <t>Jaunes d'œufs ( 1 =</t>
  </si>
  <si>
    <t>Œuf entier  ( 1 =</t>
  </si>
  <si>
    <t>ŒUFS poids et %</t>
  </si>
  <si>
    <t>Combien de feuilles - à vous de saisir un nombre</t>
  </si>
  <si>
    <t>si vous n'êtes pas d'accord avec le poids d'une feuille - saisissez ce qui vous convient</t>
  </si>
  <si>
    <t>Glaçage brillant au chocolat - Fiche recette ... - Meilleur du Chef</t>
  </si>
  <si>
    <t>Agar Agar</t>
  </si>
  <si>
    <t>Gélatine et agar-agar : principes et utilisations</t>
  </si>
  <si>
    <t>feuilles</t>
  </si>
  <si>
    <t>feuilles de gélatine - Le Salon du Blog Culinaire</t>
  </si>
  <si>
    <t>Feuille entière (1 =</t>
  </si>
  <si>
    <t>Liens internet 2013</t>
  </si>
  <si>
    <t>GELATINE en feuille</t>
  </si>
  <si>
    <t>La gélatine prend 5-6 fois son poids en eau (10 g de gélatine et 50- 60 g d'eau)</t>
  </si>
  <si>
    <t>Attention pour les pulpes de Kiwi, ananas, papaye : cuire les pulpes à 60°C pour détruire l'enzyme qu'elles contiennent.</t>
  </si>
  <si>
    <t>Une feuille pèse environ 2 g ou 2,5 g</t>
  </si>
  <si>
    <t>Emplois  : Sert à la préparation de certains entremets, pour la confection de gelées et la stabilisation des glaces. Pastillage.</t>
  </si>
  <si>
    <t>La gélatine gonfle dans l'eau froide, se dissout dans l'eau chaude et se prend en gelée en refroidissant.</t>
  </si>
  <si>
    <t>Gélatine feuille</t>
  </si>
  <si>
    <t>Obtenue par hydrolyse du collagène contenu dans les peaux et os des animaux. Se vend en feuilles ou en poudre.</t>
  </si>
  <si>
    <t>Mickaël Rabeau Formateur AFPA Rochefort sur mer 2016</t>
  </si>
  <si>
    <t>Gélatine alimentaire</t>
  </si>
  <si>
    <t>Parts Adultes</t>
  </si>
  <si>
    <t xml:space="preserve"> Effectifs</t>
  </si>
  <si>
    <t>Poids à l'arrondi supérieur</t>
  </si>
  <si>
    <t xml:space="preserve">Adultes </t>
  </si>
  <si>
    <t>Primaires</t>
  </si>
  <si>
    <t>Maternelles</t>
  </si>
  <si>
    <t>Poids reconstitué</t>
  </si>
  <si>
    <t>Beurre</t>
  </si>
  <si>
    <t>Crème fraiche</t>
  </si>
  <si>
    <t>Lait frais</t>
  </si>
  <si>
    <t>Lait déshydraté</t>
  </si>
  <si>
    <t>Eau</t>
  </si>
  <si>
    <t>Purée déshydratée</t>
  </si>
  <si>
    <t xml:space="preserve">Quantité Totale </t>
  </si>
  <si>
    <t>Grammages nets</t>
  </si>
  <si>
    <t>PURÉE DÉSHYDRATÉE</t>
  </si>
  <si>
    <t xml:space="preserve">Quantités nettes à prévoir : Mater Prim Adul Adul +  </t>
  </si>
  <si>
    <t>pour lier 1L de lait pour gratin d'épinards avec 4 œufs et 120g de gruyère</t>
  </si>
  <si>
    <t>90 gr</t>
  </si>
  <si>
    <t>béchamelle gluante, solidification à froid, donc épaississement important lors de la chute en température</t>
  </si>
  <si>
    <t>70/80 gr</t>
  </si>
  <si>
    <t>un velouté ou une sauce veloutée</t>
  </si>
  <si>
    <t>60 gr</t>
  </si>
  <si>
    <t>plus 8 œufs pour crème patissière</t>
  </si>
  <si>
    <t>sauce bien liée épaisse</t>
  </si>
  <si>
    <t>50 gr</t>
  </si>
  <si>
    <t>pour quiche avec 2 œufs</t>
  </si>
  <si>
    <t>40 gr</t>
  </si>
  <si>
    <t>6 à 11 p.</t>
  </si>
  <si>
    <t>90/150 g</t>
  </si>
  <si>
    <t>pochés,plats complets</t>
  </si>
  <si>
    <t xml:space="preserve">pour lier 1Kg de tomates concassées avec jus </t>
  </si>
  <si>
    <t>30 gr</t>
  </si>
  <si>
    <t>12 à 16 p.</t>
  </si>
  <si>
    <t>60/80 g</t>
  </si>
  <si>
    <t>ragoûts,braisés</t>
  </si>
  <si>
    <t>Sauce longue</t>
  </si>
  <si>
    <t xml:space="preserve">pour lier 200g de chair à saucisse pour tomates farcies </t>
  </si>
  <si>
    <t>20 à 25 p.</t>
  </si>
  <si>
    <t>40/50 g</t>
  </si>
  <si>
    <t>pièces sautées</t>
  </si>
  <si>
    <t>Sauce courte</t>
  </si>
  <si>
    <t xml:space="preserve">pour lier 1L de soupe à l'oignon </t>
  </si>
  <si>
    <t>33 à 50 p.</t>
  </si>
  <si>
    <t>20/30 g</t>
  </si>
  <si>
    <t>roti,poélé</t>
  </si>
  <si>
    <t>Déglaçage</t>
  </si>
  <si>
    <t>grillé,frit,nature</t>
  </si>
  <si>
    <t>Sans sauce</t>
  </si>
  <si>
    <t>POUR 1 LITRE DE SAUCE TERMINÉE</t>
  </si>
  <si>
    <t>1 Kg pour :</t>
  </si>
  <si>
    <t>Grammages sauce p.p.</t>
  </si>
  <si>
    <t>Plat mode de cuisson</t>
  </si>
  <si>
    <t>SERVICE DES SAUCES</t>
  </si>
  <si>
    <t>LIAISON AU TAPIOCA</t>
  </si>
  <si>
    <t>densité des liquides pour cocktails</t>
  </si>
  <si>
    <t>lien &gt;</t>
  </si>
  <si>
    <t>eau salée nature = 1,130 Kg/L en fonction du sel ajouté</t>
  </si>
  <si>
    <t>Alcool = 0,800 Kg/L</t>
  </si>
  <si>
    <t>Centièmes</t>
  </si>
  <si>
    <t>Minutes</t>
  </si>
  <si>
    <t>Heures</t>
  </si>
  <si>
    <t>Convertir des temps</t>
  </si>
  <si>
    <t>l'huile = 0,920 Kg/L</t>
  </si>
  <si>
    <t>http://www.cuisinealafrancaise.com/fr/2-poids-et-mesures</t>
  </si>
  <si>
    <t>0,125 kg</t>
  </si>
  <si>
    <t>1,25 dl</t>
  </si>
  <si>
    <t>12, 5 c</t>
  </si>
  <si>
    <t>1/8 litre</t>
  </si>
  <si>
    <t>3 cl = 30g = 0.03kg    /    30 cl = 300g = 0.3kg     /     3 dl = 300g = 0.3 kg</t>
  </si>
  <si>
    <t>0,250 kg</t>
  </si>
  <si>
    <t>2,5 dl</t>
  </si>
  <si>
    <t>25 cl</t>
  </si>
  <si>
    <t>1/4 litre</t>
  </si>
  <si>
    <t>0,500 kg</t>
  </si>
  <si>
    <t>5 dl</t>
  </si>
  <si>
    <t>50 cl</t>
  </si>
  <si>
    <t>1/2 litre</t>
  </si>
  <si>
    <t>1 kg</t>
  </si>
  <si>
    <t>10 dl</t>
  </si>
  <si>
    <t>100 cl</t>
  </si>
  <si>
    <t>1litre</t>
  </si>
  <si>
    <t xml:space="preserve">Kilogrammes (kg.) </t>
  </si>
  <si>
    <t xml:space="preserve">Décilitres (dl.) </t>
  </si>
  <si>
    <t xml:space="preserve">Centilitres (cl.) </t>
  </si>
  <si>
    <t xml:space="preserve">Litres (l.) </t>
  </si>
  <si>
    <t>ml</t>
  </si>
  <si>
    <t>cl</t>
  </si>
  <si>
    <t>dl</t>
  </si>
  <si>
    <t>L</t>
  </si>
  <si>
    <t xml:space="preserve">sur la base eau : 1L = 1Kg </t>
  </si>
  <si>
    <t>Saisissez votre volume</t>
  </si>
  <si>
    <t>dag</t>
  </si>
  <si>
    <t>hg</t>
  </si>
  <si>
    <t>alcool</t>
  </si>
  <si>
    <t>huile</t>
  </si>
  <si>
    <t>lait 1/2 écrémé</t>
  </si>
  <si>
    <t>lait entier</t>
  </si>
  <si>
    <t>densité</t>
  </si>
  <si>
    <t>produit</t>
  </si>
  <si>
    <t>Volume</t>
  </si>
  <si>
    <t>http://forum.excel-pratique.com/excel/donner-la-forme-de-carres-reguliers-a-toutes-les-cellules-t9229.html</t>
  </si>
  <si>
    <t>Après, celà va dépendre de comment tu imprimes, tes ajustements sur ta feuille, la taille de ton carré à de grandes chances de ne pas être de 1cm de coté. </t>
  </si>
  <si>
    <t>5.35 en largeur de colonne. </t>
  </si>
  <si>
    <t>28.35 en hauteur de ligne </t>
  </si>
  <si>
    <t>Pour un carré de 1cm sur 1 cm, il faut </t>
  </si>
  <si>
    <t>Pour t'aider un peu plus, a peu près : </t>
  </si>
  <si>
    <t>pour les colonne, un pixel = 0.08 </t>
  </si>
  <si>
    <t>Pour les lignes, un pixel = 0.75 </t>
  </si>
  <si>
    <t>Je viens à nouveau de vérifier en faisant vraiment un grand carré, et le ratio est de 5,3 (ne pas mettre trop de virgule, en fait ça ne sert à rien). </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</si>
  <si>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</si>
  <si>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du nombre d'unités.</t>
  </si>
  <si>
    <t>de l'unité de mesure des largeurs et hauteurs, </t>
  </si>
  <si>
    <t>Je comprends qu'il n'y a pas de possibilité de décider : </t>
  </si>
  <si>
    <t>Je me suis interrogé comment vous faisiez pour être si précis, je suppose que ce n'est à l'oeil ? </t>
  </si>
  <si>
    <t>valeur</t>
  </si>
  <si>
    <t>hauteur de ligne</t>
  </si>
  <si>
    <t>multiplicateur</t>
  </si>
  <si>
    <t>largeur colonne</t>
  </si>
  <si>
    <t>puis tu sélectionnes toutes tes lignes que tu veux, clic droit dans l'en-tête des lignes/ hauteur de ligne, et là tu mets ta valeur précédente x 5,51. </t>
  </si>
  <si>
    <t>donc sélectionne toutes tes colonnes que tu veux homogénéiser, et fait clic droit dans l'en-tete des colonnes / largeur de colonne. Là tu mets la valeur que tu veux. </t>
  </si>
  <si>
    <t>5.694 </t>
  </si>
  <si>
    <t>Les lignes doivent être environ 5.51 fois plus hautes que les colonnes </t>
  </si>
  <si>
    <t>méthode bidouillage : </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</si>
  <si>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</si>
  <si>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forum.excel-pratique.com/excel/donner-la-forme-de-carres-reguliers-a-toutes-les-cellules</t>
  </si>
  <si>
    <t>FORMAT DE CELLULES CARRÉES</t>
  </si>
  <si>
    <t>http://www.mylittlerecettes.com/cap-patissier-les-oeufs-en-patisserie/</t>
  </si>
  <si>
    <t>Lien internet</t>
  </si>
  <si>
    <t>ou 32 blancs (x 30g = 0.960Kg)</t>
  </si>
  <si>
    <t>ou 50 jaunes (x 20g = 1Kg)</t>
  </si>
  <si>
    <t>20 oeufs entiers (x 55g =1.100Kg)</t>
  </si>
  <si>
    <t>Equivalences en litre - 1 litre = environ</t>
  </si>
  <si>
    <t>1 jaune d’oeuf pèse envrion : 20g  – 1 blanc d’oeuf pèse environ : 30g – 1 coquille 5g</t>
  </si>
  <si>
    <t>En pâtisserie les ingrédients se mesure à l’unité ou au poids pour les recettes professionnnelles. Les oeufs font environ 55g</t>
  </si>
  <si>
    <t>Le poids de l’oeuf</t>
  </si>
  <si>
    <t>sel fin</t>
  </si>
  <si>
    <t xml:space="preserve">sucre semoule </t>
  </si>
  <si>
    <t>levure chimique</t>
  </si>
  <si>
    <t>beurre</t>
  </si>
  <si>
    <t>œufs liquides 0.5L</t>
  </si>
  <si>
    <t>farine</t>
  </si>
  <si>
    <t>Pâte sablée</t>
  </si>
  <si>
    <t>Référence bac GN 1/1 perforés - largeur 325mm (32cm) - longueur 530 mm (53cm) - H25mm (2.5cm) tarte au citron pour 100 "La cuisine de Collectivité" page294 -Michel Grossmann et Alain Le franc - Edt.BPI  2006 - Poids de pâte sablée pour 4 bacs gastro</t>
  </si>
  <si>
    <t xml:space="preserve">RÉFÉRENCE </t>
  </si>
  <si>
    <t>Surface de pâte</t>
  </si>
  <si>
    <t>❽</t>
  </si>
  <si>
    <t>surface de "rognures"</t>
  </si>
  <si>
    <t>❹</t>
  </si>
  <si>
    <t>Volume de pâte en cm³ </t>
  </si>
  <si>
    <t>❿</t>
  </si>
  <si>
    <t>largeur de "rognures" en cm</t>
  </si>
  <si>
    <t>❼</t>
  </si>
  <si>
    <t>surface de crête</t>
  </si>
  <si>
    <t>largeur de crête en cm</t>
  </si>
  <si>
    <t>❻</t>
  </si>
  <si>
    <t>Surface de la hauteur des cadres</t>
  </si>
  <si>
    <t>Volume des cadres/bacs en litres</t>
  </si>
  <si>
    <t>❾</t>
  </si>
  <si>
    <t>Epaisseur de l'abaisse en cm</t>
  </si>
  <si>
    <t>❺</t>
  </si>
  <si>
    <t>Surface du fond des cadres</t>
  </si>
  <si>
    <t>Volume de pâte de Référence</t>
  </si>
  <si>
    <t>Valeurs de référence fond gris encre bleue</t>
  </si>
  <si>
    <t>q</t>
  </si>
  <si>
    <t>Si vous n'êtes pas d'accord avec le poids prévu pour 4 bacs gastro - Saisissez votre poids de pâte</t>
  </si>
  <si>
    <t xml:space="preserve">VALEURS DE RÉFÉRENCE </t>
  </si>
  <si>
    <t>Volume de pâte avec vos données</t>
  </si>
  <si>
    <t>Avec votre poids de pâte</t>
  </si>
  <si>
    <t xml:space="preserve">Poids de pâte prévu </t>
  </si>
  <si>
    <t>largeur de "rognures" en millimètre</t>
  </si>
  <si>
    <t>hauteur de crête en millimètre</t>
  </si>
  <si>
    <t>Epaisseur de l'abaisse en millimètre</t>
  </si>
  <si>
    <t>Hauteur en cm</t>
  </si>
  <si>
    <t>Longueur en cm</t>
  </si>
  <si>
    <t>Largeur en cm</t>
  </si>
  <si>
    <t>Nb de cadres/bacs</t>
  </si>
  <si>
    <t>QUE VOULEZ VOUS FAIRE</t>
  </si>
  <si>
    <t>Combien de cadres voulez vous faire - passe au bleu si supérieur à 1 cadre pour attirer votre attention</t>
  </si>
  <si>
    <t>Saisissez vos proportions cellules jaunes encre rouge</t>
  </si>
  <si>
    <t>NE PAS CONFONDRE CADRES ET CERCLES</t>
  </si>
  <si>
    <t>POIDS DE PATE NECESSAIRE POUR FONCER DES CADRES OU DES BACS GATRO (ici en référence : bacs gastro 1/1 pour Exemple)</t>
  </si>
  <si>
    <t>œuf (1 jaune)</t>
  </si>
  <si>
    <t>sucre semoule</t>
  </si>
  <si>
    <t>sel</t>
  </si>
  <si>
    <t>Pâte brisée sucrée</t>
  </si>
  <si>
    <t>Valeurs de référence pour un fond de tarte standard de 26 cm..j'ai pris pour exemple une tarte classique  comme base de calculs pour ce tableau. Vous pouvez saisir sur cette ligne des valeurs qui correspondent à votre échantillon ou votre modèle standard</t>
  </si>
  <si>
    <t>Saisissez votre diamètre -le nombre de cercles à faire et la hauteur sur cette ligne</t>
  </si>
  <si>
    <t>Encre bleue valeurs de base - encre rouge vos besoins</t>
  </si>
  <si>
    <t>Poids de pâte ou liquide en Kg</t>
  </si>
  <si>
    <t>Hauteur</t>
  </si>
  <si>
    <t>Diamètre</t>
  </si>
  <si>
    <t>Nb de cercles</t>
  </si>
  <si>
    <t>Quel poids de pâte ou de liquide faut-il dans un ou des cercle (s)</t>
  </si>
  <si>
    <t>Saisissez vos valeurs dans les cellules fond jaune encre rouge</t>
  </si>
  <si>
    <t>Nb de parts</t>
  </si>
  <si>
    <t>Largeur</t>
  </si>
  <si>
    <t>Longueur</t>
  </si>
  <si>
    <t>Nb de moules</t>
  </si>
  <si>
    <t>Calculez le volume des moules et cadres rectangles</t>
  </si>
  <si>
    <t>rayon</t>
  </si>
  <si>
    <t>Les profondeurs les plus courantes sont 20, 40, 65, 100, 150 et 200 mm.</t>
  </si>
  <si>
    <t>http://www.cestmafournee.com/2013/06/quelles-quantites-pour-mon-moule.html</t>
  </si>
  <si>
    <t>Lien Auteur:</t>
  </si>
  <si>
    <t>Coeff.</t>
  </si>
  <si>
    <t>Poids crème liquide</t>
  </si>
  <si>
    <t>dans des moules et caisses rectangles</t>
  </si>
  <si>
    <t>Le format de base est le GN 1/1, qui fait 530 x 325 mm. Les autres sont des multiples ou des sous-multiples de ce module de base. Les formats généralement rencontrés chez les professionnels sont1 :</t>
  </si>
  <si>
    <t>https://fr.wikipedia.org/wiki/Gastro_Norm</t>
  </si>
  <si>
    <t>Gastro Norm</t>
  </si>
  <si>
    <t>CERCLES A TRANSFÉRER</t>
  </si>
  <si>
    <t>Transférer  des cercles dans des cadres</t>
  </si>
  <si>
    <t xml:space="preserve">Saisissez les valeurs dans les cellules fond jaune encre rouge </t>
  </si>
  <si>
    <t>Aire ou Surface</t>
  </si>
  <si>
    <t>la portion</t>
  </si>
  <si>
    <t>poids d'1 portion</t>
  </si>
  <si>
    <t>Poids Total</t>
  </si>
  <si>
    <t>Nombre de parts et poids d'une portion</t>
  </si>
  <si>
    <t>((Diamètre/2)*(Diamètre/2)*3.1416)*Hauteur</t>
  </si>
  <si>
    <t>(PI()*(Rayon*Rayon)*Hauteur)</t>
  </si>
  <si>
    <t>((PI()*(Rayon^2)*Hauteur))</t>
  </si>
  <si>
    <t>1 cm2 = 0.001 dm2 = 0.00001 m2</t>
  </si>
  <si>
    <t>10 000 cm2 = 100 dm2 = 1 m2 </t>
  </si>
  <si>
    <t>1 m² = 100 x 100 = 10 000 cm²</t>
  </si>
  <si>
    <t>1 m = 100 cm </t>
  </si>
  <si>
    <t>17 cm²=0.0017 m². </t>
  </si>
  <si>
    <t>PI()*(Diamètre/2)*(Diamètre/2)</t>
  </si>
  <si>
    <t>Pour passer de m² en cm² il faut faire l'inverse </t>
  </si>
  <si>
    <t>1cm^2=0.0001m^2</t>
  </si>
  <si>
    <t>PI()*(Rayon*Rayon)</t>
  </si>
  <si>
    <t>1cm2=1/10.000 m2</t>
  </si>
  <si>
    <t>PI()*(Rayon^2)</t>
  </si>
  <si>
    <t>1 cm² = 0,01 x 0,01 = 0,0001 m² = 10^-4 m² </t>
  </si>
  <si>
    <t>ou </t>
  </si>
  <si>
    <t>1 cm = 0,01 m donc </t>
  </si>
  <si>
    <t>1m2 = 10.000 cm2 </t>
  </si>
  <si>
    <t>Différentes formules pour calculer l'Aire ou surface du cercle</t>
  </si>
  <si>
    <t>CONVERSIONS</t>
  </si>
  <si>
    <t>FAIRE UN GÂTEAU VÉGÉTAL AVEC LES FLEURS DU JARDIN</t>
  </si>
  <si>
    <t>wedding cake youtube</t>
  </si>
  <si>
    <t>wedding cake photos</t>
  </si>
  <si>
    <t>cake design</t>
  </si>
  <si>
    <t>Vous recherchez un décor  &gt;</t>
  </si>
  <si>
    <t>https://www.google.fr/webhp?sourceid=chrome-instant&amp;ion=1&amp;espv=2&amp;ie=UTF-8#q=RECETTES+PATISSERIE</t>
  </si>
  <si>
    <t>Le gâteau</t>
  </si>
  <si>
    <t>Le mille-feuille</t>
  </si>
  <si>
    <t>Classer des questions</t>
  </si>
  <si>
    <t>La multiplication avec les doigts</t>
  </si>
  <si>
    <t>Les rubans</t>
  </si>
  <si>
    <t>UN EXEMPLE DE GRAPHIQUE - cliquez dessus pour le modifier</t>
  </si>
  <si>
    <t xml:space="preserve"> puis collage spécial Valeur pour ne pas copier la formule</t>
  </si>
  <si>
    <t xml:space="preserve">placez vous dans votre document : </t>
  </si>
  <si>
    <t xml:space="preserve">cliquez sur la cellule verte puis sur sur Copier </t>
  </si>
  <si>
    <t>Caractères</t>
  </si>
  <si>
    <t xml:space="preserve">Récupérez votre texte dans la cellule verte </t>
  </si>
  <si>
    <t>Collez votre texte avec espaces dans la cellule blanche</t>
  </si>
  <si>
    <t>59 caractères en comptant les points</t>
  </si>
  <si>
    <t>•Contaminationmicrobiologique(B)•Multiplicationdesgermes(B)</t>
  </si>
  <si>
    <t xml:space="preserve">•Contamination microbiologique (B)             •Multiplication des germes (B)      </t>
  </si>
  <si>
    <t>exemple de texte avec espaces (83 caractères en comptant les espaces)</t>
  </si>
  <si>
    <t>Utilitaire pour supprimer les espace vides dans une phrase</t>
  </si>
  <si>
    <t>https://www.youtube.com/watch?v=wMgBzUHzKvM</t>
  </si>
  <si>
    <t xml:space="preserve">Retrouver une police utilisée - TechTour : Démo </t>
  </si>
  <si>
    <t>http://fr.fonts2u.com/category.html?id=21</t>
  </si>
  <si>
    <t>http://fr.fontriver.com/</t>
  </si>
  <si>
    <t>Polices de Caractères à Télécharger</t>
  </si>
  <si>
    <t xml:space="preserve">Mémo caractères spéciaux sous Windows </t>
  </si>
  <si>
    <t>Document à télécharger</t>
  </si>
  <si>
    <t>http://jacques-andre.fr/faqtypo/lessons.pdf</t>
  </si>
  <si>
    <t>Petites leçons de Typographie</t>
  </si>
  <si>
    <t>http://www.philing.net/</t>
  </si>
  <si>
    <t>https://pragmatice.net/kitinstit/3_installer_produire_polices_selection.htm</t>
  </si>
  <si>
    <t xml:space="preserve">Sélection de polices pour l'école </t>
  </si>
  <si>
    <t>visualiseur d'Emoji et de symboles</t>
  </si>
  <si>
    <t>http://unicode.org/</t>
  </si>
  <si>
    <t>caractères  Alphanumériques cerclés</t>
  </si>
  <si>
    <t>Tables des caractères Unicode - Alphanumériques cerclés</t>
  </si>
  <si>
    <t>Verdana</t>
  </si>
  <si>
    <t>Calibri</t>
  </si>
  <si>
    <t>Webdings</t>
  </si>
  <si>
    <t>ARIAL</t>
  </si>
  <si>
    <t>le ³ se fait en tapant alt+0179</t>
  </si>
  <si>
    <t>N° de ligne</t>
  </si>
  <si>
    <t>Fonction : Adresse colonne</t>
  </si>
  <si>
    <t>p</t>
  </si>
  <si>
    <t>u</t>
  </si>
  <si>
    <t>Adresse de cellule</t>
  </si>
  <si>
    <t>N° de colonne</t>
  </si>
  <si>
    <t>Z</t>
  </si>
  <si>
    <t>⓮</t>
  </si>
  <si>
    <t>⓭</t>
  </si>
  <si>
    <t>⓬</t>
  </si>
  <si>
    <t>⓫</t>
  </si>
  <si>
    <t>t</t>
  </si>
  <si>
    <t>X</t>
  </si>
  <si>
    <t>cm³ </t>
  </si>
  <si>
    <t xml:space="preserve">cm² </t>
  </si>
  <si>
    <t>M³ </t>
  </si>
  <si>
    <t>m³ </t>
  </si>
  <si>
    <t xml:space="preserve">M² </t>
  </si>
  <si>
    <t xml:space="preserve">m² </t>
  </si>
  <si>
    <t>ou en copier-coller</t>
  </si>
  <si>
    <t>le ² se fait en tapant alt+0178</t>
  </si>
  <si>
    <t>0.00\ " cm³"</t>
  </si>
  <si>
    <t>formats personnalisés</t>
  </si>
  <si>
    <t>Numérotation Format : Images pour compléter parce que les Symboles sont limités au N° 20</t>
  </si>
  <si>
    <t>Trop copieux : augmentez le nombre de portions cela diminuera les grammages à la portion sur le tableau à imprimer</t>
  </si>
  <si>
    <t>Banque d'images pour agrémenter vos documents</t>
  </si>
  <si>
    <t>PT-bonnes-pratiques.doc   </t>
  </si>
  <si>
    <t>Pas assez copieux : diminuez le nombre de portions cela augmentera les grammages à la portion sur le tableau à imprimer</t>
  </si>
  <si>
    <t>ff-tableau-cuisson.pdf</t>
  </si>
  <si>
    <t>ff-qualiterecettes2007.xls</t>
  </si>
  <si>
    <t xml:space="preserve"> Nb de portions Si vous estimez que les grammages sont trop ou pas assez copieux pour vos convives : modifiez les sur ces tableaux les modifications se feront sur le tableau à imprimer</t>
  </si>
  <si>
    <t>POUR LES FICHES RECETTES A LA PORTION</t>
  </si>
  <si>
    <t>ff-Croquis.xlsx</t>
  </si>
  <si>
    <t>ff-documents-apprentis-Patissiers.xlsx</t>
  </si>
  <si>
    <t>http://www.crenoexpert.fr/flipbooks/expproduit/TABLEAUX-CALIBRES-FRUITS-2.pdf</t>
  </si>
  <si>
    <t>si vous n'utilisez pas toutes les lignes vous pouvez masquer cette valeur par une couleur de police BLANC</t>
  </si>
  <si>
    <t>Tableau des calibres Fruits Frais</t>
  </si>
  <si>
    <t>http://www.nubel.be/fra/manual/liste_des_denrees_alimentaires.asp</t>
  </si>
  <si>
    <t xml:space="preserve">les valeurs #DIV/0!  indiquent seulement que les recettes sont "vierges" sur la feuille de saisie </t>
  </si>
  <si>
    <t>http://www.aliments.org/poids.htm</t>
  </si>
  <si>
    <t>Poids des aliments sur internet</t>
  </si>
  <si>
    <t>⓴</t>
  </si>
  <si>
    <t>⓳</t>
  </si>
  <si>
    <t>Pour imprimer : sélectionnez les recettes qui vous conviennent : définir la zone d'impression -Mise à l'échelle : Ajuster la feuille à 1 page</t>
  </si>
  <si>
    <t>Avant de saisir quoi que ce soit dans une cellule cliquez dessus pour vérifier qu'il n'y ait pas de formule</t>
  </si>
  <si>
    <t>⓲</t>
  </si>
  <si>
    <t>⓱</t>
  </si>
  <si>
    <t>⓰</t>
  </si>
  <si>
    <t>⓯</t>
  </si>
  <si>
    <t>Donc la masse d'un litre de lait demi-écrémé doit être de 1,015 Kg (1015 g).</t>
  </si>
  <si>
    <t xml:space="preserve">Pour le lait demi-écrémé, la graisse ne devrait représenter que 0,030/2, donc 0,015. </t>
  </si>
  <si>
    <t xml:space="preserve">On peut donc considérer que les 0,030 corespondent à la graisse du lait entier. </t>
  </si>
  <si>
    <t>Vous pouvez coller ces formes dans vos fiches</t>
  </si>
  <si>
    <t></t>
  </si>
  <si>
    <t></t>
  </si>
  <si>
    <t xml:space="preserve">Pour le lait entier, la densité donnée habituellement est de 1,030 par rapport à l'eau qui est de 1. </t>
  </si>
  <si>
    <t></t>
  </si>
  <si>
    <t xml:space="preserve">sauf cas exeptionnel pour recettes de précision </t>
  </si>
  <si>
    <t xml:space="preserve"> Ø</t>
  </si>
  <si>
    <t>5 cl = 50g</t>
  </si>
  <si>
    <t>quelques numérotation pour les process</t>
  </si>
  <si>
    <t xml:space="preserve">symbole diamètre </t>
  </si>
  <si>
    <t xml:space="preserve">Convertissez tout de suite les volumes en poids sur la base de 1L = 1Kg </t>
  </si>
  <si>
    <t>J'attire votre attention pour la saisie des quantités    supposons qu'il y ait 400g de viande 2 œufs ou 2 pieds de veau et 5 cl de crème dans la recette …..Excel aura du mal à faire la différence</t>
  </si>
  <si>
    <t>Les unités pifométriques</t>
  </si>
  <si>
    <t xml:space="preserve"> la sauce crémée ne se sale pas comme la sauce tomatée etc…….</t>
  </si>
  <si>
    <t>Cuisiniers : PESEZ …..même le sel…..on ne sale pas 50L de sauce à la "chichette" au "pif" ou à l'expérience</t>
  </si>
  <si>
    <t>Les cuisiniers "sont des artistes"……..ce qui ne doit pas les empêcher … d'UTILISEZ UNE BALANCE…...les résultats seront plus réguliers</t>
  </si>
  <si>
    <t>Cuisiniers : PESEZ …..Evitez les volumes , n'utilisez que les poids comme les pâtissiers</t>
  </si>
  <si>
    <t>⑳</t>
  </si>
  <si>
    <t>⑲</t>
  </si>
  <si>
    <t>⑱</t>
  </si>
  <si>
    <t>⑰</t>
  </si>
  <si>
    <t>⑯</t>
  </si>
  <si>
    <t>⑮</t>
  </si>
  <si>
    <t>⑭</t>
  </si>
  <si>
    <t>⑬</t>
  </si>
  <si>
    <t>⑫</t>
  </si>
  <si>
    <t>⑪</t>
  </si>
  <si>
    <t>⑨</t>
  </si>
  <si>
    <t>⑩</t>
  </si>
  <si>
    <t>⑧</t>
  </si>
  <si>
    <t>⑦</t>
  </si>
  <si>
    <t>⑥</t>
  </si>
  <si>
    <t>⑤</t>
  </si>
  <si>
    <t>④</t>
  </si>
  <si>
    <t>②</t>
  </si>
  <si>
    <t>③</t>
  </si>
  <si>
    <t>①</t>
  </si>
  <si>
    <t>calibri</t>
  </si>
  <si>
    <t>s</t>
  </si>
  <si>
    <t>&amp;</t>
  </si>
  <si>
    <t>Ø</t>
  </si>
  <si>
    <t>Formules</t>
  </si>
  <si>
    <t>Formule</t>
  </si>
  <si>
    <t>Pour intégrer ce tableau dans vos documents adaptez la largeur des colonnes</t>
  </si>
  <si>
    <t>Saisissez vos valeurs dans les cellules fond jaune</t>
  </si>
  <si>
    <t>Différentes formules pour calculer le volume d'un entremet en cercle</t>
  </si>
  <si>
    <t>Sinon : Pour une meilleure lisibilité vous pouvez choisir un Affichage Zoom 125%</t>
  </si>
  <si>
    <t>Entremet en cercle &gt; volume d'une part</t>
  </si>
  <si>
    <t>&lt; position colonne et n° de ligne</t>
  </si>
  <si>
    <t>Volume d'une part</t>
  </si>
  <si>
    <t>copier/coller les formats</t>
  </si>
  <si>
    <t>lien</t>
  </si>
  <si>
    <t>Saisissez vos valeurs dans la cellule fond jaune encre rouge</t>
  </si>
  <si>
    <t>conversion : volume Centilitres / poids</t>
  </si>
  <si>
    <t>conversion : volume Décilitres / poids</t>
  </si>
  <si>
    <t>OU Nb de parts &gt;</t>
  </si>
  <si>
    <t>Poids à transférer</t>
  </si>
  <si>
    <t>Ecart Volume</t>
  </si>
  <si>
    <t>Ajouter</t>
  </si>
  <si>
    <t>Poids nécessaire</t>
  </si>
  <si>
    <t>Utilisation : vous avez une garniture prévue pour une ou plusieurs tarte(s) ou entremet(s) en cercle(s) à transférer dans un ou plusieurs moule(s) rectangle(s) ou cadre(s); quel poids devez vous transférer ou quel poids devez vous ajouter</t>
  </si>
  <si>
    <t>Poids par cercle</t>
  </si>
  <si>
    <t>N° de cellules pour contrôle des formules &gt;</t>
  </si>
  <si>
    <t>&lt; N° de cellules pour contrôle des formules &gt;</t>
  </si>
  <si>
    <t>Valérie Opticienne au foyer... 	BOULOGNE BILLANCOURT, Sagittaire ascendant cacao, France</t>
  </si>
  <si>
    <t>AIDES CUISINE</t>
  </si>
  <si>
    <t>POURCENTAGES  1</t>
  </si>
  <si>
    <t>POURCENTAGES  2</t>
  </si>
  <si>
    <t>POURCENTAGES  3</t>
  </si>
  <si>
    <t>DES SITES DE RÉFÉRENCE</t>
  </si>
  <si>
    <t>D</t>
  </si>
  <si>
    <t>annule ou remplace les versions précédentes</t>
  </si>
  <si>
    <t>Des liens….des formats….des formules et des tableaux</t>
  </si>
  <si>
    <t>J'ai réuni dans ce document quelques exemples pour vous motiver à utiliser ou a créer vos documents</t>
  </si>
  <si>
    <t>Ⓐ</t>
  </si>
  <si>
    <t>Ⓑ</t>
  </si>
  <si>
    <t>Ⓒ</t>
  </si>
  <si>
    <t>Ⓜ</t>
  </si>
  <si>
    <t>Dates - heures</t>
  </si>
  <si>
    <t>https://www.youtube.com/watch?v=yk_ypXvUaHo</t>
  </si>
  <si>
    <t>Lien &gt;</t>
  </si>
  <si>
    <t>Format de cellule &gt; Nombre &gt; Heure</t>
  </si>
  <si>
    <t>Format de cellule &gt; Nombre &gt; Date</t>
  </si>
  <si>
    <t>jjjj mm mmm aaaa - hh"H"mm</t>
  </si>
  <si>
    <t>Format de cellule &gt;</t>
  </si>
  <si>
    <t>Format de cellule &gt; Personnalisée &gt; Semaine N °0</t>
  </si>
  <si>
    <t>FENÊTRE EXCEL</t>
  </si>
  <si>
    <t>https://support.office.com/fr-fr/article/combiner-le-texte-de-deux-cellules-ou-plus-en-une-cellule-81ba0946-ce78-42ed-b3c3-21340eb164a6</t>
  </si>
  <si>
    <t>Excel - fonctions date/heure</t>
  </si>
  <si>
    <t>Formation Excel 2016 Faire un tableau</t>
  </si>
  <si>
    <t>Unités</t>
  </si>
  <si>
    <t>Quoi</t>
  </si>
  <si>
    <t>Poids Unitaire</t>
  </si>
  <si>
    <t>❹ ingrédients</t>
  </si>
  <si>
    <t>pour 1.050Kg  saisissez 1050 la cellule est formatée pour ajouter g</t>
  </si>
  <si>
    <t>bœuf</t>
  </si>
  <si>
    <t>veau</t>
  </si>
  <si>
    <t>(pas le poids des 2 œufs "100g" mais le poids d'UN œuf de 50g par exemple)</t>
  </si>
  <si>
    <t>œufs</t>
  </si>
  <si>
    <t>Œufs de 50 g</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</si>
  <si>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</si>
  <si>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</si>
  <si>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</si>
  <si>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</si>
  <si>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 xml:space="preserve">si vous saisissez 2 œufs c'est possible; mais pas dans la même colonne cela fausserait le poids total </t>
  </si>
  <si>
    <t>Excel calculera 2 comme 2 Kg</t>
  </si>
  <si>
    <t>donc pour les produits à l'unité saisissez vos valeurs dans la première colonne</t>
  </si>
  <si>
    <t>FORMATS POUR LES FICHES AU Kg</t>
  </si>
  <si>
    <t>rapportez tout au Kg = 0,400 Kg de viande</t>
  </si>
  <si>
    <t>C/C</t>
  </si>
  <si>
    <t>vinaigre</t>
  </si>
  <si>
    <t>pincée</t>
  </si>
  <si>
    <t>paprika</t>
  </si>
  <si>
    <t>branche</t>
  </si>
  <si>
    <t>laurier</t>
  </si>
  <si>
    <t>pied</t>
  </si>
  <si>
    <t>pied de veau</t>
  </si>
  <si>
    <t>les ¼ de botte de fines herbes en 0,25 les demi = 0.5 les 3/4 = 0.75</t>
  </si>
  <si>
    <t xml:space="preserve"> idem pour les feuilles de gélatine les pieds de veau -les feuilles de basilic etc….</t>
  </si>
  <si>
    <t>gélatine</t>
  </si>
  <si>
    <t>cuillère/Café</t>
  </si>
  <si>
    <t>botte</t>
  </si>
  <si>
    <t>fines herbes</t>
  </si>
  <si>
    <t>C/P</t>
  </si>
  <si>
    <t>cuillère/Potage</t>
  </si>
  <si>
    <t>une fonction intéressante : MODULO &gt; MOD</t>
  </si>
  <si>
    <t>Liens</t>
  </si>
  <si>
    <t>patrice67tube</t>
  </si>
  <si>
    <t>Learnaccess</t>
  </si>
  <si>
    <t>Frédéric LE GUEN</t>
  </si>
  <si>
    <t>Excel 2010 expert (pdf</t>
  </si>
  <si>
    <t>agi67.fr/</t>
  </si>
  <si>
    <t>saisissez vos quantités dans les cellules fond jaunes</t>
  </si>
  <si>
    <t>A conditionner</t>
  </si>
  <si>
    <t>capacité du contenant*</t>
  </si>
  <si>
    <t>Nb de contenants</t>
  </si>
  <si>
    <t>reliquat</t>
  </si>
  <si>
    <t>formule</t>
  </si>
  <si>
    <t>les données précédentes peuvent se présenter comme suit</t>
  </si>
  <si>
    <t>Explication :</t>
  </si>
  <si>
    <t>formules</t>
  </si>
  <si>
    <t>un contenant* peut être une plaque gastro - une louche - une barquette etc..</t>
  </si>
  <si>
    <t>POIDS DE LA RECETTE A DÉCRYPTER &gt;</t>
  </si>
  <si>
    <t>Total :</t>
  </si>
  <si>
    <t>PUNCH</t>
  </si>
  <si>
    <t>Nom de la recette &gt;</t>
  </si>
  <si>
    <t>Pourcentages des produits</t>
  </si>
  <si>
    <t>Nom de la recette</t>
  </si>
  <si>
    <t>liste des produits</t>
  </si>
  <si>
    <t>CRITERE QUANTITATIF - PONDERATION PRIX = ( prix MINI proposé par l'ensemble les soumissionnaires X multiplié par le Coefficient de pondération  ) divisé par le prix proposé</t>
  </si>
  <si>
    <t>valeur la plus basse X  coefficient de pondération</t>
  </si>
  <si>
    <t>valeur analysée</t>
  </si>
  <si>
    <t>Pondération PRIX</t>
  </si>
  <si>
    <t xml:space="preserve">Coeff. </t>
  </si>
  <si>
    <t>Soumissionnare A</t>
  </si>
  <si>
    <t>Soumissionnare B</t>
  </si>
  <si>
    <t>Soumissionnare C</t>
  </si>
  <si>
    <t>Soumissionnare D</t>
  </si>
  <si>
    <t>Critère Quantitatif ( prix mini multiplié par le coeff.) divisé par valeur analysée</t>
  </si>
  <si>
    <t>Prix (valeur analysée)</t>
  </si>
  <si>
    <t>Pondération</t>
  </si>
  <si>
    <t>Rang</t>
  </si>
  <si>
    <t>Prix MAXI</t>
  </si>
  <si>
    <t>Prix Mini</t>
  </si>
  <si>
    <t>M</t>
  </si>
  <si>
    <t>N</t>
  </si>
  <si>
    <t>O</t>
  </si>
  <si>
    <t>P</t>
  </si>
  <si>
    <t>Q</t>
  </si>
  <si>
    <t>R</t>
  </si>
  <si>
    <t>T</t>
  </si>
  <si>
    <t>U</t>
  </si>
  <si>
    <t>Prix Maxi</t>
  </si>
  <si>
    <t>MOINS disant</t>
  </si>
  <si>
    <t>Afficher la plus petite valeur immédiatement superieure à 0 </t>
  </si>
  <si>
    <t>PETITE.VALEUR(S343:V343;NB.SI(S343:V343;"&lt;="&amp;0)+1)</t>
  </si>
  <si>
    <t>Valeur la plus basse  =  Prix Mini</t>
  </si>
  <si>
    <t>http://user.services.openoffice.org/fr/forum/viewtopic.php?t=358</t>
  </si>
  <si>
    <t>Coefficient de pondération = 50</t>
  </si>
  <si>
    <t>Valeurs analysées = colonnes J . M . P . S</t>
  </si>
  <si>
    <t xml:space="preserve">CRITERE QUALITATIF - PONDERATION TECHNIQUE = ( valeur proposée par le soumissionnare cela peut etre par exp : un % de produit analysé ) X multiplié par le Coefficient de pondération  ) </t>
  </si>
  <si>
    <t xml:space="preserve"> divisé par le % MAXI proposé par l'ensemble des soumissionnaires</t>
  </si>
  <si>
    <t>nbre de points attribué X coefficient de pondération</t>
  </si>
  <si>
    <t>valeur maxi (très satisfaisant)</t>
  </si>
  <si>
    <t>Pondération TECHNIQUE</t>
  </si>
  <si>
    <t>Critère Qualitatif (valeur du soumissionnaire) multiplié par le coeff de pondération divisé par la valeur Maxi</t>
  </si>
  <si>
    <t xml:space="preserve">valeur proposée par le soumissionnaire </t>
  </si>
  <si>
    <t>Valeur MAXI</t>
  </si>
  <si>
    <t>Valeur Mini</t>
  </si>
  <si>
    <t xml:space="preserve">valeurs proposées par les soumissionnaires </t>
  </si>
  <si>
    <t>Valeur Maxi</t>
  </si>
  <si>
    <t>CRITERE QUALITATIF - PONDERATION TECHNIQUE = ( valeur proposée par le soumissionnare cela peut etre par exp : un % de produit analysé ) X multiplié par le Coefficient de pondération  ) / nbre de points maxi (très satisfaisant)</t>
  </si>
  <si>
    <t>MIEUX disant</t>
  </si>
  <si>
    <t>Formule avec DONT</t>
  </si>
  <si>
    <t>Quiche</t>
  </si>
  <si>
    <t>garniture avec le produit à extraire</t>
  </si>
  <si>
    <t>vous obtenez le % du/des produiits(s) complémentaire(s)</t>
  </si>
  <si>
    <t>DONT produit à extraire</t>
  </si>
  <si>
    <t>Produits complémentaires</t>
  </si>
  <si>
    <t xml:space="preserve">❶ </t>
  </si>
  <si>
    <t>Moins ❷</t>
  </si>
  <si>
    <t xml:space="preserve"> =  ❷</t>
  </si>
  <si>
    <t>dont jambon de dinde</t>
  </si>
  <si>
    <t>garniture œufs + lait+ jambon de dinde</t>
  </si>
  <si>
    <t>Comment servir ce produit</t>
  </si>
  <si>
    <t>Prévoir :</t>
  </si>
  <si>
    <t>1 Part =</t>
  </si>
  <si>
    <t>1 contenant pour combien</t>
  </si>
  <si>
    <t>poids total</t>
  </si>
  <si>
    <t>de</t>
  </si>
  <si>
    <t>Pour</t>
  </si>
  <si>
    <t>+ Nb de contenants</t>
  </si>
  <si>
    <t>Total contenants</t>
  </si>
  <si>
    <t xml:space="preserve">Effectifs </t>
  </si>
  <si>
    <t>Grammage Unitaire</t>
  </si>
  <si>
    <t>contenant(s)</t>
  </si>
  <si>
    <t>CONDITIONNEMENT AU POIDS</t>
  </si>
  <si>
    <t>CONDITIONNEMENT A LA PIÈCE</t>
  </si>
  <si>
    <t>Tranches</t>
  </si>
  <si>
    <t>Nb par personne</t>
  </si>
  <si>
    <t>QUOI &gt;</t>
  </si>
  <si>
    <t>tranches - Morceaux - Pièces</t>
  </si>
  <si>
    <t>1 contenant pour combien de convives ou portions</t>
  </si>
  <si>
    <t>Nb de tranches - morceaux etc.par personne</t>
  </si>
  <si>
    <t>POISSON PANÉ</t>
  </si>
  <si>
    <t>Saisissez vos effectifs</t>
  </si>
  <si>
    <t>&lt; Total Mx par convive</t>
  </si>
  <si>
    <t>❶ saisissez le poids dans un contenant (une louche une barquette etc</t>
  </si>
  <si>
    <t>❷ saisissez le poids de la portion à servir par convive</t>
  </si>
  <si>
    <t>❷ saisissez le nombre de portions à servir</t>
  </si>
  <si>
    <t>format &gt;"de" # ##0.000" Kg"</t>
  </si>
  <si>
    <t>contenant(s) a conditionner</t>
  </si>
  <si>
    <t>Gastronormes tableau N° 1</t>
  </si>
  <si>
    <t>Estimation des contenants</t>
  </si>
  <si>
    <t>Partie du document réservée à la saisie</t>
  </si>
  <si>
    <t>En fonction des informations saisies : nombre de gasto à utiliser</t>
  </si>
  <si>
    <t>PRODUITS</t>
  </si>
  <si>
    <t>Contenance 1 Gastro</t>
  </si>
  <si>
    <t>Quoi?</t>
  </si>
  <si>
    <t>EFFECTIFS</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</si>
  <si>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</si>
  <si>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</si>
  <si>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</si>
  <si>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</si>
  <si>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</si>
  <si>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</si>
  <si>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</si>
  <si>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</si>
  <si>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</si>
  <si>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</si>
  <si>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</si>
  <si>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</si>
  <si>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</si>
  <si>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</si>
  <si>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</si>
  <si>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Poulet 4/4 Cuisses CRUES</t>
  </si>
  <si>
    <t>Poulet 4/4 Cuisses petites CUITES</t>
  </si>
  <si>
    <t>Poulet 4/4 Cuisses Grosses CUITES</t>
  </si>
  <si>
    <t>escalopes de volailles cuites 120g</t>
  </si>
  <si>
    <t>escalopes</t>
  </si>
  <si>
    <t>Gastronormes tableau N° 2</t>
  </si>
  <si>
    <t>Conditionnement pour service ou cuisson</t>
  </si>
  <si>
    <t>AU POIDS</t>
  </si>
  <si>
    <t>Combien de portions dans un gastro</t>
  </si>
  <si>
    <t>Effectif</t>
  </si>
  <si>
    <t>Quantité ou Grammage p.p.</t>
  </si>
  <si>
    <t xml:space="preserve">Conditionnement pour service ou cuisson </t>
  </si>
  <si>
    <t>A LA PORTION</t>
  </si>
  <si>
    <t xml:space="preserve">Poulet 4/4 Cuisses </t>
  </si>
  <si>
    <t>1 Gastro pour :</t>
  </si>
  <si>
    <t>SAUCE</t>
  </si>
  <si>
    <t>Poids de sauce dans une louche</t>
  </si>
  <si>
    <t>Poids NET p.p.</t>
  </si>
  <si>
    <t xml:space="preserve">% Perte </t>
  </si>
  <si>
    <t>Poids BRUT  1 portion</t>
  </si>
  <si>
    <t>1 louche pour</t>
  </si>
  <si>
    <t>Poids NET Total à servir / conditionner</t>
  </si>
  <si>
    <t>Total Brut à commander/conditionner</t>
  </si>
  <si>
    <t>Poids de sauce à servir</t>
  </si>
  <si>
    <t>Hachis Parmentier</t>
  </si>
  <si>
    <t>Service au choix : au poids ou à la portion</t>
  </si>
  <si>
    <t xml:space="preserve">Poids standard d'une Portion </t>
  </si>
  <si>
    <t>Nb de portions standard dans un GN 1/1 H65</t>
  </si>
  <si>
    <t>portions</t>
  </si>
  <si>
    <t>Poids d'une portion</t>
  </si>
  <si>
    <t>Equivalence en nombre de portions standards</t>
  </si>
  <si>
    <t>Au choix</t>
  </si>
  <si>
    <t xml:space="preserve">FICHE DE CONDITIONNEMENT </t>
  </si>
  <si>
    <t>NAVARIN D'AGNEAU PRINTANIER</t>
  </si>
  <si>
    <t>DATE :</t>
  </si>
  <si>
    <t>AGNEAU : Sauté d'agneau sans os- épaule - collier</t>
  </si>
  <si>
    <t>PRÉVISION DE COMMANDE ET MISE EN CUISSON</t>
  </si>
  <si>
    <t>VIANDE NET A SERVIR ET BRUT A COMMANDER</t>
  </si>
  <si>
    <t>NET Total à servir / conditionner</t>
  </si>
  <si>
    <t>Nb Mx p.p..</t>
  </si>
  <si>
    <t>poids Net d'un Mx</t>
  </si>
  <si>
    <t>poids BRUT d'un Mx</t>
  </si>
  <si>
    <t>Total Mx</t>
  </si>
  <si>
    <t>CONTENANTS POUR CUISSON</t>
  </si>
  <si>
    <t>* un contenant peut être une barquette - une plaque gastro - une louche etc... selon les circonstances</t>
  </si>
  <si>
    <t>CONTENANTS   A saisir :</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</si>
  <si>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</si>
  <si>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</si>
  <si>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</si>
  <si>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</si>
  <si>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</si>
  <si>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</si>
  <si>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</si>
  <si>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</si>
  <si>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</si>
  <si>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CUIT POUR LE SERVICE</t>
  </si>
  <si>
    <t>VIANDE CUITE A SERVIR NOMBRE DE GASTRO ET DE LOUCHES POUR LE SERVICE</t>
  </si>
  <si>
    <t>POUR LE SERVICE    A saisir :</t>
  </si>
  <si>
    <t>Poids total Cuit à servir</t>
  </si>
  <si>
    <t>Poids NET cuit 1 cont.*</t>
  </si>
  <si>
    <t>Nb louches/Mx dans 1 Cont</t>
  </si>
  <si>
    <t>Poids d'1 louche</t>
  </si>
  <si>
    <t>Total louches pour le service</t>
  </si>
  <si>
    <t>GARNITURE DE FINITION AU POIDS    service à la louche</t>
  </si>
  <si>
    <t>GARNITURE DE FINITION  A saisir :</t>
  </si>
  <si>
    <t>Nb louche p.p</t>
  </si>
  <si>
    <t>poids Net d'une louche</t>
  </si>
  <si>
    <t>Total louches</t>
  </si>
  <si>
    <t>SAUCE - POIDS et NB DE LOUCHES POUR LE SERVICE</t>
  </si>
  <si>
    <t>SAUCE - POIDS   A saisir :</t>
  </si>
  <si>
    <t>Saisissez vos valeurs dans les cellules fond jaune ou ivoire</t>
  </si>
  <si>
    <t>Fonction N° de colonne Alpha =SUBSTITUE(ADRESSE(1;COLONNE();4);"1";"")</t>
  </si>
  <si>
    <t>du 13-02-2017- Annule et remplace les versions précédentes</t>
  </si>
  <si>
    <t>PLAT EN SAUCE EN 5 ETAPES</t>
  </si>
  <si>
    <t>N° de lignes</t>
  </si>
  <si>
    <t xml:space="preserve">pour s'assurer que le fichier est bien l'original, utiliser cette formule qui récupère le nom complet du fichier.  </t>
  </si>
  <si>
    <t>POUR COMPARER DES OFFRES DANS LE CADRE DE MARCHÉS PUBLICS</t>
  </si>
  <si>
    <t>ICI &gt; pourquoi ? quelle utilité &gt; en cliquant sur cette cellule en tête de tableau et en vous déportant sur la droite puis vers le bas cela sélectionne le tableau pour le copier et le coller dans un de vos documents</t>
  </si>
  <si>
    <t>Si vous avez besoin de retirer les crochets vous pouvez utiliser la fonction SUBSTITUE():</t>
  </si>
  <si>
    <t>Pour avoir le nom du répertoire:</t>
  </si>
  <si>
    <t>Pour avoir le nom du répertoire et du fichier:</t>
  </si>
  <si>
    <t>Si vous souhaitez retirer les crochets:</t>
  </si>
  <si>
    <t>Adresses</t>
  </si>
  <si>
    <t>http://www.mdf-xlpages.com/modules/publisher/item.php?itemid=91</t>
  </si>
  <si>
    <t xml:space="preserve">pour marquer vos copies remplacez dans la formule les références en vert par les votres </t>
  </si>
  <si>
    <t>pour copier ou modifier une formule supprimez le signe = puis ajoutez le lorsque vous aurez terminé</t>
  </si>
  <si>
    <t>ce qui vous permettra de modifier en toute sécurité  - sans ce signe = Excel considère que c'est du texte</t>
  </si>
  <si>
    <t>Les tables de multiplication</t>
  </si>
  <si>
    <t xml:space="preserve">Aide mémoire Volumes sur la base eau : 1L = 1Kg - 1 gr = 0.001Kg  &gt; 2 zéros après la virgule du Kg </t>
  </si>
  <si>
    <t xml:space="preserve">Aide mémoire Poids sur la base eau : 1L = 1Kg - 1 gr = 0.001Kg  &gt; 2 zéros après la virgule du Kg </t>
  </si>
  <si>
    <t xml:space="preserve">CRITERE QUANTITATIF -                              PONDERATION PRIX </t>
  </si>
  <si>
    <t>CRITERE QUALITATIF -                                     PONDERATION TECHNIQUE</t>
  </si>
  <si>
    <t>liens &gt;</t>
  </si>
  <si>
    <t>Pourcentages en dedans, en dehors</t>
  </si>
  <si>
    <t>FARINE</t>
  </si>
  <si>
    <t>Avec notre exemple cela donne:</t>
  </si>
  <si>
    <t>Poids de Pâte</t>
  </si>
  <si>
    <t>Poids de Farine</t>
  </si>
  <si>
    <t>Poids de farine</t>
  </si>
  <si>
    <t>=</t>
  </si>
  <si>
    <t xml:space="preserve">Saisissez vos valeurs dans les cellules fond jaune </t>
  </si>
  <si>
    <t>Auteur Mr Sauvalle  - Métiers de la Farine &gt; Exemple de cours de BEP BOULANGER</t>
  </si>
  <si>
    <t>http://hra.spip.ac-rouen.fr/spip.php?article222</t>
  </si>
  <si>
    <t>site Hôtellerie Restauration Alimentation de l’académie de Rouen</t>
  </si>
  <si>
    <t>Adaptation : Joël Leboucher U.P.R.T. membre du réseau Restau'Co</t>
  </si>
  <si>
    <t>SEL</t>
  </si>
  <si>
    <t>LEVURE</t>
  </si>
  <si>
    <t>Poids de Levure</t>
  </si>
  <si>
    <t xml:space="preserve">Poids de Produit correcteur </t>
  </si>
  <si>
    <t>Formule du calcul du poids de  FARINE</t>
  </si>
  <si>
    <t>dans le cas d'une hydratation à</t>
  </si>
  <si>
    <t>hydratation à</t>
  </si>
  <si>
    <t>Farine</t>
  </si>
  <si>
    <t>Formule du calcul du poids d'  EAU</t>
  </si>
  <si>
    <t>Poids d'eau</t>
  </si>
  <si>
    <t>Formule du calcul du poids de  SEL</t>
  </si>
  <si>
    <t>Sel dosage à</t>
  </si>
  <si>
    <t>Sel</t>
  </si>
  <si>
    <t xml:space="preserve">                                                                      Les calculs en boulangerie </t>
  </si>
  <si>
    <t>exemple</t>
  </si>
  <si>
    <t>Fractions et pourcentages</t>
  </si>
  <si>
    <t>Méthode 1</t>
  </si>
  <si>
    <t>Méthode 2</t>
  </si>
  <si>
    <t>A la recherche du pourcentage à appliquer</t>
  </si>
  <si>
    <t>Pourcentage d'augmentation</t>
  </si>
  <si>
    <t>Annule et remplace les versions précédentes</t>
  </si>
  <si>
    <t>Bienvenue sur CMATH  le monde merveilleux des mathématiques!</t>
  </si>
  <si>
    <t>Hedacademy est une chaîne pour comprendre les maths</t>
  </si>
  <si>
    <t>Hedacademy</t>
  </si>
  <si>
    <t xml:space="preserve">Khan Academy est une organisation à but non lucratif </t>
  </si>
  <si>
    <t>KhanAcademyFrancophone</t>
  </si>
  <si>
    <t>Comment fonctionne Khan Academy</t>
  </si>
  <si>
    <t>visant à changer l'éducation pour le mieux en fournissant une éducation de classe mondiale libre pour tous, partout.</t>
  </si>
  <si>
    <t>Une bonne pâte doit avoir un certain nombre de qualités :(souplesse, maniabilité, tolérance etc...), cependant certaines pâtes peuvent présenter des défauts qu’il nous faut connaître :</t>
  </si>
  <si>
    <t>http://www.boulangerie.net/forums/bnweb/dt/pate.php</t>
  </si>
  <si>
    <t>La température de base.</t>
  </si>
  <si>
    <t>Comment déterminer le coefficient multiplicateur. CAP boulanger</t>
  </si>
  <si>
    <t>Les calculs en Boulangerie</t>
  </si>
  <si>
    <t>Formule du calcul du poids de  FARINE et D'EAU</t>
  </si>
  <si>
    <t xml:space="preserve">LEVURE </t>
  </si>
  <si>
    <t>PATE</t>
  </si>
  <si>
    <t>PRODUIT</t>
  </si>
  <si>
    <t>FERMENTEE</t>
  </si>
  <si>
    <t xml:space="preserve">CORRECTEUR </t>
  </si>
  <si>
    <t>Dosage</t>
  </si>
  <si>
    <t>Les formules expliquées</t>
  </si>
  <si>
    <t xml:space="preserve">Formule du calcul du poids de LEVURE </t>
  </si>
  <si>
    <t>Formule du calcul du poids de PATE FERMENTEE</t>
  </si>
  <si>
    <t xml:space="preserve">Formule du calcul du poids de PRODUIT CORRECTEUR </t>
  </si>
  <si>
    <t>Poids de Sel</t>
  </si>
  <si>
    <t>les formats nombre ne sont pas des pourcentages mais des nombres standards personnalisés &gt; 0" %"</t>
  </si>
  <si>
    <t>et 0.000"Kg" pour les poids - j'ai remplacé les volumes par des poids sur la base de 1L d'eau = 1Kg</t>
  </si>
  <si>
    <t>les formats nombre ne sont pas des pourcentages mais des nombres standards personnalisés &gt; 0" %" et 0.000"Kg" pour les poids - j'ai remplacé les volumes par des poids sur la base de 1L d'eau = 1Kg</t>
  </si>
  <si>
    <t>Formule du calcul du poids de  FARINE - comparer deux % d'hydratation</t>
  </si>
  <si>
    <t>Pour cet exemple la "Pâte" est composée de farine dans laquelle on ajoute de l'eau</t>
  </si>
  <si>
    <r>
      <rPr>
        <b/>
        <sz val="12"/>
        <color rgb="FF0000FF"/>
        <rFont val="Wingdings 3"/>
        <family val="1"/>
        <charset val="2"/>
      </rPr>
      <t>q</t>
    </r>
    <r>
      <rPr>
        <b/>
        <sz val="12"/>
        <rFont val="Wingdings 3"/>
        <family val="1"/>
        <charset val="2"/>
      </rPr>
      <t xml:space="preserve"> </t>
    </r>
    <r>
      <rPr>
        <b/>
        <sz val="12"/>
        <color rgb="FFC00000"/>
        <rFont val="Wingdings 3"/>
        <family val="1"/>
        <charset val="2"/>
      </rPr>
      <t>q</t>
    </r>
  </si>
  <si>
    <t>OU &gt;</t>
  </si>
  <si>
    <t>supp.</t>
  </si>
  <si>
    <t>Poids de Farine écart</t>
  </si>
  <si>
    <t>lorsque vous collez ce postit sur votre feuille vous pouvez supprimer l'exemple</t>
  </si>
  <si>
    <t>en supprimant les lignes supp. &gt;</t>
  </si>
  <si>
    <t>Poids de pâte</t>
  </si>
  <si>
    <t>Formule du calcul du poids d'  EAU  - comparer deux % d'hydratation</t>
  </si>
  <si>
    <t>Il y a une erreur sur la diapo pour 65%  - le poids de pâte n'est pas à multiplier par 60 mais par 65</t>
  </si>
  <si>
    <t>Poids d'eau écart</t>
  </si>
  <si>
    <t xml:space="preserve">                                                              SEL</t>
  </si>
  <si>
    <t>Formule du calcul du poids de LEVURE   - comparer deux valeurs</t>
  </si>
  <si>
    <t>Levure dosage à</t>
  </si>
  <si>
    <t>Levure</t>
  </si>
  <si>
    <t>Poids total</t>
  </si>
  <si>
    <t xml:space="preserve">et 0.000"Kg" pour les poids </t>
  </si>
  <si>
    <t>Poids de levure écart</t>
  </si>
  <si>
    <t xml:space="preserve">                                                                   PATE FERMENTÉE</t>
  </si>
  <si>
    <t>Formule du calcul du poids de PATE FERMENTEE   - comparer deux valeurs</t>
  </si>
  <si>
    <t>Dosage à</t>
  </si>
  <si>
    <t>PATE FERMENTEE</t>
  </si>
  <si>
    <t>dosage à</t>
  </si>
  <si>
    <t>PATE FERMENTEE écart</t>
  </si>
  <si>
    <t xml:space="preserve">                                                     CORRECTEUR</t>
  </si>
  <si>
    <t>Formule du calcul du poids de PRODUIT CORRECTEUR   - comparer deux valeurs</t>
  </si>
  <si>
    <t>Produit Correcteur</t>
  </si>
  <si>
    <t>Produit Correcteur écart</t>
  </si>
  <si>
    <t>Le taux d'hydratation en boulangerie</t>
  </si>
  <si>
    <t>Chez Franck Barbenoire</t>
  </si>
  <si>
    <t>03 juillet 2014 - Mots-clés : Calcul Pain</t>
  </si>
  <si>
    <t>Voici les questions auxquelles je veux pouvoir répondre :</t>
  </si>
  <si>
    <t>je veux faire une pâte d'un poids donné, quels poids d'eau, de farine et de levain dois-je utiliser ?</t>
  </si>
  <si>
    <t>je dispose d'un certain poids de levain, quels poids d'eau et de farine dois-je lui ajouter ?</t>
  </si>
  <si>
    <t>j'ai une recette de pain à la levure, comment le convertir en recette de pain au levain ?</t>
  </si>
  <si>
    <t>Tableaux Excel et liens ODS sur les lignes suivantes</t>
  </si>
  <si>
    <t>Afin d'écrire des programmes qui permettent d'automatiser les calculs, il me faut déterminer les formules à appliquer.</t>
  </si>
  <si>
    <t>Les formules</t>
  </si>
  <si>
    <t>Le taux d'hydratation</t>
  </si>
  <si>
    <t>Voici un préambule nécessaire sur le taux d'hydratation en boulangerie :</t>
  </si>
  <si>
    <t>pf : poids de la farine ;</t>
  </si>
  <si>
    <t>pe : poids de l'eau ;</t>
  </si>
  <si>
    <t>La définition du taux d'hydratation :</t>
  </si>
  <si>
    <t>th = pe / pf</t>
  </si>
  <si>
    <t>pe = pf * th</t>
  </si>
  <si>
    <t>pf = pe / th</t>
  </si>
  <si>
    <t>Et voici d'autres relations avec le poids de la pâte qui seront bien utiles pour la suite.</t>
  </si>
  <si>
    <t>D'abord, le poids total de la pâte en fonction des poids de la farine et de l'eau :</t>
  </si>
  <si>
    <t>pp = pf + pe</t>
  </si>
  <si>
    <t xml:space="preserve">    = pf + pf * th</t>
  </si>
  <si>
    <t xml:space="preserve">    = (1 + th) * pf</t>
  </si>
  <si>
    <t>pp = pe + pf</t>
  </si>
  <si>
    <t xml:space="preserve">    = pe + pe / th</t>
  </si>
  <si>
    <t xml:space="preserve">    = (1 + 1 / th) * pe</t>
  </si>
  <si>
    <t>Et enfin les poids de la farine et de l'eau en fonction du poids total de la pâte :</t>
  </si>
  <si>
    <t>pf = pp / (1 + th)</t>
  </si>
  <si>
    <t xml:space="preserve">   = pp * th / (1 + th)</t>
  </si>
  <si>
    <t>Applications</t>
  </si>
  <si>
    <t>Les données sont les suivantes :</t>
  </si>
  <si>
    <t>ptp : poids total de la pâte (eau + farine + levain) ;</t>
  </si>
  <si>
    <t>thl : taux d'hydratation du levain ;</t>
  </si>
  <si>
    <t>thp : taux d'hydratation de la pâte ;</t>
  </si>
  <si>
    <t>tlf : taux de la farine du levain par rapport à la farine ;</t>
  </si>
  <si>
    <t>pf : le poids de la farine ;</t>
  </si>
  <si>
    <t>pe : le poids de l'eau ;</t>
  </si>
  <si>
    <t>pel : le poids de l'eau dans le levain ;</t>
  </si>
  <si>
    <t>pl : poids du levain (eau + farine) ;</t>
  </si>
  <si>
    <t>pf = pfl / tlf</t>
  </si>
  <si>
    <t>ptf = pf + pfl</t>
  </si>
  <si>
    <t>pte = ptf * thp</t>
  </si>
  <si>
    <t>pel = pfl * thl</t>
  </si>
  <si>
    <t>pe = pte - pel</t>
  </si>
  <si>
    <t>Parcourons cette chaîne sans faire des calculs numériques mais en substituant les définitions dans les lignes qui suivent.</t>
  </si>
  <si>
    <t>La valeur obtenue sur une ligne est reportée dans la suivante et ainsi de suite :</t>
  </si>
  <si>
    <t>Eliminons pf :</t>
  </si>
  <si>
    <t>ptf = pfl / tlf + pfl</t>
  </si>
  <si>
    <t xml:space="preserve">    = (1 / tlf + 1) * pfl</t>
  </si>
  <si>
    <t>Eliminons ptf :</t>
  </si>
  <si>
    <t>pte = (1 / tlf + 1) * pfl * thp</t>
  </si>
  <si>
    <t>Eliminons pte et pel :</t>
  </si>
  <si>
    <t>pe = (1 / tlf + 1) * pfl * thp - pfl * thl</t>
  </si>
  <si>
    <t xml:space="preserve">   = [(1 / tlf + 1) * thp - thl] * pfl</t>
  </si>
  <si>
    <t>Récapitulons, pfl étant supposé donné au départ :</t>
  </si>
  <si>
    <t>pfl</t>
  </si>
  <si>
    <t>ptf = (1 / tlf + 1) * pfl</t>
  </si>
  <si>
    <t>pe = [(1 / tlf + 1) * thp - thl] * pfl</t>
  </si>
  <si>
    <t>pfl n'est en fait pas une donnée de départ, il faut donc le calculer.</t>
  </si>
  <si>
    <t>Poids de la pâte imposé</t>
  </si>
  <si>
    <t>Si ptp est imposé, c'est pas très compliqué (cf préambule sur le taux d'hydratation pour la première ligne) :</t>
  </si>
  <si>
    <t>ptf = ptp / (1 + thp)</t>
  </si>
  <si>
    <t>(1 / tlf + 1) * pfl = ptp / (1 + thp)</t>
  </si>
  <si>
    <t>pfl = ptp / (1 + thp) / (1 / tlf + 1)</t>
  </si>
  <si>
    <t xml:space="preserve">    = ptp * tlf / (1 + thp) / (1 + tlf)</t>
  </si>
  <si>
    <t>et :</t>
  </si>
  <si>
    <t>pl = (1 + thl) * pfl</t>
  </si>
  <si>
    <t>Les données d'entrée sont donc :</t>
  </si>
  <si>
    <t>et les données de sortie sont :</t>
  </si>
  <si>
    <t>pl : poids du levain ;</t>
  </si>
  <si>
    <t>Application numérique</t>
  </si>
  <si>
    <t>Données d'entrée</t>
  </si>
  <si>
    <t>ptp = 1000</t>
  </si>
  <si>
    <t>thp = 0.6</t>
  </si>
  <si>
    <t>thl = 0.8</t>
  </si>
  <si>
    <t>tlf = 0.3</t>
  </si>
  <si>
    <t>Voici le déroulé des formules :</t>
  </si>
  <si>
    <t>pfl = 1000 * 0.3 / (1 + 0.6) / (1 + 0.3) = 144.23</t>
  </si>
  <si>
    <t>pf = 144.23 / 0.3 = 480.77</t>
  </si>
  <si>
    <t>ptf = (1 / 0.3 + 1) * 144.23 = 625</t>
  </si>
  <si>
    <t>pte = (1 / 0.3 + 1) * 144.23 * 0.6 = 375</t>
  </si>
  <si>
    <t>pel = 144.23 * 0.8 = 115.38</t>
  </si>
  <si>
    <t>pe = [(1 / 0.3 + 1) * 0.6 - 0.8] * 144.23 = 259.61</t>
  </si>
  <si>
    <t>pl = (1 + 0.8) * 144.23 =  259.61</t>
  </si>
  <si>
    <t>PATE IMPOSEE</t>
  </si>
  <si>
    <t>Utilisation d'un tableur</t>
  </si>
  <si>
    <t>Certains préféreront utiliser un tableur. Son avantage est d'être plus visuel et de faire apparaître les calculs intermédiaires. Le fichier au format ods (LibreOffice et OpenOffice) pate-imposee.ods est téléchargeable.</t>
  </si>
  <si>
    <t>En affichant les formules :</t>
  </si>
  <si>
    <t>Et en affichant les valeurs :</t>
  </si>
  <si>
    <t>Pâte imposée</t>
  </si>
  <si>
    <t>Données</t>
  </si>
  <si>
    <t>Poids total de la pâte</t>
  </si>
  <si>
    <t>ptp</t>
  </si>
  <si>
    <t>Taux d’hydratation de la pâte</t>
  </si>
  <si>
    <t>th</t>
  </si>
  <si>
    <t>Taux levain / farine</t>
  </si>
  <si>
    <t>tlf</t>
  </si>
  <si>
    <t>Résultats</t>
  </si>
  <si>
    <t>Poids total de la farine</t>
  </si>
  <si>
    <t>ptf</t>
  </si>
  <si>
    <t>Poids total de l’eau</t>
  </si>
  <si>
    <t>pte</t>
  </si>
  <si>
    <t>Poids de la farine ajoutée</t>
  </si>
  <si>
    <t>pf</t>
  </si>
  <si>
    <t>Poids de l’eau ajoutée</t>
  </si>
  <si>
    <t>pe</t>
  </si>
  <si>
    <t>Auteur Franck Barbenoire</t>
  </si>
  <si>
    <t>http://www.franck-barbenoire.fr/extras/pate-imposee.ods</t>
  </si>
  <si>
    <t>Production d'une pâte par plusieurs rafraîchis</t>
  </si>
  <si>
    <t>Nouvelle utilisation du tableur pour effectuer la même opération plusieurs fois de suite. Le levain est rafraîchi plusieurs fois jusqu'à obtenir la quantité de pâte désirée. Le fichier au format ods (LibreOffice et OpenOffice) pate-imposee-iteratif.ods est téléchargeable.</t>
  </si>
  <si>
    <t>Taux d'hydratation de la pâte / levain</t>
  </si>
  <si>
    <t>Taux levain farine</t>
  </si>
  <si>
    <t>Poids du levain / pâte</t>
  </si>
  <si>
    <t>Poids de la farine</t>
  </si>
  <si>
    <t>Poids de l'eau</t>
  </si>
  <si>
    <t>Poids du sel</t>
  </si>
  <si>
    <t>Poids de la farine du levain</t>
  </si>
  <si>
    <t>http://www.franck-barbenoire.fr/extras/levain-impose.ods</t>
  </si>
  <si>
    <t>Interprétation du tableau :</t>
  </si>
  <si>
    <t>premier rafraîchi : on prend 13,8 de levain hydraté à 80% auquel on ajoute 25,6 de farine et 20,5 d'eau, ce qui donne 59,9 de pâte hydratée à 80% et dont 30% de la farine provient du levain ;</t>
  </si>
  <si>
    <t>deuxième rafraîchi : on prend 59,9 de levain hydraté à 80% auquel on ajoute 110,9 de farine et 88,8 d'eau, ce qui donne 259,6 de pâte hydratée à 80% et dont 30% de la farine provient du levain ;</t>
  </si>
  <si>
    <t>troisième rafraîchi : on prend 259,6 de levain hydraté à 80% auquel on ajoute 480,8 de farine et 259,6 d'eau, ce qui donne 1000 de pâte hydratée à 60% et dont 30% de la farine provient du levain.</t>
  </si>
  <si>
    <t>Le sel n'entre dans la composition de la pâte que lors du dernier "rafraîchi".</t>
  </si>
  <si>
    <t>Poids du levain imposé</t>
  </si>
  <si>
    <t>Si le poids du levain pl est imposé, c'est beaucoup plus facile (idem préambule) pour trouver le poids de la farine du levain à partir de pl :</t>
  </si>
  <si>
    <t>pfl = pl / (1 + thl)</t>
  </si>
  <si>
    <t>et les données de sortie :</t>
  </si>
  <si>
    <t>Application numérique :</t>
  </si>
  <si>
    <t>pl = 150</t>
  </si>
  <si>
    <t>pfl = 150 / (1 + 0.8) = 83.33</t>
  </si>
  <si>
    <t>pf = 83.33 / 0.3 = 277.77</t>
  </si>
  <si>
    <t>ptf = (1 / 0.3 + 1) * 83.33 = 361.11</t>
  </si>
  <si>
    <t>pte = (1 / 0.3 + 1) * 83.33 * 0.6 = 216.67</t>
  </si>
  <si>
    <t>pel = 83.33 * 0.8 = 66.67</t>
  </si>
  <si>
    <t>pe = [(1 / 0.3 + 1) * 0.6 - 0.8] * 83.33 = 150</t>
  </si>
  <si>
    <t>ptp = 361.11 + 216.67 = 577.78</t>
  </si>
  <si>
    <t>Le fichier au format ods levain-impose.ods est téléchargeable.</t>
  </si>
  <si>
    <t>Poids du levain</t>
  </si>
  <si>
    <t>pl</t>
  </si>
  <si>
    <t>Pâte équivalente</t>
  </si>
  <si>
    <t>Les données d'entrée sont :</t>
  </si>
  <si>
    <t>pte : le poids de l'eau ;</t>
  </si>
  <si>
    <t>ptf : le poids de la farine ;</t>
  </si>
  <si>
    <t>et on veut obtenir :</t>
  </si>
  <si>
    <t>pl : poids du levain (eau + farine).</t>
  </si>
  <si>
    <t>Posons les définitions :</t>
  </si>
  <si>
    <t>pf = ptf - pfl</t>
  </si>
  <si>
    <t>pel = pfl / thl</t>
  </si>
  <si>
    <t>pl = pfl + pel</t>
  </si>
  <si>
    <t>pl = pf * tlf</t>
  </si>
  <si>
    <t>Eliminons pel :</t>
  </si>
  <si>
    <t>pe = pte - pfl / thl</t>
  </si>
  <si>
    <t>pl = pfl + pfl / thl</t>
  </si>
  <si>
    <t xml:space="preserve">   = (1 + 1 / thl) * pfl</t>
  </si>
  <si>
    <t>Eliminons pfl :</t>
  </si>
  <si>
    <t>pe = pte - pl / [(1 + 1 / thl) * thl]</t>
  </si>
  <si>
    <t>pf = ptf - pl / (1 + 1 / thl)</t>
  </si>
  <si>
    <t>Eliminons pl :</t>
  </si>
  <si>
    <t>pe = pte - pf * tlf / [(1 + 1 / thl) * thl]</t>
  </si>
  <si>
    <t>pf = ptf - pf * tlf / (1 + 1 / thl)</t>
  </si>
  <si>
    <t>pe = pte - ptf * tlf / [1 + (1 + tlf) * thl]</t>
  </si>
  <si>
    <t>pf = ptf / [1 + tlf / (1 + 1 / thl)]</t>
  </si>
  <si>
    <t>ptf = 500</t>
  </si>
  <si>
    <t>pte = 300</t>
  </si>
  <si>
    <t>thl = 0.7</t>
  </si>
  <si>
    <t>tlf = 0.4</t>
  </si>
  <si>
    <t>pe = 300 - 500 * 0.4 / [1 + (1 + 0.4) * 0.7] = 198.99</t>
  </si>
  <si>
    <t>pf = 500 / (1 + 0.4 / (1 + 1 / 0.7)) = 429.29</t>
  </si>
  <si>
    <t>pl = 429.29 * 0.4 = 171.72</t>
  </si>
  <si>
    <t>Vérifications :</t>
  </si>
  <si>
    <t>pfl = 500 - 429.29 = 70.71</t>
  </si>
  <si>
    <t>pel = 300 - 198.99 = 101.01</t>
  </si>
  <si>
    <t>pl = 70.71 + 101.01 = 171.72 -&gt; OK</t>
  </si>
  <si>
    <t>thl = 70.71 / 101.01 = 0.7 -&gt; OK</t>
  </si>
  <si>
    <t>Les formulaires en ligne</t>
  </si>
  <si>
    <t>Je mets à votre disposition des formulaires de calculs de boulangerie qui automatisent les calculs présentés ci-dessus.</t>
  </si>
  <si>
    <t>Vous pouvez retrouver le projet complet sous Github.</t>
  </si>
  <si>
    <t xml:space="preserve">                                                                EAU</t>
  </si>
  <si>
    <t>ou refroidir de l'eau de coulage salée au congélateur</t>
  </si>
  <si>
    <t>refroidir de l'eau rapidement</t>
  </si>
  <si>
    <t>Boulangerie Pas à Pas: N°1 Presentation perso</t>
  </si>
  <si>
    <t>Boulangerie Pas à pas</t>
  </si>
  <si>
    <t>Boulangerie Pas à Pas N°8: La Température de Base. CAP boulanger</t>
  </si>
  <si>
    <t>j'ai remplacé les volumes par des poids sur la base de 1L d'eau = 1Kg</t>
  </si>
  <si>
    <t>et 0.000"Kg" pour les poids - ainsi que "(" 1 et  2.0" Kg  )"</t>
  </si>
  <si>
    <t>T eau de coulage</t>
  </si>
  <si>
    <t>T = Température</t>
  </si>
  <si>
    <t>T farine</t>
  </si>
  <si>
    <t>T du fournil</t>
  </si>
  <si>
    <t>la T de base</t>
  </si>
  <si>
    <t>Votre T de base PERSO</t>
  </si>
  <si>
    <t>3 fois la différence</t>
  </si>
  <si>
    <t>différence de T</t>
  </si>
  <si>
    <t>T. de votre pâte</t>
  </si>
  <si>
    <t>température de la pâte recherchée</t>
  </si>
  <si>
    <t>Température de la Base Perso</t>
  </si>
  <si>
    <t xml:space="preserve"> elle varie entre 50 et 60 pour les cas les plus fréquents</t>
  </si>
  <si>
    <t>La température de base (TB) est la température de référence,</t>
  </si>
  <si>
    <t>T de base PERSO</t>
  </si>
  <si>
    <t>T de base</t>
  </si>
  <si>
    <t>Il faudra donc ajouter 6° à la base théorique pour obtenir sa base personnelle. 58 + 6 = 64.</t>
  </si>
  <si>
    <t>T recherchée</t>
  </si>
  <si>
    <t>T de la pâte</t>
  </si>
  <si>
    <t xml:space="preserve">Exemple : Si la pâte fait 21° au lieu des 23° recherchés, la différence est de 2°. </t>
  </si>
  <si>
    <t xml:space="preserve">la différence constatée en degrés. </t>
  </si>
  <si>
    <t xml:space="preserve"> la température de la pâte. Pour modifier la base, on ajoute ou on retranche au chiffre de base 3 fois </t>
  </si>
  <si>
    <t>entre la température souhaitée et celle réellement obtenue, puisque les pétrins élèvent plus ou moins</t>
  </si>
  <si>
    <t xml:space="preserve">Les professionnels affinent leurs chiffres de base et les modifient s'ils constatent des différences </t>
  </si>
  <si>
    <t>)  =</t>
  </si>
  <si>
    <t>+</t>
  </si>
  <si>
    <t>moins  (</t>
  </si>
  <si>
    <t xml:space="preserve">Eau = base - (air + farine)  </t>
  </si>
  <si>
    <t xml:space="preserve">58 - (18+18) = 22°C. </t>
  </si>
  <si>
    <t>S'il fait 18°C dans la pièce et que la farine est entreposée dans le même local, l'eau de coulage devra être à 22°C.</t>
  </si>
  <si>
    <t xml:space="preserve">Voici comment procéder : </t>
  </si>
  <si>
    <t xml:space="preserve">Il faut calculer la température de l'eau en fonction de celle de l'air et de celle de la farine. </t>
  </si>
  <si>
    <t>Calcul de la température de la pâte recherchée</t>
  </si>
  <si>
    <t>Pour une recette donnée, on peut, par exemple, chercher à obtenir une pâte à 23°C.</t>
  </si>
  <si>
    <t>Calcul de la température de la température de base</t>
  </si>
  <si>
    <t>Température de l'air = T du fournil</t>
  </si>
  <si>
    <t>Calcul de la température de l'eau de coulage</t>
  </si>
  <si>
    <t>Calcul de la température de l'eau de coulage et de la Base</t>
  </si>
  <si>
    <t>tlf : taux de la farine du levain par rapport à la farine</t>
  </si>
  <si>
    <t>pf : le poids de la farine</t>
  </si>
  <si>
    <t>pfl : le poids de farine dans le levain</t>
  </si>
  <si>
    <t>On pourrait effectuer une chaîne de calculs rien qu'en posant les définitions.</t>
  </si>
  <si>
    <t>Supposons que l'on connaisse le poids de la farine pfl contenue dans le levain.</t>
  </si>
  <si>
    <t>ptf : le poids total de farine (y compris celle contenue dans le levain pf + pfl)</t>
  </si>
  <si>
    <t>pte : le poids total d'eau (l'eau ajoutée pe + celle contenue dans le levain pel)</t>
  </si>
  <si>
    <t>pe : le poids de l'eau</t>
  </si>
  <si>
    <t>thp : taux d'hydratation de la pâte</t>
  </si>
  <si>
    <t>thl : taux d'hydratation du levain</t>
  </si>
  <si>
    <t xml:space="preserve">ptp : poids total de la pâte </t>
  </si>
  <si>
    <t>levain</t>
  </si>
  <si>
    <t>pf : poids de la farine</t>
  </si>
  <si>
    <t>pe : poids de l'eau</t>
  </si>
  <si>
    <t>Poids de Pâte   X   taux d'hydratation  =  Quantité d'eau</t>
  </si>
  <si>
    <t>Quantité d'eau   X   100   =  taux d'hydratation</t>
  </si>
  <si>
    <t>Quantité d'eau</t>
  </si>
  <si>
    <t>taux d'hydratation:</t>
  </si>
  <si>
    <t>OU</t>
  </si>
  <si>
    <t>-</t>
  </si>
  <si>
    <t>Calcul de la quantité d'eau</t>
  </si>
  <si>
    <t>comment personnaliser des formats nombre : cliquez sur  - Format de cellule - Puis sur  - Nombre - et en bas de liste sur  - Personnaliser</t>
  </si>
  <si>
    <t>les formats nombre sont des nombres standards personnalisés &gt; 0.000"Kg" pour les poids ET  0" %" pour les pourcentages</t>
  </si>
  <si>
    <t>% h : pourcentage d'hydratation</t>
  </si>
  <si>
    <t>x</t>
  </si>
  <si>
    <t>pp : poids de la pâte</t>
  </si>
  <si>
    <t>variante de présentation</t>
  </si>
  <si>
    <t>OU avec pourcentage</t>
  </si>
  <si>
    <t>)</t>
  </si>
  <si>
    <t>(</t>
  </si>
  <si>
    <t>th : taux d'hydratation</t>
  </si>
  <si>
    <t>pp : poids de la pâte, c'est à dire la farine et l'eau mélangées</t>
  </si>
  <si>
    <t xml:space="preserve">)          = </t>
  </si>
  <si>
    <t>les poids de la farine et de l'eau en fonction du poids total de la pâte</t>
  </si>
  <si>
    <t>Puis sur  - Nombre - et en bas de liste sur  - Personnaliser</t>
  </si>
  <si>
    <t xml:space="preserve">comment personnaliser des formats nombre : cliquez sur  - Format de cellule - </t>
  </si>
  <si>
    <t>ET  0" %" pour les pourcentages</t>
  </si>
  <si>
    <t xml:space="preserve">les formats nombre sont des nombres standards personnalisés &gt; 0.000"Kg" pour les poids </t>
  </si>
  <si>
    <t>ou    Quantité de farine  x  (1+ TH) taux d'hydratation</t>
  </si>
  <si>
    <t>Quantité de farine</t>
  </si>
  <si>
    <t>Calcul du poids de pâte</t>
  </si>
  <si>
    <t>)          X</t>
  </si>
  <si>
    <t>= (pe x 2 ) * 100 / % h</t>
  </si>
  <si>
    <t>variante</t>
  </si>
  <si>
    <t>= (pe + pe ) * 100 / % h</t>
  </si>
  <si>
    <t>= (1 + 1 / th) * pe</t>
  </si>
  <si>
    <t>% h</t>
  </si>
  <si>
    <t xml:space="preserve">= ( pe X 2 ) * 100 </t>
  </si>
  <si>
    <t xml:space="preserve">= ( pe + pe ) * 100 </t>
  </si>
  <si>
    <t>= ( pe + pe ) / th</t>
  </si>
  <si>
    <t>)          +</t>
  </si>
  <si>
    <t xml:space="preserve"> X</t>
  </si>
  <si>
    <t>= ( pf * % h ) + pf</t>
  </si>
  <si>
    <t>= (1 + th) * pf</t>
  </si>
  <si>
    <t>= ( pf + pf ) * % h</t>
  </si>
  <si>
    <t>= pf + pf * th</t>
  </si>
  <si>
    <t>le poids total de la pâte en fonction des poids de la farine et de l'eau</t>
  </si>
  <si>
    <t>poids de la farine</t>
  </si>
  <si>
    <t>poids de l'eau</t>
  </si>
  <si>
    <t>% d'hydratation:</t>
  </si>
  <si>
    <t>Taux d'hydratation:</t>
  </si>
  <si>
    <t>Calcul du Pourcentage d'hydratation:  % H</t>
  </si>
  <si>
    <t>Calcul du Taux d'hydratation:  TH</t>
  </si>
  <si>
    <t>Calculs d'hydratation :  TH - Taux  et   % H  - pourcentage</t>
  </si>
  <si>
    <t>divisé par % :  d'hydratation</t>
  </si>
  <si>
    <t>X 100</t>
  </si>
  <si>
    <t>pf = pe / % d'hydratation X 100</t>
  </si>
  <si>
    <t>divisé par 100</t>
  </si>
  <si>
    <t>pf : poids de la farine X  %  d'hydratation</t>
  </si>
  <si>
    <t>pe = pf : poids de la farine /100 * %  d'hydratation</t>
  </si>
  <si>
    <t>divisé par pf : poids de la farine</t>
  </si>
  <si>
    <t>% : pourcentage d'hydratation</t>
  </si>
  <si>
    <t>% h = pe : poids de l'eau / pf : poids de la farine X 100</t>
  </si>
  <si>
    <t>pf - poids farine = pe / th</t>
  </si>
  <si>
    <t>pe - poids de l'eau = pf * th</t>
  </si>
  <si>
    <t>th- taux hydratation = pe / pf</t>
  </si>
  <si>
    <t>La définition du Pourcentage d'hydratation :</t>
  </si>
  <si>
    <t>Calcul Pain</t>
  </si>
  <si>
    <t>Le taux d'hydratation en boulangerie par " Franck Barbenoire "</t>
  </si>
  <si>
    <t xml:space="preserve">Vocabulaire professionnel </t>
  </si>
  <si>
    <t>sur le site de l'AAINB Association Nationale des Professeurs de Boulangerie</t>
  </si>
  <si>
    <t>Fédération Compagnonnique du Tour de France Boulanger Pâtissier</t>
  </si>
  <si>
    <t>SOCIÉTÉ DES COMPAGNONS BOULANGERS, PÂTISSIERS RESTÉS FIDÈLES AU DEVOIR</t>
  </si>
  <si>
    <t>chouquettes</t>
  </si>
  <si>
    <t>un contenant* peut être une panière - un sachet - une plaque gastro - une louche - une barquette etc..</t>
  </si>
  <si>
    <t>Nombre de contenants a la pièce avec la fonction MODULO</t>
  </si>
  <si>
    <t>Nombre de contenants au poids avec la fonction MODULO</t>
  </si>
  <si>
    <r>
      <t xml:space="preserve">En mathématiques, </t>
    </r>
    <r>
      <rPr>
        <b/>
        <sz val="12"/>
        <color theme="1"/>
        <rFont val="Calibri"/>
        <family val="2"/>
        <scheme val="minor"/>
      </rPr>
      <t>un pourcentage est un nombre ou un rapport qui représente une fraction de 100</t>
    </r>
    <r>
      <rPr>
        <sz val="12"/>
        <color theme="1"/>
        <rFont val="Calibri"/>
        <family val="2"/>
        <scheme val="minor"/>
      </rPr>
      <t>. Elle est souvent désignée par le symbole « % » ou simplement par « pourcentage » ou « pct ». Par exemple, 35 % équivaut à la décimale 0,35, ou à la fraction 35/100.</t>
    </r>
  </si>
  <si>
    <t>  Le TH  s'exprime en pourcentage  ( ex:   TH de  60%  ou  0.6 ) </t>
  </si>
  <si>
    <r>
      <rPr>
        <b/>
        <sz val="12"/>
        <color theme="1"/>
        <rFont val="Calibri"/>
        <family val="2"/>
        <scheme val="minor"/>
      </rPr>
      <t>Un taux est une fraction.</t>
    </r>
    <r>
      <rPr>
        <sz val="12"/>
        <color theme="1"/>
        <rFont val="Calibri"/>
        <family val="2"/>
        <scheme val="minor"/>
      </rPr>
      <t xml:space="preserve"> : Un taux de 0,2 sera appelé "un pourcentage de 20%". En effet, un pour-cent est est mathématiquement un centième, donc 20% c'est 20 centièmes, soit 0,2.</t>
    </r>
  </si>
  <si>
    <t>Calculs en pourcentages</t>
  </si>
  <si>
    <t>Ces documents sont les fruits :</t>
  </si>
  <si>
    <t>de mon expérience et des utilitaires de la restauration collective</t>
  </si>
  <si>
    <t>de documents mis sur le net par des passionnés</t>
  </si>
  <si>
    <t>choisissez le tableau qui vous convient - copiez le et collez le sur votre feuille excel pour l'utiliser</t>
  </si>
  <si>
    <t>A chacun de faire évoluer ces documents et de les modifier pour son utilisation.......</t>
  </si>
  <si>
    <t xml:space="preserve">Ces tableaux et ces liens peuvent rendre service aux jeunes en formation des métiers de bouche et des professionnels </t>
  </si>
  <si>
    <t>Fabrication de la pâte à pain</t>
  </si>
  <si>
    <t xml:space="preserve">Pour une recette donnée, on peut, par exemple, chercher à obtenir une pâte à 23°C. </t>
  </si>
  <si>
    <t xml:space="preserve">Un exemple pour une température recherchée de pâte de 23°C, </t>
  </si>
  <si>
    <t>avec un chiffre de base de 58°C :</t>
  </si>
  <si>
    <t xml:space="preserve">S'il fait 18°C </t>
  </si>
  <si>
    <t xml:space="preserve">dans la pièce et que la farine est entreposée dans le même local, </t>
  </si>
  <si>
    <t>l'eau de coulage devra être à 22°C.</t>
  </si>
  <si>
    <t>Température de votre base</t>
  </si>
  <si>
    <t>Température Eau de coulage</t>
  </si>
  <si>
    <t>Formule exemple</t>
  </si>
  <si>
    <t>T.fournil + T. farine</t>
  </si>
  <si>
    <t xml:space="preserve">entre la température souhaitée et celle réellement obtenue, puisque les pétrins élèvent plus ou moins </t>
  </si>
  <si>
    <t>la température de la pâte. Pour modifier la base, on ajoute ou on retranche au chiffre de base 3 fois</t>
  </si>
  <si>
    <t xml:space="preserve"> la différence constatée en degrés. </t>
  </si>
  <si>
    <t xml:space="preserve">Exemple : Si la pâte fait 21° </t>
  </si>
  <si>
    <t>au lieu des 23°</t>
  </si>
  <si>
    <t xml:space="preserve"> recherchés, la différence est de 2°. </t>
  </si>
  <si>
    <t>Il faudra donc ajouter 6°</t>
  </si>
  <si>
    <t xml:space="preserve"> à la base théorique pour obtenir sa base personnelle.</t>
  </si>
  <si>
    <t xml:space="preserve"> 58 + 6 = 64. </t>
  </si>
  <si>
    <t>L'eau de coulage aurait dû être à 28°C.</t>
  </si>
  <si>
    <t>T. de la pâte recherchée</t>
  </si>
  <si>
    <t>Température de la base théorique</t>
  </si>
  <si>
    <t>Température de votre base personnelle</t>
  </si>
  <si>
    <t>Température Eau de coulage prévue</t>
  </si>
  <si>
    <t>Température Eau de coulage réelle</t>
  </si>
  <si>
    <t>Calculs de la température des Pâtes levées</t>
  </si>
  <si>
    <t>Pâte</t>
  </si>
  <si>
    <t>Pain de mie</t>
  </si>
  <si>
    <t>Pain de seigle</t>
  </si>
  <si>
    <t>Pain campagne</t>
  </si>
  <si>
    <t>Pâte à croissant</t>
  </si>
  <si>
    <t>Pâte à brioche</t>
  </si>
  <si>
    <t>T. de la Pâte</t>
  </si>
  <si>
    <t>26 à 28 °C</t>
  </si>
  <si>
    <t>25 °C</t>
  </si>
  <si>
    <t>23 à 25 °C</t>
  </si>
  <si>
    <t>25 à 27 °C</t>
  </si>
  <si>
    <t>26 à 26 °C</t>
  </si>
  <si>
    <t>T.du fournil</t>
  </si>
  <si>
    <t>Températures de base des pâtes levées</t>
  </si>
  <si>
    <t>18 à 20 °C</t>
  </si>
  <si>
    <t>21 à 23 °C</t>
  </si>
  <si>
    <t>24 à 26 °C</t>
  </si>
  <si>
    <t>27 à 29 °C</t>
  </si>
  <si>
    <t>30 à 32 °C</t>
  </si>
  <si>
    <t>saisissez ou collez une température de base</t>
  </si>
  <si>
    <t>saisissez vos températures</t>
  </si>
  <si>
    <t>Conduite de la fermentation</t>
  </si>
  <si>
    <t>la pâte fermente à une température d'environ 24 °C en fin de pétrissage</t>
  </si>
  <si>
    <t>Pour maitriser cette température il faut connaitre 3 valeurs</t>
  </si>
  <si>
    <t>1 - la température de base</t>
  </si>
  <si>
    <t>2 - la température du fournil</t>
  </si>
  <si>
    <t>3 - la température de la farine</t>
  </si>
  <si>
    <t>pour ajuster la température de l'eau de coulage à mettre dans le pétrin</t>
  </si>
  <si>
    <t>en respectant les temps de pétrissage la pâte devrait-être à 24°C environ</t>
  </si>
  <si>
    <t>La levure fait gonfler la pâte - influence l'arôme de la mie</t>
  </si>
  <si>
    <t>et joue un rôle important dans la coloration</t>
  </si>
  <si>
    <t>le gaz carbonique étire le gluten en donnant à la mie une structure légère</t>
  </si>
  <si>
    <t>Calculs de la quantité de levure</t>
  </si>
  <si>
    <t>la quantité de levure varie de 20 à 50 g au Kg de farine -</t>
  </si>
  <si>
    <t>votre poids de farine</t>
  </si>
  <si>
    <t>Poids de levure au Kg de farine</t>
  </si>
  <si>
    <t>poids de levure à utiliser</t>
  </si>
  <si>
    <t xml:space="preserve"> levure : 2 à 5 % du poids de la farine</t>
  </si>
  <si>
    <t>poids de farine</t>
  </si>
  <si>
    <t>% de levure</t>
  </si>
  <si>
    <t>poids de levure</t>
  </si>
  <si>
    <t>Auteur Sébastien Chainay Cours de pâtisserie gratuit</t>
  </si>
  <si>
    <t>http://technologiepatisserie.blogspot.com/p/la-levure-biologique.html</t>
  </si>
  <si>
    <t>https://www.facebook.com/CFCADPASTRYCAM/</t>
  </si>
  <si>
    <t>Méthode N° 1</t>
  </si>
  <si>
    <t>Méthode N° 2</t>
  </si>
  <si>
    <t>Méthode N° 3</t>
  </si>
  <si>
    <t>en Pourcentages et en Kg</t>
  </si>
  <si>
    <t>en Taux</t>
  </si>
  <si>
    <t>en Taux et en Grammes</t>
  </si>
  <si>
    <t>Poids total de la pâte ❶</t>
  </si>
  <si>
    <t>ptp &gt;</t>
  </si>
  <si>
    <t xml:space="preserve">❶ Poids total de la pâte </t>
  </si>
  <si>
    <t>Taux d’hydratation de la pâte ❷</t>
  </si>
  <si>
    <t>th &gt;</t>
  </si>
  <si>
    <t xml:space="preserve">❷ Pourcentage d’hydratation de la pâte </t>
  </si>
  <si>
    <t xml:space="preserve">❷ Taux d’hydratation de la pâte </t>
  </si>
  <si>
    <t>Taux levain / farine ❸</t>
  </si>
  <si>
    <t>tlf &gt;</t>
  </si>
  <si>
    <t xml:space="preserve">❸ Pourcentage levain / farine </t>
  </si>
  <si>
    <t xml:space="preserve">❸ Taux levain / farine </t>
  </si>
  <si>
    <t>ptf &gt;</t>
  </si>
  <si>
    <t>❹ Poids total de la farine</t>
  </si>
  <si>
    <t>❺ Poids total de la farine</t>
  </si>
  <si>
    <t>(❶ X 100)</t>
  </si>
  <si>
    <t>( ❹ X ❸ )</t>
  </si>
  <si>
    <t>(100 + ❷)</t>
  </si>
  <si>
    <t>( 100 + ❸ )</t>
  </si>
  <si>
    <t>(1 + ❷)</t>
  </si>
  <si>
    <t>( 1 + ❸ )</t>
  </si>
  <si>
    <t>pte &gt;</t>
  </si>
  <si>
    <t>❻ Poids total de l’eau</t>
  </si>
  <si>
    <t>❼ Poids total de l’eau</t>
  </si>
  <si>
    <t>( ❶ X ❷ )</t>
  </si>
  <si>
    <t>( ❺ X ❷ )</t>
  </si>
  <si>
    <t>❺ X ❷  =</t>
  </si>
  <si>
    <t>❺ X ❷ =</t>
  </si>
  <si>
    <t>(100 + ❷ )</t>
  </si>
  <si>
    <t>(1 + ❷ )</t>
  </si>
  <si>
    <t>pf &gt;</t>
  </si>
  <si>
    <t>❽ Poids de la farine ajoutée</t>
  </si>
  <si>
    <t>❹ moins ❺  =</t>
  </si>
  <si>
    <t>pe &gt;</t>
  </si>
  <si>
    <t>❾ Poids de l’eau ajoutée</t>
  </si>
  <si>
    <t>❻ moins ❼  =</t>
  </si>
  <si>
    <t>Poids de la pâte imposé - 3 méthodes Méthode N° 1 en Pourcentages et en Kg - Méthode N° 2  en Taux  -  Méthode N° 3  en Taux et en Grammes</t>
  </si>
  <si>
    <t>Nombre de contenants avec la fonction MODULO</t>
  </si>
  <si>
    <t>VERSION F</t>
  </si>
  <si>
    <t>colonnes fusionnées</t>
  </si>
  <si>
    <t>lignes fusionnées</t>
  </si>
  <si>
    <t>comment le copier : en cliquant sur la cellule</t>
  </si>
  <si>
    <t>clic droit : Copier….allez sur votre feuille excel puis clic droit Coller</t>
  </si>
  <si>
    <t xml:space="preserve"> en descendant et en vous déportant vers la droite vous sélectionnez le document</t>
  </si>
  <si>
    <t>les colonnes et les lignes ont été fusionnées pour cela</t>
  </si>
  <si>
    <t>ICI &gt; pourquoi ? quelle utilité &gt; en cliquant sur cette cellule en tête de tableau et en descendant un peu et en vous déportant sur la droite  cela sélectionne le tableau pour le copier et le coller dans un de vos documents</t>
  </si>
  <si>
    <t>Lancez vous…copiez…coupez….adaptez…....</t>
  </si>
  <si>
    <t>avec cette formule :</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</si>
  <si>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</si>
  <si>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</si>
  <si>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</si>
  <si>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</si>
  <si>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</si>
  <si>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</si>
  <si>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</si>
  <si>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</si>
  <si>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</si>
  <si>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</si>
  <si>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</si>
  <si>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</si>
  <si>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</si>
  <si>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</si>
  <si>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</si>
  <si>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</si>
  <si>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</si>
  <si>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</si>
  <si>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</si>
  <si>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</si>
  <si>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</si>
  <si>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</si>
  <si>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</si>
  <si>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</si>
  <si>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</si>
  <si>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</si>
  <si>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</si>
  <si>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</si>
  <si>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</si>
  <si>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</si>
  <si>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</si>
  <si>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</si>
  <si>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</si>
  <si>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</si>
  <si>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</si>
  <si>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</si>
  <si>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</si>
  <si>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</si>
  <si>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</si>
  <si>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</si>
  <si>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</si>
  <si>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</si>
  <si>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</si>
  <si>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</si>
  <si>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</si>
  <si>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</si>
  <si>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</si>
  <si>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</si>
  <si>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</si>
  <si>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</si>
  <si>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</si>
  <si>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</si>
  <si>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DESSERTS</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</si>
  <si>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</si>
  <si>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</si>
  <si>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</si>
  <si>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</si>
  <si>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</si>
  <si>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</si>
  <si>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</si>
  <si>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</si>
  <si>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</si>
  <si>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</si>
  <si>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</si>
  <si>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</si>
  <si>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</si>
  <si>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</si>
  <si>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</si>
  <si>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</si>
  <si>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</si>
  <si>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</si>
  <si>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</si>
  <si>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</si>
  <si>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</si>
  <si>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</si>
  <si>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</si>
  <si>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</si>
  <si>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</si>
  <si>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</si>
  <si>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</si>
  <si>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</si>
  <si>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</si>
  <si>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</si>
  <si>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</si>
  <si>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</si>
  <si>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</si>
  <si>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</si>
  <si>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</si>
  <si>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</si>
  <si>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</si>
  <si>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</si>
  <si>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</si>
  <si>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</si>
  <si>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</si>
  <si>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</si>
  <si>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</si>
  <si>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</si>
  <si>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</si>
  <si>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</si>
  <si>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</si>
  <si>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</si>
  <si>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</si>
  <si>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</si>
  <si>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</si>
  <si>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</si>
  <si>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</si>
  <si>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</si>
  <si>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</si>
  <si>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</si>
  <si>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</si>
  <si>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</si>
  <si>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</si>
  <si>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</si>
  <si>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</si>
  <si>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</si>
  <si>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</si>
  <si>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</si>
  <si>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</si>
  <si>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</si>
  <si>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</si>
  <si>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</si>
  <si>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</si>
  <si>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</si>
  <si>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</si>
  <si>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</si>
  <si>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</si>
  <si>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</si>
  <si>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</si>
  <si>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</si>
  <si>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</si>
  <si>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</si>
  <si>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</si>
  <si>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</si>
  <si>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</si>
  <si>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</si>
  <si>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</si>
  <si>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</si>
  <si>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</si>
  <si>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</si>
  <si>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</si>
  <si>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</si>
  <si>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</si>
  <si>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</si>
  <si>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</si>
  <si>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</si>
  <si>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</si>
  <si>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</si>
  <si>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</si>
  <si>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</si>
  <si>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</si>
  <si>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</si>
  <si>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</si>
  <si>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</si>
  <si>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</si>
  <si>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</si>
  <si>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</si>
  <si>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</si>
  <si>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</si>
  <si>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</si>
  <si>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</si>
  <si>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</si>
  <si>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</si>
  <si>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</si>
  <si>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</si>
  <si>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</si>
  <si>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</si>
  <si>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</si>
  <si>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</si>
  <si>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</si>
  <si>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</si>
  <si>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</si>
  <si>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VOCABULAIRE PROFESSIONNEL    un verbe…une action</t>
  </si>
  <si>
    <t xml:space="preserve">VOCABULAIRE PROFESSIONNEL " CUISINE DE COMPOSITION" </t>
  </si>
  <si>
    <t>VOCABULAIRE PROFESSIONNEL "La CUISINE DE REFERENCE" Michel MAINCENT</t>
  </si>
  <si>
    <t>E</t>
  </si>
  <si>
    <t>H</t>
  </si>
  <si>
    <t>Abaisser la temp. à coeur</t>
  </si>
  <si>
    <t>Egrener</t>
  </si>
  <si>
    <t>Parfumer</t>
  </si>
  <si>
    <t>Respecter le délai de 2 H</t>
  </si>
  <si>
    <t>Abaisser</t>
  </si>
  <si>
    <t>Dépouiller</t>
  </si>
  <si>
    <t>Habiller</t>
  </si>
  <si>
    <t>Réduire</t>
  </si>
  <si>
    <t>Dauber</t>
  </si>
  <si>
    <t>Façonner</t>
  </si>
  <si>
    <t>Macérer</t>
  </si>
  <si>
    <t>Rabattre</t>
  </si>
  <si>
    <t>Tabler</t>
  </si>
  <si>
    <t>Accompagner</t>
  </si>
  <si>
    <t>Eliminer</t>
  </si>
  <si>
    <t>Parsemer</t>
  </si>
  <si>
    <t>Retirer</t>
  </si>
  <si>
    <t>Abricoter</t>
  </si>
  <si>
    <t>Dérober</t>
  </si>
  <si>
    <t>Hacher</t>
  </si>
  <si>
    <t>Relever</t>
  </si>
  <si>
    <t>Décanter</t>
  </si>
  <si>
    <t>Faire bouillir</t>
  </si>
  <si>
    <t>Maintenir en temp. sup à 63°</t>
  </si>
  <si>
    <t>Raccourcir</t>
  </si>
  <si>
    <t>Tailler</t>
  </si>
  <si>
    <t>Additionner</t>
  </si>
  <si>
    <t>Enfourner</t>
  </si>
  <si>
    <t>Peler</t>
  </si>
  <si>
    <t>Retourner</t>
  </si>
  <si>
    <t>Arroser</t>
  </si>
  <si>
    <t>Désosser</t>
  </si>
  <si>
    <t>Historier</t>
  </si>
  <si>
    <t>Remonter</t>
  </si>
  <si>
    <t>Décercler</t>
  </si>
  <si>
    <t>Farcir</t>
  </si>
  <si>
    <t>Manchonner</t>
  </si>
  <si>
    <t>Rafraîchir</t>
  </si>
  <si>
    <t>Tamiser</t>
  </si>
  <si>
    <t>Adjoindre</t>
  </si>
  <si>
    <t>Porter à ébullition</t>
  </si>
  <si>
    <t>Rincer</t>
  </si>
  <si>
    <t>Assaisonner</t>
  </si>
  <si>
    <t>Dessécher</t>
  </si>
  <si>
    <t>Revenir</t>
  </si>
  <si>
    <t>Décorer</t>
  </si>
  <si>
    <t>Farder</t>
  </si>
  <si>
    <t>Manier</t>
  </si>
  <si>
    <t>Raidir</t>
  </si>
  <si>
    <t>Tamponner</t>
  </si>
  <si>
    <t>Agir rapidement</t>
  </si>
  <si>
    <t>Etaler</t>
  </si>
  <si>
    <t>Préchauffer</t>
  </si>
  <si>
    <t>Détendre</t>
  </si>
  <si>
    <t>Inciser</t>
  </si>
  <si>
    <t>Rissoler</t>
  </si>
  <si>
    <t>Décortiquer</t>
  </si>
  <si>
    <t>Fariner</t>
  </si>
  <si>
    <t>Manipuler</t>
  </si>
  <si>
    <t>Rassir</t>
  </si>
  <si>
    <t>Tapisser</t>
  </si>
  <si>
    <t>Prélever</t>
  </si>
  <si>
    <t>Saupoudrer</t>
  </si>
  <si>
    <t>Barder</t>
  </si>
  <si>
    <t>Dorer</t>
  </si>
  <si>
    <t>Rompre</t>
  </si>
  <si>
    <t>Décuire</t>
  </si>
  <si>
    <t>Festonner</t>
  </si>
  <si>
    <t>Marbrer</t>
  </si>
  <si>
    <t>Rayer</t>
  </si>
  <si>
    <t>Terminer</t>
  </si>
  <si>
    <t>Aplatir</t>
  </si>
  <si>
    <t>Préparer</t>
  </si>
  <si>
    <t>Servir</t>
  </si>
  <si>
    <t>Beurrer</t>
  </si>
  <si>
    <t>Dresser</t>
  </si>
  <si>
    <t>Lier</t>
  </si>
  <si>
    <t>Rôtir</t>
  </si>
  <si>
    <t>Déffilandrer</t>
  </si>
  <si>
    <t>Fileter</t>
  </si>
  <si>
    <t>Mariner</t>
  </si>
  <si>
    <t>Réaliser</t>
  </si>
  <si>
    <t>Tomber</t>
  </si>
  <si>
    <t>G</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</si>
  <si>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</si>
  <si>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</si>
  <si>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</si>
  <si>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</si>
  <si>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</si>
  <si>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</si>
  <si>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</si>
  <si>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</si>
  <si>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</si>
  <si>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</si>
  <si>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</si>
  <si>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</si>
  <si>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</si>
  <si>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</si>
  <si>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</si>
  <si>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</si>
  <si>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</si>
  <si>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</si>
  <si>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</si>
  <si>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</si>
  <si>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</si>
  <si>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</si>
  <si>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</si>
  <si>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</si>
  <si>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</si>
  <si>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</si>
  <si>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</si>
  <si>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</si>
  <si>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</si>
  <si>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</si>
  <si>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</si>
  <si>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</si>
  <si>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</si>
  <si>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</si>
  <si>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</si>
  <si>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</si>
  <si>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</si>
  <si>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</si>
  <si>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</si>
  <si>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</si>
  <si>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</si>
  <si>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</si>
  <si>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</si>
  <si>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</si>
  <si>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</si>
  <si>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</si>
  <si>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</si>
  <si>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</si>
  <si>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</si>
  <si>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</si>
  <si>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</si>
  <si>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</si>
  <si>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</si>
  <si>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</si>
  <si>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</si>
  <si>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</si>
  <si>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</si>
  <si>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</si>
  <si>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</si>
  <si>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</si>
  <si>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</si>
  <si>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</si>
  <si>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</si>
  <si>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</si>
  <si>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</si>
  <si>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</si>
  <si>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</si>
  <si>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</si>
  <si>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</si>
  <si>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</si>
  <si>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</si>
  <si>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</si>
  <si>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</si>
  <si>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</si>
  <si>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</si>
  <si>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</si>
  <si>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</si>
  <si>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</si>
  <si>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</si>
  <si>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</si>
  <si>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</si>
  <si>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Effiler</t>
  </si>
  <si>
    <t>Dénoyauter</t>
  </si>
  <si>
    <t>Fouler</t>
  </si>
  <si>
    <t>Mixer</t>
  </si>
  <si>
    <t>Disperser</t>
  </si>
  <si>
    <t>Remplacer</t>
  </si>
  <si>
    <t>Chaufroiter</t>
  </si>
  <si>
    <t>Egermer</t>
  </si>
  <si>
    <t>Denteler</t>
  </si>
  <si>
    <t>Fourrer</t>
  </si>
  <si>
    <t>Modeler</t>
  </si>
  <si>
    <t>Disposer</t>
  </si>
  <si>
    <t>Remuer</t>
  </si>
  <si>
    <t>Chemiser</t>
  </si>
  <si>
    <t>Egoutter</t>
  </si>
  <si>
    <t>Fraiser</t>
  </si>
  <si>
    <t>Moiner</t>
  </si>
  <si>
    <t>Upériser</t>
  </si>
  <si>
    <t>Répartir</t>
  </si>
  <si>
    <t>Chiqueter</t>
  </si>
  <si>
    <t>Egrapper</t>
  </si>
  <si>
    <t>Frapper</t>
  </si>
  <si>
    <t>Monder</t>
  </si>
  <si>
    <t>Repasser</t>
  </si>
  <si>
    <t>Ciseler</t>
  </si>
  <si>
    <t>Fraser</t>
  </si>
  <si>
    <t>Monter</t>
  </si>
  <si>
    <t>Citronner</t>
  </si>
  <si>
    <t>Emincer</t>
  </si>
  <si>
    <t>Frémir</t>
  </si>
  <si>
    <t>Mortifier</t>
  </si>
  <si>
    <t>Clarifier</t>
  </si>
  <si>
    <t>Enrober</t>
  </si>
  <si>
    <t>Détailler</t>
  </si>
  <si>
    <t>Frire</t>
  </si>
  <si>
    <t>Mouiller</t>
  </si>
  <si>
    <t>Réserver</t>
  </si>
  <si>
    <t>Vanner</t>
  </si>
  <si>
    <t>Coller</t>
  </si>
  <si>
    <t>Eplucher</t>
  </si>
  <si>
    <t>Broyer</t>
  </si>
  <si>
    <t>Mousser</t>
  </si>
  <si>
    <t>Compoter</t>
  </si>
  <si>
    <t>Escaloper</t>
  </si>
  <si>
    <t>Brûler</t>
  </si>
  <si>
    <t>Détremper</t>
  </si>
  <si>
    <t>Concasser</t>
  </si>
  <si>
    <t>Etuver</t>
  </si>
  <si>
    <t>Nacrer</t>
  </si>
  <si>
    <t>Retomber</t>
  </si>
  <si>
    <t>Videler</t>
  </si>
  <si>
    <t>Confire</t>
  </si>
  <si>
    <t>Evider</t>
  </si>
  <si>
    <t>Napper</t>
  </si>
  <si>
    <t>Gerber</t>
  </si>
  <si>
    <t>Voiler</t>
  </si>
  <si>
    <t>Contiser</t>
  </si>
  <si>
    <t>Exprimer</t>
  </si>
  <si>
    <t>Glacer</t>
  </si>
  <si>
    <t>Corner</t>
  </si>
  <si>
    <t>Doubler</t>
  </si>
  <si>
    <t>Gommer</t>
  </si>
  <si>
    <t>Corser</t>
  </si>
  <si>
    <t>Paner</t>
  </si>
  <si>
    <t>Cerner</t>
  </si>
  <si>
    <t>Graisser</t>
  </si>
  <si>
    <t>Panacher</t>
  </si>
  <si>
    <t>Rioler</t>
  </si>
  <si>
    <t>Zester</t>
  </si>
  <si>
    <t>Coucher</t>
  </si>
  <si>
    <t>Papilloter</t>
  </si>
  <si>
    <t>Gratiner</t>
  </si>
  <si>
    <t>Passer</t>
  </si>
  <si>
    <t>Griller</t>
  </si>
  <si>
    <t>Crémer</t>
  </si>
  <si>
    <t>Persiller</t>
  </si>
  <si>
    <t>Parer</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</si>
  <si>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</si>
  <si>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</si>
  <si>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</si>
  <si>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</si>
  <si>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</si>
  <si>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</si>
  <si>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</si>
  <si>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</si>
  <si>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</si>
  <si>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</si>
  <si>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</si>
  <si>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</si>
  <si>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</si>
  <si>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</si>
  <si>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</si>
  <si>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</si>
  <si>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</si>
  <si>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</si>
  <si>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</si>
  <si>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</si>
  <si>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</si>
  <si>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</si>
  <si>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</si>
  <si>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</si>
  <si>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</si>
  <si>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</si>
  <si>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</si>
  <si>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</si>
  <si>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</si>
  <si>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</si>
  <si>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</si>
  <si>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</si>
  <si>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</si>
  <si>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</si>
  <si>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</si>
  <si>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</si>
  <si>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</si>
  <si>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</si>
  <si>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</si>
  <si>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</si>
  <si>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</si>
  <si>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</si>
  <si>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un lien rompu ou devenu obsolète…..pas de panique…Google saura vous retrouver un document équivalent</t>
  </si>
  <si>
    <t>!</t>
  </si>
  <si>
    <t>Quelques polices de caractères utilisées</t>
  </si>
  <si>
    <t>Quelques formats utilisés</t>
  </si>
  <si>
    <t>Arial</t>
  </si>
  <si>
    <t>Rockwell</t>
  </si>
  <si>
    <t>15.5 &gt;</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</si>
  <si>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</si>
  <si>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</si>
  <si>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</si>
  <si>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</si>
  <si>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</si>
  <si>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</si>
  <si>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</si>
  <si>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</si>
  <si>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</si>
  <si>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</si>
  <si>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</si>
  <si>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</si>
  <si>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</si>
  <si>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</si>
  <si>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</si>
  <si>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</si>
  <si>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</si>
  <si>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t>
  </si>
  <si>
    <t>#</t>
  </si>
  <si>
    <t>$</t>
  </si>
  <si>
    <t>%</t>
  </si>
  <si>
    <t>‰</t>
  </si>
  <si>
    <t>≈</t>
  </si>
  <si>
    <t>±</t>
  </si>
  <si>
    <t>»</t>
  </si>
  <si>
    <t>¼</t>
  </si>
  <si>
    <t>½</t>
  </si>
  <si>
    <t>¾</t>
  </si>
  <si>
    <t>ø</t>
  </si>
  <si>
    <t>►</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</si>
  <si>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</si>
  <si>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</si>
  <si>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</si>
  <si>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</si>
  <si>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t>Quelques sites Excel pour vous aider à créer vos documents</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</si>
  <si>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</si>
  <si>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</si>
  <si>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</si>
  <si>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</si>
  <si>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</si>
  <si>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</si>
  <si>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</si>
  <si>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</si>
  <si>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</si>
  <si>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</si>
  <si>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</si>
  <si>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</si>
  <si>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</si>
  <si>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</si>
  <si>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</si>
  <si>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</si>
  <si>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</si>
  <si>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Trouver les liens externes d’un classeur</t>
  </si>
  <si>
    <t>DIFFÉRENCE ENTRE SERVICE A LA PORTION ET SERVICE AU POIDS</t>
  </si>
  <si>
    <t>NOM DE LA RECETTE</t>
  </si>
  <si>
    <t>SERVICE A LA PORTION</t>
  </si>
  <si>
    <t>fiche de fabrication SERVICE A LA PORTION</t>
  </si>
  <si>
    <t>Simplissime :</t>
  </si>
  <si>
    <t>?</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</si>
  <si>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</si>
  <si>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</si>
  <si>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</si>
  <si>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</si>
  <si>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</si>
  <si>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</si>
  <si>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</si>
  <si>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</si>
  <si>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Denrées</t>
  </si>
  <si>
    <t>Quantité</t>
  </si>
  <si>
    <t>Parce que :</t>
  </si>
  <si>
    <t>Quantités</t>
  </si>
  <si>
    <t>2 - saisir les quantités de la recette  dans cette colonne</t>
  </si>
  <si>
    <t xml:space="preserve"> l'Auteur à pensé sa recette pour </t>
  </si>
  <si>
    <t>Agneau</t>
  </si>
  <si>
    <t xml:space="preserve">Vous voulez la dupliquer pour </t>
  </si>
  <si>
    <t xml:space="preserve"> ¼ de botte de fines herbes -  allez expliquer cela à Excel (0.25)</t>
  </si>
  <si>
    <t>C à C</t>
  </si>
  <si>
    <t>curry</t>
  </si>
  <si>
    <t>Formule :</t>
  </si>
  <si>
    <t>PM</t>
  </si>
  <si>
    <t xml:space="preserve">Quantité de chaque produit  </t>
  </si>
  <si>
    <t>X par le nombre de portions que vous voulez dupliquer</t>
  </si>
  <si>
    <t>g</t>
  </si>
  <si>
    <t>C a C</t>
  </si>
  <si>
    <t>cuillère a café</t>
  </si>
  <si>
    <t>C à S</t>
  </si>
  <si>
    <t>cuillère a soupe</t>
  </si>
  <si>
    <t>Nombre de portions de l'Auteur</t>
  </si>
  <si>
    <t>pièces</t>
  </si>
  <si>
    <t>olives</t>
  </si>
  <si>
    <t>Astuce :</t>
  </si>
  <si>
    <t>si vous estimez que les portions sont trop importantes pour vos convives :</t>
  </si>
  <si>
    <t xml:space="preserve">Dupliquée pour : </t>
  </si>
  <si>
    <t>à vous de saisir la quantité à fabriquer en fonction de votre utilisation</t>
  </si>
  <si>
    <t>poignée</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</si>
  <si>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</si>
  <si>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</si>
  <si>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</si>
  <si>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</si>
  <si>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</si>
  <si>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</si>
  <si>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</si>
  <si>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</si>
  <si>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</si>
  <si>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</si>
  <si>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</si>
  <si>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</si>
  <si>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</si>
  <si>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</si>
  <si>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</si>
  <si>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</si>
  <si>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</si>
  <si>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</si>
  <si>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de fèves</t>
  </si>
  <si>
    <t>haricots coco</t>
  </si>
  <si>
    <t>si dans votre recette vous n'avez saisi que des poids alors saisissez le total</t>
  </si>
  <si>
    <t>Poids dupliqué</t>
  </si>
  <si>
    <t>de la cellule</t>
  </si>
  <si>
    <t>CONTENU DU CLASSEUR</t>
  </si>
  <si>
    <t>AIDES PATISSERIE</t>
  </si>
  <si>
    <t>Formats formules - Cuisiniers : PESEZ</t>
  </si>
  <si>
    <t>Codes couleurs : Palette de couleurs, Excel</t>
  </si>
  <si>
    <t>SERVICE A LA PORTION Explication</t>
  </si>
  <si>
    <t>SERVICE AU POIDS Explication</t>
  </si>
  <si>
    <t>u    Police Wingdings 3</t>
  </si>
  <si>
    <t>EPURER UN TEXTE</t>
  </si>
  <si>
    <t>le seul collage autorisé :</t>
  </si>
  <si>
    <t>Collage spécial Valeurs 123</t>
  </si>
  <si>
    <t>Madame…Monsieur..Bonjour</t>
  </si>
  <si>
    <t>Vous récupérez parfois du texte sur le net pour vos fiches recettes ( des quantités ou un mode opératoire)</t>
  </si>
  <si>
    <t>Ce texte est souvent formaté avec des espaces        des points….  des tirets _  que vous voulez supprimer</t>
  </si>
  <si>
    <t xml:space="preserve">Souvent ce texte est trop long pour vos fiches, il faut donc le couper </t>
  </si>
  <si>
    <t>Ce n'est pas compliqué : utilisez la feuille EPURER UN TEXTE</t>
  </si>
  <si>
    <t>1 - Collez votre texte dans la colonne K du tableau</t>
  </si>
  <si>
    <t>2 - Saisissez ce que vous voulez supprimer dans les cellules E9  F9  G9  (pour toutes les lignes)  vous n'êtes pas obligés de saisir les 3 cellules</t>
  </si>
  <si>
    <t>3 - En complément que souhaitez vous supprimer ligne par ligne colonne C</t>
  </si>
  <si>
    <t>4 - En option si vous le souhaitez, saisissez du texte - une valeur de remplacement ou rien colonne D</t>
  </si>
  <si>
    <t>5 - Récupérez votre texte "nettoyé" colonne B</t>
  </si>
  <si>
    <t>6 - Collez ce texte dans votre document . Collage Spécial 123 Valeurs . Sinon vous coller les formules</t>
  </si>
  <si>
    <t>Une astuce  pour adapter le nombre de caractères à la dimension de votre tableau</t>
  </si>
  <si>
    <t xml:space="preserve">Autre astuce : collez votre texte dans word </t>
  </si>
  <si>
    <t>collez le texte dans votre tableau (collage spécial Valeurs)</t>
  </si>
  <si>
    <t>Cliquer sur Mise en page colonnes et en bas de la liste</t>
  </si>
  <si>
    <t xml:space="preserve">dans la barre de formule coupez le texte qui dépasse votre tableau </t>
  </si>
  <si>
    <t>et collez ce texte dans la ligne suivante</t>
  </si>
  <si>
    <t>et ainsi de suite</t>
  </si>
  <si>
    <t>Copiez une colonne et coller Valeurs dans votre feuille Excel</t>
  </si>
  <si>
    <t>https://www.youtube.com/watch?v=ImOnZNKHBNU&amp;ab_channel=Tutech</t>
  </si>
  <si>
    <t>7 ZIP pour Zipper vos documents</t>
  </si>
  <si>
    <t>Spécifications et limites relatives à Excel</t>
  </si>
  <si>
    <t>https://support.office.com/fr-fr/article/Sp%C3%A9cifications-et-limites-relatives-%C3%A0-Excel-1672b34d-7043-467e-8e27-269d656771c3#ID0EBABAAA=Excel%C2%A02016-2013</t>
  </si>
  <si>
    <t>Afficher les relations entre formules et cellules</t>
  </si>
  <si>
    <t>https://support.office.com/fr-fr/article/Afficher-les-relations-entre-formules-et-cellules-a59bef2b-3701-46bf-8ff1-d3518771d507</t>
  </si>
  <si>
    <t>Auditer-et-espionner-des-formules-sous-excel</t>
  </si>
  <si>
    <t>http://lecompagnon.info/excel/analyse.htm</t>
  </si>
  <si>
    <t>Joël LEBOUCHER …Octobre 2020</t>
  </si>
  <si>
    <t>L'UPRT : la diffusion des savoirs - le partage des savoir-faire</t>
  </si>
  <si>
    <t xml:space="preserve">             TABLEAU POUR ÉPURER UN TEXTE BRUT RÉCUPÉRÉ SUR LE NET                                                                                                                                                    TABLEAU POUR ÉPURER UN TEXTE BRUT RÉCUPÉRÉ SUR LE NET                             </t>
  </si>
  <si>
    <t>3 - Récupérez votre texte dans cette colonne</t>
  </si>
  <si>
    <t>2 - Que voulez vous supprimer dans le texte</t>
  </si>
  <si>
    <t xml:space="preserve">Astuce : copiez dans la ligne de texte brut l'élément à supprimer pour le coller dans une des cellules 1-2 ou 3 parce qu'il arrive parfois </t>
  </si>
  <si>
    <t>1 - Collez le texte brut dans cette colonne</t>
  </si>
  <si>
    <t>que cela ne soit pas reconnu si vous le saisissez vous-même</t>
  </si>
  <si>
    <t>pour le coller dans une feuille choisir Collage Spécial 123 Valeurs sinon vous coller les formules</t>
  </si>
  <si>
    <t>—</t>
  </si>
  <si>
    <t>...</t>
  </si>
  <si>
    <t>/</t>
  </si>
  <si>
    <t>Fonction 1ère lettre Majuscule</t>
  </si>
  <si>
    <t>Remplacement ligne par ligne</t>
  </si>
  <si>
    <t>Fonction SUBSTITUE 1</t>
  </si>
  <si>
    <t>Fonction SUBSTITUE 2</t>
  </si>
  <si>
    <t>Fonction SUBSTITUE 3</t>
  </si>
  <si>
    <t>Fonction SUPPRESPACE</t>
  </si>
  <si>
    <t>Coller votre texte brut ICI  COLLAGE SPÉCIAL VALEURS</t>
  </si>
  <si>
    <t>Nombre de caractères et d'espaces dans le texte modifié colonne B</t>
  </si>
  <si>
    <t>Combien de caractères souhaitez vous dans une cellule.Maxi 255</t>
  </si>
  <si>
    <r>
      <t xml:space="preserve">Suggestion : au dela de 255 caractères Excel tronque la cellule </t>
    </r>
    <r>
      <rPr>
        <i/>
        <sz val="22"/>
        <rFont val="Calibri"/>
        <family val="2"/>
        <scheme val="minor"/>
      </rPr>
      <t>(Coupe en retranchant une partie importante)</t>
    </r>
  </si>
  <si>
    <t>Que souhaitez vous supprimer ligne par ligne</t>
  </si>
  <si>
    <t xml:space="preserve">à Remplacer par </t>
  </si>
  <si>
    <t>Copiez votre texte nettoyé ICI pour Collage spécial Valeurs dans votre document</t>
  </si>
  <si>
    <t>"Nettoyage" dans ces colonnes</t>
  </si>
  <si>
    <t>↓       ↓       ↓      ↓       ↓</t>
  </si>
  <si>
    <t>Total caractères colonne J</t>
  </si>
  <si>
    <t>dans la colonne B vous avez</t>
  </si>
  <si>
    <t>300g</t>
  </si>
  <si>
    <t>100 Gr</t>
  </si>
  <si>
    <t>exemple / — équeuter, laver,      cuire 300g de haricots   ...  à l'anglaise les égoutter</t>
  </si>
  <si>
    <t>quatre</t>
  </si>
  <si>
    <t>2 et en six</t>
  </si>
  <si>
    <t>... laver, parer les aubergines,    les couper en quatre dans la longueur /</t>
  </si>
  <si>
    <t>haricots</t>
  </si>
  <si>
    <t>fèves</t>
  </si>
  <si>
    <t xml:space="preserve">      cuire les haricots   ...  à l'anglaise les égoutter EXEMPLE / — équeuter, laver,      cuire les haricots   ...  à l'anglaise les égoutter EXEMPLE / — équeuter, laver,                    cuire les haricots   ...  à l'anglaise les égoutterEXEMPLE / — équeuter, laver,      cuire les haricots   ...  à l'anglaise les égoutter</t>
  </si>
  <si>
    <t>1. litre de</t>
  </si>
  <si>
    <t>1. litre de lait</t>
  </si>
  <si>
    <t>0.500 kg de</t>
  </si>
  <si>
    <t>0.500 kg de pain sec (avec le moins de croute colorée possible)</t>
  </si>
  <si>
    <t>2 œufs</t>
  </si>
  <si>
    <t xml:space="preserve">100 g </t>
  </si>
  <si>
    <t>100 g Noisette en poudre</t>
  </si>
  <si>
    <t>et demi</t>
  </si>
  <si>
    <t>1  banane et demi</t>
  </si>
  <si>
    <t xml:space="preserve">choisissez le nombre de colonne qui vous scindera le texte au nombre </t>
  </si>
  <si>
    <t>de caractères pour votre tableau</t>
  </si>
  <si>
    <t>Epurer un texte utilitaire</t>
  </si>
  <si>
    <t>Quand et comment utiliser la règle de trois ?</t>
  </si>
  <si>
    <t>Le menu de la cantine : les arbres de probabilités</t>
  </si>
  <si>
    <t>La notion de fraction</t>
  </si>
  <si>
    <t>Les fractions : égalité, comparaison et opérations</t>
  </si>
  <si>
    <t>L'information chiffrée</t>
  </si>
  <si>
    <t>Les cours Lumni - Lycée</t>
  </si>
  <si>
    <t>Marchés et prix</t>
  </si>
  <si>
    <t>Volumes et contenances </t>
  </si>
  <si>
    <t>Calculs de durées</t>
  </si>
  <si>
    <t>L'organisation et la représentation de données</t>
  </si>
  <si>
    <t>matoumatheux.Niveau 6e</t>
  </si>
  <si>
    <t>LE MATOU MATHEUX ACCUEIL.mschpff.eu</t>
  </si>
  <si>
    <t>Résoudre des situations simples de proportionnalité</t>
  </si>
  <si>
    <t>Calculer le périmètre d'un rectangle, d'un carré et d'un cercle</t>
  </si>
  <si>
    <t>Les fractions simples</t>
  </si>
  <si>
    <t>Petits problèmes de proportionnalité</t>
  </si>
  <si>
    <t>Mesurer et convertir des durées</t>
  </si>
  <si>
    <t>LES FONDAMENTAUX films d'animation</t>
  </si>
  <si>
    <t>Pâtisserie  210 vidéos dans cette partie</t>
  </si>
  <si>
    <t>Cuisine 483 vidéos dans cette partie</t>
  </si>
  <si>
    <t>https://chefsimon.com/</t>
  </si>
  <si>
    <t>Le Cochon et le Bœuf</t>
  </si>
  <si>
    <t>55 Vidéos ICI</t>
  </si>
  <si>
    <t>plus quelques unes ICI</t>
  </si>
  <si>
    <t>Utilitaire pour "nettoyer" du texte</t>
  </si>
  <si>
    <t>Et voila…c'est pas compliqué…...Transmettez  "vos savoir faire"  peu importe qui les récupère;</t>
  </si>
  <si>
    <t>pourvu qu'un plus grand nombre puisse en bénéficier.</t>
  </si>
  <si>
    <t>⓪①②③④⑤⑥⑦⑧⑨⑩⑪⑫⑬⑭⑮⑯⑰⑱⑲⑳</t>
  </si>
  <si>
    <t>couleur de police blanc sur fond gris à modifier pour vos documents</t>
  </si>
  <si>
    <t>⓿❶❷❸❹❺❻❼❽❾❿⓫⓬⓭⓮⓯⓰⓱⓲⓳⓴</t>
  </si>
  <si>
    <t>Lignes</t>
  </si>
  <si>
    <t>Inverser la position du nom et du prénom</t>
  </si>
  <si>
    <t>il ne doit y avoir qu'un espace dans la chaine de caractères pour que cela fonctionne</t>
  </si>
  <si>
    <t xml:space="preserve">legendre paul </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</si>
  <si>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</si>
  <si>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</si>
  <si>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</si>
  <si>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autre solution</t>
  </si>
  <si>
    <t>1;5=mardi</t>
  </si>
  <si>
    <t>1;6=lundi</t>
  </si>
  <si>
    <t>1;7=dimanche</t>
  </si>
  <si>
    <t>1;1=samedi</t>
  </si>
  <si>
    <t>1;2= vendredi</t>
  </si>
  <si>
    <t>1;3=jeudi</t>
  </si>
  <si>
    <t>1;4=mercredi</t>
  </si>
  <si>
    <t>remplacer 1 par 0 pour avoir un ordre croissant</t>
  </si>
  <si>
    <t>Je remercie chaleureusement les internautes passionnés qui élaborent et proposent des formules et fonctions imbriquées</t>
  </si>
  <si>
    <t>Forum Bureautique</t>
  </si>
  <si>
    <t>Alternatives à Microsoft Excel : 5 programmes gratuits et convaincants</t>
  </si>
  <si>
    <t>Excel SI-ALORS: comment fonctionne la formule SI ?</t>
  </si>
  <si>
    <t>Les 20 meilleurs Tricks Mathématiques</t>
  </si>
  <si>
    <t>Fonction INDIRECT - Exemples d'application</t>
  </si>
  <si>
    <t>Transmettez votre savoir et votre savoir faire  peu importe qui le récupère; pourvu qu'un plus grand nombre puisse en bénéficier.</t>
  </si>
  <si>
    <t>Joël LEBOUCHER …Octobre 2015</t>
  </si>
  <si>
    <t xml:space="preserve"> &gt;</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</si>
  <si>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</si>
  <si>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</si>
  <si>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</si>
  <si>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</si>
  <si>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</si>
  <si>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</si>
  <si>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 xml:space="preserve">ICI </t>
  </si>
  <si>
    <t>UPRT : Union des Personnels de la Restauration Territoriale</t>
  </si>
  <si>
    <t>Les guillemets permettent de dire à Excel que ce que vous soumettez est un texte</t>
  </si>
  <si>
    <t>Ainsi =Pierre n'est pas une formule valide alors que ="Pierre" est valide et résultera en Pierre</t>
  </si>
  <si>
    <t xml:space="preserve">l'éperluette (&amp;)     La formule ="Pierre" &amp; "Leclerc" résultera en PierreLeclerc. </t>
  </si>
  <si>
    <t>SI vous voulez ajouter un espace entre le prénom et le nom, la formule devient ="Pierre" &amp; " " &amp; "Leclerc"</t>
  </si>
  <si>
    <t xml:space="preserve"> Si le prénom Pierre réside dans la cellule A1 et le nom Leclerc est dans la cellule B1</t>
  </si>
  <si>
    <t xml:space="preserve"> la formule suivante dans la cellule C1 résultera en Pierre Leclerc : =A1 &amp; " " &amp; B1.</t>
  </si>
  <si>
    <t>Comme avec les signes mathématiques vous pouvez utiliser des valeurs et des adresses comme dans la formule suivante</t>
  </si>
  <si>
    <t xml:space="preserve">=A1 &amp; " " &amp; "Leclerc". </t>
  </si>
  <si>
    <t xml:space="preserve">La formule =SI(A1&gt;=95;"A+";"") signifie que si la valeur de la cellule A1 est supérieure ou égale à 95 </t>
  </si>
  <si>
    <t>le résultat est A+ sinon la cellule doit être vide (deux guillemets).</t>
  </si>
  <si>
    <t>SAUCE FROIDE</t>
  </si>
  <si>
    <t>FAMILLE DE PRÉPARATIONS</t>
  </si>
  <si>
    <t>N°</t>
  </si>
  <si>
    <t>Emplacement pour votre Logo</t>
  </si>
  <si>
    <t xml:space="preserve">Créé le 23/03/2008  </t>
  </si>
  <si>
    <t>Dernière mise à jour :</t>
  </si>
  <si>
    <t xml:space="preserve"> 16 Octobre 2019   Annule et remplace les versions précédentes</t>
  </si>
  <si>
    <t>FICHE DE FABRICATION - modèle FF.1.A</t>
  </si>
  <si>
    <t>FF = Fiche de Fabrication</t>
  </si>
  <si>
    <t>PROCESS  &gt; principales étapes  &gt;  un verbe = une action</t>
  </si>
  <si>
    <t>SAISIE DES DONNÉES - Masquez ces colonnes</t>
  </si>
  <si>
    <t>Recette</t>
  </si>
  <si>
    <t>NOM DU PLAT</t>
  </si>
  <si>
    <t>Elément principal</t>
  </si>
  <si>
    <t>à définir</t>
  </si>
  <si>
    <t>Temps de préparation</t>
  </si>
  <si>
    <t>Temps de cuisson</t>
  </si>
  <si>
    <t>MASQUEZ CES COLONNES</t>
  </si>
  <si>
    <t>Auteurs</t>
  </si>
  <si>
    <t>Vous…....</t>
  </si>
  <si>
    <t xml:space="preserve">l'Auteur a prévu la recette pour </t>
  </si>
  <si>
    <t xml:space="preserve">Poids </t>
  </si>
  <si>
    <t>Recette dupliquée pour</t>
  </si>
  <si>
    <t>Eff.Total</t>
  </si>
  <si>
    <t>Couverts</t>
  </si>
  <si>
    <t>Kg d'agneau</t>
  </si>
  <si>
    <t>portion</t>
  </si>
  <si>
    <t>&lt; les 12 colonnes de détail précédentes sont masquées</t>
  </si>
  <si>
    <t>Portion moyenne</t>
  </si>
  <si>
    <t>Modèle</t>
  </si>
  <si>
    <t>FF.1.A</t>
  </si>
  <si>
    <t>Poids Unitaire en Kg</t>
  </si>
  <si>
    <t>Poids Total en Kg</t>
  </si>
  <si>
    <t>&lt;  les colonnes de saisies précédentes sont masquées</t>
  </si>
  <si>
    <t>NET ASSIETTE</t>
  </si>
  <si>
    <t>BRUT A COMMANDER</t>
  </si>
  <si>
    <t>Pix denrées</t>
  </si>
  <si>
    <t>Tableau de commande : saisissez vos valeurs ICI</t>
  </si>
  <si>
    <t>Coller la recette ci-dessous - collage Spécial 1-2-3 Valeurs ou ® pour respecter la mise en forme de destination</t>
  </si>
  <si>
    <t>A +</t>
  </si>
  <si>
    <t>PAM</t>
  </si>
  <si>
    <t>PAS</t>
  </si>
  <si>
    <t>à l'Unité</t>
  </si>
  <si>
    <t>1 Kg</t>
  </si>
  <si>
    <t>Ingrédients colonne G</t>
  </si>
  <si>
    <t>Grammage NET par convive</t>
  </si>
  <si>
    <t>Total NET</t>
  </si>
  <si>
    <t>Poids NET pour l'effectif</t>
  </si>
  <si>
    <t>bouquet garni</t>
  </si>
  <si>
    <t>Pourcentage de perte</t>
  </si>
  <si>
    <t>Pourcentage supplémentaire pour A +</t>
  </si>
  <si>
    <t>Grammage BRUT par convive</t>
  </si>
  <si>
    <t>Total BRUT</t>
  </si>
  <si>
    <t>Poids BRUT à commander</t>
  </si>
  <si>
    <t>blancs d'œufs</t>
  </si>
  <si>
    <t>1 Kg ou litre pour :</t>
  </si>
  <si>
    <t>Voici quelques photos pour aider à estimer les quantités</t>
  </si>
  <si>
    <t>Visuellement, ça représente quoi 100 calories ?</t>
  </si>
  <si>
    <t>COMPRENDRE POUR APPRENDRE   -   AMÉLIORER POUR TRANSMETTRE</t>
  </si>
  <si>
    <t>le point virgule signifie ; ALORS ou SINON</t>
  </si>
  <si>
    <t>/ divisé</t>
  </si>
  <si>
    <t>+ plus</t>
  </si>
  <si>
    <t xml:space="preserve">le deux-points signifie "JUSQU'À". </t>
  </si>
  <si>
    <t>* multiplié</t>
  </si>
  <si>
    <t>- moins</t>
  </si>
  <si>
    <t>Poids en Kg</t>
  </si>
  <si>
    <t>Recette éditée le :</t>
  </si>
  <si>
    <t>unitaire &gt;</t>
  </si>
  <si>
    <t>Transmettez vos savoirs faire  peu importe qui les récupèrent ; pourvu qu'un plus grand nombre puisse en bénéficier.</t>
  </si>
  <si>
    <t>Excel: Outils d'analyse</t>
  </si>
  <si>
    <t>Les fonctions d'Excel</t>
  </si>
  <si>
    <t>http://www.astucesinternet.com/modules/smartsection/item.php?itemid=85</t>
  </si>
  <si>
    <t> Il est parfois difficile de vérifier l’exactitude d’une formule ou de détecter la source d’une erreur lorsque la formule utilise des cellules antécédentes ou dépendantes :</t>
  </si>
  <si>
    <t>Les cellules antécédentes     sont des cellules désignées par une formule dans une autre cellule. Par exemple, si la cellule D10 contient la formule =B5, la cellule B5 est antécédente à la cellule D10.</t>
  </si>
  <si>
    <t>Les cellules dépendantes     contiennent des formules qui font référence à d’autres cellules. Par exemple, si la cellule D10 contient la formule =B5, la cellule D10 est dépendante de la cellule B5.</t>
  </si>
  <si>
    <t>Pour vous aider lors de la vérification de vos formules, vous pouvez utiliser les fonctions Repérer les antécédents etRepérer les dépendants, qui permettent, d’une part, la représentation graphique et, d’autre part, de retracer le suivi des relations entre les cellules et les formules, par l’intermédiaire des flèches d’audit.</t>
  </si>
  <si>
    <t>1. Cliquez sur le bouton Microsoft Office </t>
  </si>
  <si>
    <t>, cliquez sur Options Excel, puis sur la catégorie Options avancées.</t>
  </si>
  <si>
    <t>2. Dans la section Afficher les options pour ce classeur, sélectionnez le classeur de votre choix, puis vérifiez si l’option Tous est activée sous Pour des objets, afficher.</t>
  </si>
  <si>
    <t>3. Si des formules font référence à des cellules d’un autre classeur, ouvrez ce classeur. Microsoft Office Excel ne peut accéder à une cellule d’un classeur qui n’est pas ouvert.</t>
  </si>
  <si>
    <t>4. Effectuez l’une des actions suivantes.</t>
  </si>
  <si>
    <t>Pour repérer les cellules dont les données sont utilisées dans une formule (antécédents)</t>
  </si>
  <si>
    <t>a. Sélectionnez la cellule contenant la formule pour laquelle vous voulez rechercher les antécédents.</t>
  </si>
  <si>
    <t>b. Pour afficher une flèche d’audit pour chaque cellule fournissant directement des données à la cellule active, sous l’onglet Formules, dans le groupe Audit de formules, cliquez sur Repérer les antécédents </t>
  </si>
  <si>
    <t> .</t>
  </si>
  <si>
    <t>Les flèches bleues désignent les cellules ne contenant pas d’erreurs. Les flèches rouges désignent celles qui produisent des erreurs. Si la cellule sélectionnée est référencée par une cellule d’une autre feuille de calcul ou d’un autre classeur, une flèche noire pointe de la cellule sélectionnée vers une icône de feuille de calcul</t>
  </si>
  <si>
    <t>. Toutefois, l’autre classeur doit être ouvert pour qu’Excel puisse repérer ces dépendances.</t>
  </si>
  <si>
    <t>c. Pour identifier le prochain niveau de cellules fournissant des données à la cellule active, cliquez de nouveau sur Repérer les antécédents </t>
  </si>
  <si>
    <t>d. Pour supprimer les flèches d’audit d’un niveau à la fois, en commençant par l’antécédent le plus éloigné de la cellule active, sous l’onglet Formules, dans le groupe Audit de formules, cliquez sur la flèche située en regard des options Supprimer les flèches, puis cliquez sur Supprimer les flèches des antécédents </t>
  </si>
  <si>
    <t>. Pour supprimer un autre niveau de flèches d’audit, cliquez de nouveau sur ce bouton.</t>
  </si>
  <si>
    <t>Pour repérer les formules qui font référence à une cellule particulière (dépendants)</t>
  </si>
  <si>
    <t>a. Sélectionnez la cellule pour laquelle vous voulez identifier les dépendants.</t>
  </si>
  <si>
    <t>b. Pour afficher une flèches d’audit pour chaque cellule dépendant de la cellule active, sous l’onglet Formulesdu groupe Audit de formules, cliquez sur Repérer les dépendants </t>
  </si>
  <si>
    <t> ..</t>
  </si>
  <si>
    <t>c. Pour identifier le prochain niveau de cellules dépendant de la cellule active, cliquez à nouveau sur Repérer les dépendants </t>
  </si>
  <si>
    <t>d. Pour supprimer les flèches d’audit d’un niveau à la fois, en commençant par le dépendant le plus éloigné de la cellule active, sous l’onglet Formules, dans le groupe Audit de formules, cliquez sur la flèche située en regard des options Supprimer les flèches, puis cliquez sur Supprimer les flèches des dépendants </t>
  </si>
  <si>
    <t>Afficher toutes les relations dans une feuille de calcul</t>
  </si>
  <si>
    <t>a. Dans une cellule vide, tapez = (signe égal).</t>
  </si>
  <si>
    <t>b. Cliquez sur le bouton Sélectionner tout.</t>
  </si>
  <si>
    <t>c. Sélectionnez la cellule, puis, sous l’onglet Formules, dans le groupe Audit de formules, double-cliquez surRepérer les antécédents </t>
  </si>
  <si>
    <t>Problème : Microsoft Excel émet un signal sonore lorsque je clique sur Repérer les antécédents ou Repérer les dépendants.</t>
  </si>
  <si>
    <t>Si Excel émet un signal sonore lorsque vous cliquez sur Repérer les dépendants </t>
  </si>
  <si>
    <t> ou sur Repérer les antécédents </t>
  </si>
  <si>
    <t>, cela signifie soit qu’Excel a repéré tous les niveaux de la formule, soit que vous essayez de repérer un élément impossible à détecter. Les éléments de feuille de calcul ci-dessous, auxquels certaines formules peuvent faire référence, ne peuvent pas être repérés à l’aide des outils d’audit :</t>
  </si>
  <si>
    <t>a. les références à des zones de texte, à des graphique incorporé ou à des images figurant dans des feuilles de calcul ;</t>
  </si>
  <si>
    <t>b. rapport de tableau croisé dynamique ;</t>
  </si>
  <si>
    <t>c. les références à des constante nommées ;</t>
  </si>
  <si>
    <t>d. les formules figurant dans un autre classeur et faisant référence à la cellule active, si l’autre classeur est fermé.</t>
  </si>
  <si>
    <t>Excel 2010 : trouvez la faille dans vos formules de calcul [astuce]</t>
  </si>
  <si>
    <t>Que faire si vos formules ne donnent pas le résultat escompté ou vous renvoient des messages d'erreur ? Pas de panique : Excel fourmille d'outils permettant de décortiquer une formule et d'en localiser le défaut.</t>
  </si>
  <si>
    <r>
      <t>Votre formule n'affiche pas un nombre, mais un message d'erreur ? Ce dernier peut vous aider à identifier l'anomalie. Passons sur le plus simple :</t>
    </r>
    <r>
      <rPr>
        <b/>
        <sz val="14"/>
        <color rgb="FF333333"/>
        <rFont val="Calibri"/>
        <family val="2"/>
        <scheme val="minor"/>
      </rPr>
      <t>#DIV/0</t>
    </r>
    <r>
      <rPr>
        <sz val="14"/>
        <color rgb="FF333333"/>
        <rFont val="Calibri"/>
        <family val="2"/>
        <scheme val="minor"/>
      </rPr>
      <t> (division par zéro) : vous vous êtes sans doute trompé en divisant un nombre par une cellule vide.</t>
    </r>
  </si>
  <si>
    <r>
      <t>Un peu moins évident : le message </t>
    </r>
    <r>
      <rPr>
        <b/>
        <sz val="14"/>
        <color rgb="FF333333"/>
        <rFont val="Calibri"/>
        <family val="2"/>
        <scheme val="minor"/>
      </rPr>
      <t>#REF</t>
    </r>
    <r>
      <rPr>
        <sz val="14"/>
        <color rgb="FF333333"/>
        <rFont val="Calibri"/>
        <family val="2"/>
        <scheme val="minor"/>
      </rPr>
      <t> signifie que l'un des éléments de votre formule a disparu. Peut-être avez-vous supprimé une ligne ou une colonne contenant un des termes de la formule.</t>
    </r>
  </si>
  <si>
    <r>
      <t>Si vous lisez </t>
    </r>
    <r>
      <rPr>
        <b/>
        <sz val="14"/>
        <color rgb="FF333333"/>
        <rFont val="Calibri"/>
        <family val="2"/>
        <scheme val="minor"/>
      </rPr>
      <t>#NOMBRE</t>
    </r>
    <r>
      <rPr>
        <sz val="14"/>
        <color rgb="FF333333"/>
        <rFont val="Calibri"/>
        <family val="2"/>
        <scheme val="minor"/>
      </rPr>
      <t>, c'est que vous avez tenté d'utiliser une fonction mathématique en dehors de ses limites, par exemple la racine carrée ou le logarithme d'un nombre négatif.</t>
    </r>
  </si>
  <si>
    <t>Décortiquez vos formules</t>
  </si>
  <si>
    <t>Parfois, la formule n'affiche pas un message d'erreur, mais donne un résultat aberrant. Il faut donc l'analyser pour en trouver la cause.</t>
  </si>
  <si>
    <r>
      <t>Commencez par double-cliquer sur la formule : les cellules qu'elle utilise (</t>
    </r>
    <r>
      <rPr>
        <b/>
        <sz val="14"/>
        <color rgb="FF333333"/>
        <rFont val="Calibri"/>
        <family val="2"/>
        <scheme val="minor"/>
      </rPr>
      <t>B5</t>
    </r>
    <r>
      <rPr>
        <sz val="14"/>
        <color rgb="FF333333"/>
        <rFont val="Calibri"/>
        <family val="2"/>
        <scheme val="minor"/>
      </rPr>
      <t>et </t>
    </r>
    <r>
      <rPr>
        <b/>
        <sz val="14"/>
        <color rgb="FF333333"/>
        <rFont val="Calibri"/>
        <family val="2"/>
        <scheme val="minor"/>
      </rPr>
      <t>D5</t>
    </r>
    <r>
      <rPr>
        <sz val="14"/>
        <color rgb="FF333333"/>
        <rFont val="Calibri"/>
        <family val="2"/>
        <scheme val="minor"/>
      </rPr>
      <t> dans l'exemple ci-contre) sont entourées, dans la formule et dans la feuille par un filet coloré. Si vous constatez qu'une des cellules est mal placée (vous avez choisi par erreur la cellule voisine), déplacez-la à la souris et validez.</t>
    </r>
  </si>
  <si>
    <t>Repérez les antécédents</t>
  </si>
  <si>
    <r>
      <t>Excel vous offre un moyen très efficace de repérer d'un seul coup toutes les cellules concernées par une formule. Pour cela, sélectionnez cette dernière et activez le menu </t>
    </r>
    <r>
      <rPr>
        <b/>
        <sz val="14"/>
        <color rgb="FF333333"/>
        <rFont val="Calibri"/>
        <family val="2"/>
        <scheme val="minor"/>
      </rPr>
      <t>Formules</t>
    </r>
    <r>
      <rPr>
        <sz val="14"/>
        <color rgb="FF333333"/>
        <rFont val="Calibri"/>
        <family val="2"/>
        <scheme val="minor"/>
      </rPr>
      <t>.</t>
    </r>
  </si>
  <si>
    <r>
      <t>Dans la zone </t>
    </r>
    <r>
      <rPr>
        <b/>
        <sz val="14"/>
        <color rgb="FF333333"/>
        <rFont val="Calibri"/>
        <family val="2"/>
        <scheme val="minor"/>
      </rPr>
      <t>Audit de formules</t>
    </r>
    <r>
      <rPr>
        <sz val="14"/>
        <color rgb="FF333333"/>
        <rFont val="Calibri"/>
        <family val="2"/>
        <scheme val="minor"/>
      </rPr>
      <t>, cliquez sur </t>
    </r>
    <r>
      <rPr>
        <b/>
        <sz val="14"/>
        <color rgb="FF333333"/>
        <rFont val="Calibri"/>
        <family val="2"/>
        <scheme val="minor"/>
      </rPr>
      <t>Repérer les antécédents</t>
    </r>
    <r>
      <rPr>
        <sz val="14"/>
        <color rgb="FF333333"/>
        <rFont val="Calibri"/>
        <family val="2"/>
        <scheme val="minor"/>
      </rPr>
      <t>. Excel trace des flèches bleues de la formule vers toutes les cellules qu'elle utilise.</t>
    </r>
  </si>
  <si>
    <r>
      <t>Dans le même ordre d'idées, le bouton </t>
    </r>
    <r>
      <rPr>
        <b/>
        <sz val="14"/>
        <color rgb="FF333333"/>
        <rFont val="Calibri"/>
        <family val="2"/>
        <scheme val="minor"/>
      </rPr>
      <t>Repérer les dépendants</t>
    </r>
    <r>
      <rPr>
        <sz val="14"/>
        <color rgb="FF333333"/>
        <rFont val="Calibri"/>
        <family val="2"/>
        <scheme val="minor"/>
      </rPr>
      <t> affiche toutes les formules de calcul qui exploitent une cellule donnée. Cliquez sur </t>
    </r>
    <r>
      <rPr>
        <b/>
        <sz val="14"/>
        <color rgb="FF333333"/>
        <rFont val="Calibri"/>
        <family val="2"/>
        <scheme val="minor"/>
      </rPr>
      <t>Effacer les flèches</t>
    </r>
    <r>
      <rPr>
        <sz val="14"/>
        <color rgb="FF333333"/>
        <rFont val="Calibri"/>
        <family val="2"/>
        <scheme val="minor"/>
      </rPr>
      <t> pour supprimer ces repères.</t>
    </r>
  </si>
  <si>
    <t>Faites un audit en profondeur</t>
  </si>
  <si>
    <t>Si tous les outils précédents ne vous ont pas permis de repérer l'erreur dans votre formule, ou si cette dernière est très longue, nous vous proposons un autre outil.</t>
  </si>
  <si>
    <r>
      <t>Sélectionnez la formule et, dans le menu </t>
    </r>
    <r>
      <rPr>
        <b/>
        <sz val="14"/>
        <color rgb="FF333333"/>
        <rFont val="Calibri"/>
        <family val="2"/>
        <scheme val="minor"/>
      </rPr>
      <t>Formules</t>
    </r>
    <r>
      <rPr>
        <sz val="14"/>
        <color rgb="FF333333"/>
        <rFont val="Calibri"/>
        <family val="2"/>
        <scheme val="minor"/>
      </rPr>
      <t>, cliquez sur </t>
    </r>
    <r>
      <rPr>
        <b/>
        <sz val="14"/>
        <color rgb="FF333333"/>
        <rFont val="Calibri"/>
        <family val="2"/>
        <scheme val="minor"/>
      </rPr>
      <t>Evaluation de formule</t>
    </r>
    <r>
      <rPr>
        <sz val="14"/>
        <color rgb="FF333333"/>
        <rFont val="Calibri"/>
        <family val="2"/>
        <scheme val="minor"/>
      </rPr>
      <t>. La fenêtre qui s'affiche présente le détail de la formule sous forme de blocs, chaque bloc correspondant à un des arguments de l'expression calculée.</t>
    </r>
  </si>
  <si>
    <r>
      <t>Pointez un bloc et cliquez sur </t>
    </r>
    <r>
      <rPr>
        <b/>
        <sz val="14"/>
        <color rgb="FF333333"/>
        <rFont val="Calibri"/>
        <family val="2"/>
        <scheme val="minor"/>
      </rPr>
      <t>Pas-à-pas détaillé</t>
    </r>
    <r>
      <rPr>
        <sz val="14"/>
        <color rgb="FF333333"/>
        <rFont val="Calibri"/>
        <family val="2"/>
        <scheme val="minor"/>
      </rPr>
      <t> : Excel affiche le détail des cellules concernées par ce bloc, leur contenu, et le résultat de l'opération.</t>
    </r>
  </si>
  <si>
    <r>
      <t>Si certaines de ces cellules sont elles-mêmes des formules, vous pourrez, toujours avec le bouton </t>
    </r>
    <r>
      <rPr>
        <b/>
        <sz val="14"/>
        <color rgb="FF333333"/>
        <rFont val="Calibri"/>
        <family val="2"/>
        <scheme val="minor"/>
      </rPr>
      <t>Pas-à-pas détaillé</t>
    </r>
    <r>
      <rPr>
        <sz val="14"/>
        <color rgb="FF333333"/>
        <rFont val="Calibri"/>
        <family val="2"/>
        <scheme val="minor"/>
      </rPr>
      <t>, « descendre » dans les niveaux les plus profonds de votre formule, comme dans l'arborescence d'un disque dur. Le tableur affiche toujours, dans la fenêtre, la valeur numérique du bloc en cours d'examen. L'outil n'est pas facile à maitriser, mais très puissant.</t>
    </r>
  </si>
  <si>
    <t>Par Etienne Oehmichen</t>
  </si>
  <si>
    <t>Auditer et espionner des formules sous Excel</t>
  </si>
  <si>
    <t>Par: Agnès Taupin</t>
  </si>
  <si>
    <t>  </t>
  </si>
  <si>
    <t>Dans un tableau Excel long et complexe où les formules s’imbriquent, découvrez comment trouver en quelques clics les relations entre les équations grâce aux icônes du groupe Audit des formules. Puis ajoutez une fenêtre Espion pour surveiller les valeurs sensibles !</t>
  </si>
  <si>
    <t>Réaliser un audit classique de formule</t>
  </si>
  <si>
    <r>
      <t>&gt;&gt;Pour afficher le contenu d’une cellule : sélectionner une cellule et observer la valeur (texte, donnée chiffrée ou formule) qui s’affiche dans la </t>
    </r>
    <r>
      <rPr>
        <b/>
        <sz val="9"/>
        <color rgb="FF666666"/>
        <rFont val="Calibri"/>
        <family val="2"/>
        <scheme val="minor"/>
      </rPr>
      <t>Barre de formule</t>
    </r>
    <r>
      <rPr>
        <sz val="9"/>
        <color rgb="FF666666"/>
        <rFont val="Calibri"/>
        <family val="2"/>
        <scheme val="minor"/>
      </rPr>
      <t>. Si la cellule contient une formule, celle-ci est visible dans la </t>
    </r>
    <r>
      <rPr>
        <b/>
        <sz val="9"/>
        <color rgb="FF666666"/>
        <rFont val="Calibri"/>
        <family val="2"/>
        <scheme val="minor"/>
      </rPr>
      <t>Barre de formule</t>
    </r>
    <r>
      <rPr>
        <sz val="9"/>
        <color rgb="FF666666"/>
        <rFont val="Calibri"/>
        <family val="2"/>
        <scheme val="minor"/>
      </rPr>
      <t>. Elle débute par le signe égal. Parfois, elle est encadrée par des parenthèses. Dans ce cas, les arguments de la fonction sont séparés par des points virgules. Exemple : =SI(…;… ;…).</t>
    </r>
  </si>
  <si>
    <r>
      <t>&gt;&gt;Pour auditer une formule : sur la </t>
    </r>
    <r>
      <rPr>
        <b/>
        <sz val="9"/>
        <color rgb="FF666666"/>
        <rFont val="Calibri"/>
        <family val="2"/>
        <scheme val="minor"/>
      </rPr>
      <t>Barre de formule</t>
    </r>
    <r>
      <rPr>
        <sz val="9"/>
        <color rgb="FF666666"/>
        <rFont val="Calibri"/>
        <family val="2"/>
        <scheme val="minor"/>
      </rPr>
      <t>, cliquer sur ou devant un argument (c’est-à-dire devant un point virgule). Tous les arguments exprimés sont colorés. Sur la feuille Excel, chaque couleur correspond à une cellule ou un groupe de cellules encadrée(s) par la même couleur (le bleu avec le bleu, le vert avec le vert). Sur la feuille de calcul, une sélection peut être déplacée par un simple cliqué-glissé. Ce qui permet de corriger la sélection et la formule par la même occasion.</t>
    </r>
  </si>
  <si>
    <t>Audit d’une formule SOMME.SI qui additionne les valeurs contenues dans la plage de cellules S5:S23 sous condition de trouver le mot « Loyer » dans la plage de cellules E5:E25</t>
  </si>
  <si>
    <t>Repérer les antécédents ou les dépendants</t>
  </si>
  <si>
    <r>
      <t>&gt;&gt;Pour repérer les antécédents d’une formule (d’où proviennent les données chiffrées)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Repérer les antécédents</t>
    </r>
    <r>
      <rPr>
        <sz val="9"/>
        <color rgb="FF666666"/>
        <rFont val="Calibri"/>
        <family val="2"/>
        <scheme val="minor"/>
      </rPr>
      <t>. Pour visualiser toutes les liaisons, cliquer à nouveau sur cette icône.</t>
    </r>
  </si>
  <si>
    <r>
      <t>&gt;&gt;Pour repérer les dépendants d’une formule (dans quelles formules sont-elles utilisées) : cliquer sur l’icône</t>
    </r>
    <r>
      <rPr>
        <b/>
        <sz val="9"/>
        <color rgb="FF666666"/>
        <rFont val="Calibri"/>
        <family val="2"/>
        <scheme val="minor"/>
      </rPr>
      <t>Repérer les dépendants</t>
    </r>
    <r>
      <rPr>
        <sz val="9"/>
        <color rgb="FF666666"/>
        <rFont val="Calibri"/>
        <family val="2"/>
        <scheme val="minor"/>
      </rPr>
      <t>.</t>
    </r>
  </si>
  <si>
    <r>
      <t>&gt;&gt;Pour supprimer tous les repères : cliquer sur l’icône </t>
    </r>
    <r>
      <rPr>
        <b/>
        <sz val="9"/>
        <color rgb="FF666666"/>
        <rFont val="Calibri"/>
        <family val="2"/>
        <scheme val="minor"/>
      </rPr>
      <t>Supprimer les flèches</t>
    </r>
    <r>
      <rPr>
        <sz val="9"/>
        <color rgb="FF666666"/>
        <rFont val="Calibri"/>
        <family val="2"/>
        <scheme val="minor"/>
      </rPr>
      <t>.</t>
    </r>
  </si>
  <si>
    <t>Audit de la cellule D28 avec affichage de ses antécédents et de ses dépendants</t>
  </si>
  <si>
    <t>Evaluer une formule</t>
  </si>
  <si>
    <r>
      <t>&gt;&gt;Pour évaluer une formule en pas à pas détaillé (cascade) : sélectionner la cellule à auditer mais ne pas cliquer sur la barre de formules.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Évaluation de formule </t>
    </r>
    <r>
      <rPr>
        <sz val="9"/>
        <color rgb="FF666666"/>
        <rFont val="Calibri"/>
        <family val="2"/>
        <scheme val="minor"/>
      </rPr>
      <t>puis sur le bouton </t>
    </r>
    <r>
      <rPr>
        <b/>
        <sz val="9"/>
        <color rgb="FF666666"/>
        <rFont val="Calibri"/>
        <family val="2"/>
        <scheme val="minor"/>
      </rPr>
      <t>Évaluer</t>
    </r>
    <r>
      <rPr>
        <sz val="9"/>
        <color rgb="FF666666"/>
        <rFont val="Calibri"/>
        <family val="2"/>
        <scheme val="minor"/>
      </rPr>
      <t>. Si le bouton </t>
    </r>
    <r>
      <rPr>
        <b/>
        <sz val="9"/>
        <color rgb="FF666666"/>
        <rFont val="Calibri"/>
        <family val="2"/>
        <scheme val="minor"/>
      </rPr>
      <t>Pas à pas détaillé</t>
    </r>
    <r>
      <rPr>
        <sz val="9"/>
        <color rgb="FF666666"/>
        <rFont val="Calibri"/>
        <family val="2"/>
        <scheme val="minor"/>
      </rPr>
      <t> est actif, le cliquer à nouveau et ainsi de suite.</t>
    </r>
  </si>
  <si>
    <r>
      <t>&gt;&gt;Pour visualiser les résultats : cliquer sur l’icône </t>
    </r>
    <r>
      <rPr>
        <b/>
        <sz val="9"/>
        <color rgb="FF666666"/>
        <rFont val="Calibri"/>
        <family val="2"/>
        <scheme val="minor"/>
      </rPr>
      <t>Pas à pas sortant</t>
    </r>
    <r>
      <rPr>
        <sz val="9"/>
        <color rgb="FF666666"/>
        <rFont val="Calibri"/>
        <family val="2"/>
        <scheme val="minor"/>
      </rPr>
      <t>.</t>
    </r>
  </si>
  <si>
    <r>
      <t>&gt;&gt;Pour afficher le résultat de l’expression soulignée, cliquer sur le bouton </t>
    </r>
    <r>
      <rPr>
        <b/>
        <sz val="9"/>
        <color rgb="FF666666"/>
        <rFont val="Calibri"/>
        <family val="2"/>
        <scheme val="minor"/>
      </rPr>
      <t>Évaluer</t>
    </r>
    <r>
      <rPr>
        <sz val="9"/>
        <color rgb="FF666666"/>
        <rFont val="Calibri"/>
        <family val="2"/>
        <scheme val="minor"/>
      </rPr>
      <t>. Le résultat le plus récent apparaît en italique.</t>
    </r>
  </si>
  <si>
    <t>Utiliser la fenêtre Espion</t>
  </si>
  <si>
    <r>
      <t>&gt;&gt;Pour surveiller le contenu d’une cellule (ou plusieurs cellules) dès l’ouverture du fichier : activer, sur le ruban, l’onglet </t>
    </r>
    <r>
      <rPr>
        <b/>
        <sz val="9"/>
        <color rgb="FF666666"/>
        <rFont val="Calibri"/>
        <family val="2"/>
        <scheme val="minor"/>
      </rPr>
      <t>Formules</t>
    </r>
    <r>
      <rPr>
        <sz val="9"/>
        <color rgb="FF666666"/>
        <rFont val="Calibri"/>
        <family val="2"/>
        <scheme val="minor"/>
      </rPr>
      <t> puis repérer le groupe de commandes </t>
    </r>
    <r>
      <rPr>
        <b/>
        <sz val="9"/>
        <color rgb="FF666666"/>
        <rFont val="Calibri"/>
        <family val="2"/>
        <scheme val="minor"/>
      </rPr>
      <t>Audit des formules</t>
    </r>
    <r>
      <rPr>
        <sz val="9"/>
        <color rgb="FF666666"/>
        <rFont val="Calibri"/>
        <family val="2"/>
        <scheme val="minor"/>
      </rPr>
      <t>. Là, cliquer sur l’icône </t>
    </r>
    <r>
      <rPr>
        <b/>
        <sz val="9"/>
        <color rgb="FF666666"/>
        <rFont val="Calibri"/>
        <family val="2"/>
        <scheme val="minor"/>
      </rPr>
      <t>Fenêtre Espion</t>
    </r>
    <r>
      <rPr>
        <sz val="9"/>
        <color rgb="FF666666"/>
        <rFont val="Calibri"/>
        <family val="2"/>
        <scheme val="minor"/>
      </rPr>
      <t>. Une boîte de dialogue éponyme s’affiche. Cliquer sur l’icône </t>
    </r>
    <r>
      <rPr>
        <b/>
        <sz val="9"/>
        <color rgb="FF666666"/>
        <rFont val="Calibri"/>
        <family val="2"/>
        <scheme val="minor"/>
      </rPr>
      <t>Ajouter un espion</t>
    </r>
    <r>
      <rPr>
        <sz val="9"/>
        <color rgb="FF666666"/>
        <rFont val="Calibri"/>
        <family val="2"/>
        <scheme val="minor"/>
      </rPr>
      <t>, la boîte de dialogue éponyme s’affiche. Cliquer sur la cellule a espionner puis sur le bouton </t>
    </r>
    <r>
      <rPr>
        <b/>
        <sz val="9"/>
        <color rgb="FF666666"/>
        <rFont val="Calibri"/>
        <family val="2"/>
        <scheme val="minor"/>
      </rPr>
      <t>Ajouter</t>
    </r>
    <r>
      <rPr>
        <sz val="9"/>
        <color rgb="FF666666"/>
        <rFont val="Calibri"/>
        <family val="2"/>
        <scheme val="minor"/>
      </rPr>
      <t>.</t>
    </r>
  </si>
  <si>
    <r>
      <t>&gt;&gt;Pour ajouter d’autres espions : cliquer sur</t>
    </r>
    <r>
      <rPr>
        <b/>
        <sz val="9"/>
        <color rgb="FF666666"/>
        <rFont val="Calibri"/>
        <family val="2"/>
        <scheme val="minor"/>
      </rPr>
      <t> Ajouter un espion</t>
    </r>
    <r>
      <rPr>
        <sz val="9"/>
        <color rgb="FF666666"/>
        <rFont val="Calibri"/>
        <family val="2"/>
        <scheme val="minor"/>
      </rPr>
      <t>, et ainsi de suite.</t>
    </r>
  </si>
  <si>
    <r>
      <t>&gt;&gt;Pour supprimer un espion : sélectionner l’espion dans la </t>
    </r>
    <r>
      <rPr>
        <b/>
        <sz val="9"/>
        <color rgb="FF666666"/>
        <rFont val="Calibri"/>
        <family val="2"/>
        <scheme val="minor"/>
      </rPr>
      <t>Fenêtre Espion </t>
    </r>
    <r>
      <rPr>
        <sz val="9"/>
        <color rgb="FF666666"/>
        <rFont val="Calibri"/>
        <family val="2"/>
        <scheme val="minor"/>
      </rPr>
      <t>et cliquer sur le bouton </t>
    </r>
    <r>
      <rPr>
        <b/>
        <sz val="9"/>
        <color rgb="FF666666"/>
        <rFont val="Calibri"/>
        <family val="2"/>
        <scheme val="minor"/>
      </rPr>
      <t>Supprimer un espion</t>
    </r>
    <r>
      <rPr>
        <sz val="9"/>
        <color rgb="FF666666"/>
        <rFont val="Calibri"/>
        <family val="2"/>
        <scheme val="minor"/>
      </rPr>
      <t>.</t>
    </r>
  </si>
  <si>
    <t>Informations clés espionnées dans la feuille Suivi du budget (ici : le budget annuel, les dépenses et l’écart). La Fenêtre Espion peut ou non rester visible à l’écran, selon votre choix.</t>
  </si>
  <si>
    <t>cette cellule vous indique la position dans la feuille Excel cellule colonne D ligne 32</t>
  </si>
  <si>
    <t>STXT(@CELLULE("filename";D32);CHERCHE("[";@CELLULE("filename";D32))+1;CHERCHE("]";@CELLULE("filename";D32))-CHERCHE("[";@CELLULE("filename";D32))-1)</t>
  </si>
  <si>
    <t>Comment remplir une fiche en respectant un ordre logique</t>
  </si>
  <si>
    <t>Calcul d'aire</t>
  </si>
  <si>
    <t>Combien pèse un ananas en kg ?</t>
  </si>
  <si>
    <t>Le cercle (niveau 6e)</t>
  </si>
  <si>
    <t>Les aires (niveau 6e)</t>
  </si>
  <si>
    <t>Le cylindre</t>
  </si>
  <si>
    <t>Enseigner le vocabulaire</t>
  </si>
  <si>
    <t>Partenaires scientifiques pour la classe</t>
  </si>
  <si>
    <t>Éducation financière et budgétaire</t>
  </si>
  <si>
    <t>https://www.service-public.fr/particuliers/vosdroits/N20376</t>
  </si>
  <si>
    <t>https://cache.media.eduscol.education.fr/file/EFB/74/3/RA20_Lycee_GT_2-1-T_SES_BDF-ressources-complementaires_1302743.pdf</t>
  </si>
  <si>
    <t>https://www.mesquestionsdargent.fr/budget/faire-mes-comptes</t>
  </si>
  <si>
    <t>https://abc-economie.banque-france.fr/</t>
  </si>
  <si>
    <t>https://www.citeco.fr/recherche?&amp;recommande=1</t>
  </si>
  <si>
    <t>https://eduscol.education.fr/1995/continuite-pedagogique-en-biotechnologies-et-sciences-et-techniques-medico-sociales</t>
  </si>
  <si>
    <t>https://eduscol.education.fr/1742/programmes-et-ressources-en-serie-stmg</t>
  </si>
  <si>
    <t>https://eduscol.education.fr/1765/programmes-et-ressources-en-economie-gestion-voie-professionnelle</t>
  </si>
  <si>
    <t>https://culturemath.ens.fr/sitemap</t>
  </si>
  <si>
    <t>http://cle.ens-lyon.fr/</t>
  </si>
  <si>
    <t>https://lesfondamentaux.reseau-canope.fr/discipline/mathematiques.html</t>
  </si>
  <si>
    <t>https://www.lumni.fr/primaire/cm2/mathematiques</t>
  </si>
  <si>
    <t>https://www.youtube.com/channel/UCmL2njvaZBbU0i7ELxJHffw/playlists</t>
  </si>
  <si>
    <t>https://www.youtube.com/user/MathematiquesTV/videos</t>
  </si>
  <si>
    <t>https://www.reseau-canope.fr/cpro-education.html</t>
  </si>
  <si>
    <t>Petit complément Matheux</t>
  </si>
  <si>
    <t>https://www.lafinancepourtous.com/</t>
  </si>
  <si>
    <t>LES SYNOPTIQUES DU MATOU MATHEUX  exercices interactifs en mathématiques     (cliquez sur les liens)</t>
  </si>
  <si>
    <t>Adobe Flash Player à été supprimé de Chrome</t>
  </si>
  <si>
    <t>Le service "matoumatheux" n'est plus disponible suite à un incident de sécurité.Le service Canopé Rennes est provisoirement suspendu en attendant des corrections nécessaires sur le site "matoumatheux" hébergé sur le même serveur.</t>
  </si>
  <si>
    <t>Nouvelle adresse d'hébergement</t>
  </si>
  <si>
    <t>http://matoumatheux.mschpff.eu/accueil.html</t>
  </si>
  <si>
    <t>La crème pâtissière (La proportionnalité CM2)</t>
  </si>
  <si>
    <t>Le gâteau de riz (La proportionnalité CM2)</t>
  </si>
  <si>
    <t>Le far breton (La proportionnalité 6e)</t>
  </si>
  <si>
    <t>La boulangerie (La proportionnalité 6e)</t>
  </si>
  <si>
    <t>Segment (fractions 6e) souvenir</t>
  </si>
  <si>
    <t>Colorier un poisson (fractions 6e) souvenir</t>
  </si>
  <si>
    <t>Conversions d'unités de longueur (mesures) souvenir</t>
  </si>
  <si>
    <t>Attaché à un piquet souvenir</t>
  </si>
  <si>
    <t>La casserole (souvenir)</t>
  </si>
  <si>
    <t>L'aire d'un rectangle (souvenir)</t>
  </si>
  <si>
    <t>https://ressources.sesamath.net/matoumatheux/www/accueilniveaux/accueilpratiques4.htm</t>
  </si>
  <si>
    <t>Conversion d'unités de masse (souvenir)</t>
  </si>
  <si>
    <t xml:space="preserve">S'IL (Y A DU TEXTE dans la cellule (B49) ; ALORS affiche 0 </t>
  </si>
  <si>
    <t xml:space="preserve"> ;  SINON si la cellule (B49) est vide; ALORS affiche le poids saisi cellule D49</t>
  </si>
  <si>
    <t>; SINON ( multiplie D49 * par B49)</t>
  </si>
  <si>
    <t>SI(C61=0; ALORS affiche 0 ; SINON ((N61-(N61*D61%))))</t>
  </si>
  <si>
    <t>s'il y a du texte cellule(B76) ; ALORS affiche B76 ; SINON (B76/B$96)*J$67)</t>
  </si>
  <si>
    <t>EXPLICATION DÉTAILLÉE DE QUELQUES FORMULES</t>
  </si>
  <si>
    <t>SI(N93="U"; Alors O93*J93; Sinon L93*O193)</t>
  </si>
  <si>
    <t>exceptionnellement sur ce modèle de fiche 12 colonnes sont masquées pour calculs divers. Faites un essai : Masquez ces colonnes</t>
  </si>
  <si>
    <t>LES VIANDES EN SAUCE</t>
  </si>
  <si>
    <t>VIANDES EN SAUCE</t>
  </si>
  <si>
    <t>Informations de base : faire des maths avec Excel</t>
  </si>
  <si>
    <t xml:space="preserve">Dans Excel, vous pouvez additionner, soustraire, multiplier et diviser sans utiliser la moindre fonction intégrée. Il vous suffit d’utiliser quelques opérateurs de base : +, -, *, /. Toutes les formules commencent par un signe égal (=).
</t>
  </si>
  <si>
    <t>Chiffres à utiliser :</t>
  </si>
  <si>
    <t>Opération :</t>
  </si>
  <si>
    <t>Formules :</t>
  </si>
  <si>
    <t>Réponses :</t>
  </si>
  <si>
    <t xml:space="preserve">Pour additionner, sélectionnez la cellule F3, entrez =C3+C4, puis appuyez sur la touche Entrée. 
</t>
  </si>
  <si>
    <t xml:space="preserve">Addition (+) </t>
  </si>
  <si>
    <t xml:space="preserve">Pour soustraire, sélectionnez la cellule F4, entrez =C3-C4, puis appuyez sur la touche Entrée. </t>
  </si>
  <si>
    <t xml:space="preserve">Soustraction (-) </t>
  </si>
  <si>
    <t xml:space="preserve">Pour multiplier, sélectionnez la cellule F5, entrez =C3*C4, puis appuyez sur la touche Entrée.
</t>
  </si>
  <si>
    <t xml:space="preserve">Multiplication (*) </t>
  </si>
  <si>
    <t xml:space="preserve">Pour diviser, sélectionnez la cellule F6, entrez =C3/C4, puis appuyez sur la touche Entrée.
</t>
  </si>
  <si>
    <t xml:space="preserve">Division (/) </t>
  </si>
  <si>
    <t>Essayez ça : modifiez les chiffres des cellules C3 et C4, et vous verrez que les résultats de la formule changent automatiquement.</t>
  </si>
  <si>
    <t xml:space="preserve">Puissance (^) </t>
  </si>
  <si>
    <t>BONUS SUPPLÉMENTAIRE : Pour élever une valeur à une puissance, utilisez le symbole accent circonflexe (^), par exemple, =A1^A2. Pour entrer ce symbole, appuyez sur ^+Espace. Dans la cellule F7, entrez =C3^C4.</t>
  </si>
  <si>
    <t>Poursuivez votre lecture pour plus d’informations</t>
  </si>
  <si>
    <t>Étape suivante</t>
  </si>
  <si>
    <t>Informations complémentaires sur les formules, les cellules et les plages</t>
  </si>
  <si>
    <t xml:space="preserve">Excel est composé de cellules individuelles regroupées en lignes et en colonnes. Les lignes sont numérotées, et les colonnes sont représentées par des lettres. Plus d’un million de lignes et 16 000 colonnes sont disponibles, et vous pouvez insérer des formules dans chacune d’entre elles. 
</t>
  </si>
  <si>
    <t xml:space="preserve">Les formules peuvent contenir des références de cellule, des plages de références de cellule, des opérateurs et des constantes. Les exemples suivants correspondent tous à des formules :
=A1+B1
=10+20
=SOMME(A1:A10)
</t>
  </si>
  <si>
    <t xml:space="preserve">Dans le troisième exemple ci-dessus, vous pouvez constater que nous avons utilisé la fonction SOMME. Une fonction est une commande prédéfinie qui, à partir d’une ou plusieurs valeurs, effectue un calcul et renvoie un résultat. Par exemple, la fonction SOMME additionne les références ou plages de cellules que vous spécifiez. Dans cet exemple, elle additionne les cellules A1 à A10. Excel propose plus de 400 fonctions, que vous pouvez explorer sous l’onglet Formules.
</t>
  </si>
  <si>
    <t xml:space="preserve">Les formules qui incluent des fonctions commencent par un signe égal, suivi du nom de la fonction, puis de ses arguments (valeurs utilisées par une fonction pour effectuer un calcul) entre parenthèses. 
</t>
  </si>
  <si>
    <t xml:space="preserve">Pour confirmer une formule, appuyez sur la touche Entrée. La formule effectue alors le calcul et le résultat s’affiche dans la cellule. Pour voir la formule proprement dite, consultez la barre de formule située sous le ruban, ou appuyez sur la touche F2 pour passer en mode Modifier afin d’afficher la formule dans la cellule. Appuyez de nouveau sur la touche Entrée pour finaliser la formule et calculer le résultat.
</t>
  </si>
  <si>
    <t>Explications sur les formules</t>
  </si>
  <si>
    <t>=10+20 est une formule, dans laquelle 10 et 20 sont des constantes et le signe + est un opérateur.</t>
  </si>
  <si>
    <t>=SOMME(A1:A10) est une formule, dans laquelle SOMME est le nom de la fonction, les parenthèses ouvrante et fermante contiennent les arguments de la formule, et A1:A10 est la plage de cellules de la fonction.</t>
  </si>
  <si>
    <t>=SOMME(A1:A10;C1:C10) est une formule, dans laquelle SOMME est le nom de la fonction, les parenthèses ouvrante et fermante contiennent les arguments de la formule, et A1:A10;C1:C10 sont les plages de cellules de la fonction séparées par une virgule.</t>
  </si>
  <si>
    <t xml:space="preserve">BON À SAVOIR : 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
Par exemple : sélectionnez la cellule jaune comportant le nombre 12 ci-dessous. Vous pouvez constater que nous avons utilisé la fonction SOMME suivie d’une plage de cellules. Nous n’avons pas directement entré « 4 » ou « 8 » dans la formule. 
</t>
  </si>
  <si>
    <t>Précédent</t>
  </si>
  <si>
    <t>Suivant</t>
  </si>
  <si>
    <t>Plus d’informations sur le web</t>
  </si>
  <si>
    <t>Utiliser Excel comme calculatrice</t>
  </si>
  <si>
    <t>Vue d’ensemble des formules dans Excel</t>
  </si>
  <si>
    <t xml:space="preserve">Fonctions Excel (par catégorie) </t>
  </si>
  <si>
    <t>Fonctions Excel (par ordre alphabétique) </t>
  </si>
  <si>
    <t>Formation en ligne gratuite sur Excel</t>
  </si>
  <si>
    <t>Valeurs</t>
  </si>
  <si>
    <t>Introduction aux fonctions</t>
  </si>
  <si>
    <t>Les fonctions vous permettent d’effectuer différentes actions, comme des opérations mathématiques, des recherches de valeurs ou même des calculs de dates et d’heures. Nous allons essayer différentes méthodes pour additionner des valeurs avec la fonction SOMME.</t>
  </si>
  <si>
    <t>Fruits</t>
  </si>
  <si>
    <t>Viande</t>
  </si>
  <si>
    <t xml:space="preserve">Sous la colonne Quantité du tableau Fruits (cellule D7), entrez =SOMME(D3:D6). Ou entrez =SOMME(, sélectionnez cette plage avec la souris et appuyez sur la touche Entrée. La formule additionne les valeurs des cellules D3, D4, D5 et D6. Vous obtenez le résultat suivant : 170.
</t>
  </si>
  <si>
    <t>Pommes</t>
  </si>
  <si>
    <t>Bœuf</t>
  </si>
  <si>
    <t xml:space="preserve">Essayons maintenant la fonctionnalité Somme automatique. Sélectionnez la cellule G7 du tableau Viande, puis accédez à Formules &gt; Somme automatique &gt; et sélectionnez SOMME. Excel entre automatiquement la formule pour vous. Appuyez sur la touche Entrée pour confirmer. La fonctionnalité Somme automatique contient les fonctions les plus courantes.
</t>
  </si>
  <si>
    <t>Oranges</t>
  </si>
  <si>
    <t>Poulet</t>
  </si>
  <si>
    <t>Vous pouvez aussi utiliser un raccourci clavier. Sélectionnez la cellule D15, puis appuyez sur Alt = et sur Entrée. La fonction SOMME est automatiquement entrée.</t>
  </si>
  <si>
    <t>Bananes</t>
  </si>
  <si>
    <t>Porc</t>
  </si>
  <si>
    <t>Citrons</t>
  </si>
  <si>
    <t>Poisson</t>
  </si>
  <si>
    <t>BONUS SUPPLÉMENTAIRE
Utilisez la fonction NB avec l’une des méthodes que vous avez déjà essayées. La fonction NB compte le nombre de cellules d’une plage qui contient des nombres.</t>
  </si>
  <si>
    <t xml:space="preserve">SOMME &gt; </t>
  </si>
  <si>
    <t>Informations complémentaires sur les fonctions</t>
  </si>
  <si>
    <t>Article</t>
  </si>
  <si>
    <t>Accédez à l’onglet Formules et parcourez la Bibliothèque de fonctions, dans laquelle les fonctions sont répertoriées par catégorie (Texte, Date et heure, etc.). Insérer une fonction vous permet de rechercher des fonctions par nom et de lancer un Assistant pour vous aider à créer votre formule. 
Lorsque vous commencez à entrer un nom de fonction après avoir appuyé sur =, Excel lance la fonctionnalité IntelliSense,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 
Examinons maintenant l’anatomie de quelques fonctions. La structure de la fonction SOMME est la suivante :</t>
  </si>
  <si>
    <t>Pain</t>
  </si>
  <si>
    <t xml:space="preserve">Si la fonction SOMME pouvait parler, elle dirait ceci : renvoyer la somme de toutes les valeurs des cellules D35 à D38 et toutes celles de la colonne H. SOMME est le nom de la fonction, D35:D38 est l’argument de la première plage, qui est presque toujours obligatoire, et H:H est l’argument de la deuxième plage, les deux plages étant séparées par une virgule. Essayons à présent une formule qui ne nécessite aucun argument.
</t>
  </si>
  <si>
    <t>Beignets</t>
  </si>
  <si>
    <t>La fonction AUJOURDHUI renvoie la date du jour. Elle se met automatiquement à jour dès qu’Excel procède à un nouveau calcul.</t>
  </si>
  <si>
    <t>Cookies</t>
  </si>
  <si>
    <t xml:space="preserve">ESSAYEZ ÇA
Sélectionnez ces cellules. Puis, dans le coin inférieur droit de la fenêtre Excel, recherchez SOMME : 170 sur la barre inférieure. Il s’agit de la barre d’état, qui vous permet de trouver rapidement un total ainsi que d’autres informations sur une cellule ou une plage sélectionnée. </t>
  </si>
  <si>
    <t>Gâteaux</t>
  </si>
  <si>
    <t xml:space="preserve">DÉTAIL IMPORTANT
Double-cliquez sur cette cellule. Vous pouvez voir le 100 à la fin. Bien qu’il soit possible de placer des nombres dans une formule de ce type, cela est déconseillé sauf nécessité absolue. Il s’agit d’une constante, et il est facile d’oublier qu’elle est là. Nous vous recommandons plutôt de faire référence à une autre cellule (par exemple, la cellule F51). En effet, celle-ci est facilement identifiable et n’est pas dissimulée dans une formule. </t>
  </si>
  <si>
    <t>NB &gt;</t>
  </si>
  <si>
    <t>À propos de la fonction SOMME</t>
  </si>
  <si>
    <t>Utiliser Somme automatique pour additionner des nombres</t>
  </si>
  <si>
    <t>À propos de la fonction NB</t>
  </si>
  <si>
    <t>Retour au début</t>
  </si>
  <si>
    <t>Voitures</t>
  </si>
  <si>
    <t>Camions</t>
  </si>
  <si>
    <t>Vélos</t>
  </si>
  <si>
    <t>Patins</t>
  </si>
  <si>
    <t>Total :</t>
  </si>
  <si>
    <t>Valeur supplémentaire</t>
  </si>
  <si>
    <t>Nouveau Total</t>
  </si>
  <si>
    <t>Fonction MOYENNE</t>
  </si>
  <si>
    <r>
      <t xml:space="preserve">Utilisez la fonction </t>
    </r>
    <r>
      <rPr>
        <b/>
        <sz val="11"/>
        <color theme="0"/>
        <rFont val="Calibri"/>
        <family val="2"/>
      </rPr>
      <t>MOYENNE</t>
    </r>
    <r>
      <rPr>
        <sz val="11"/>
        <color theme="0"/>
        <rFont val="Calibri"/>
        <family val="2"/>
      </rPr>
      <t xml:space="preserve"> pour obtenir la moyenne des nombres d’une plage de cellules.</t>
    </r>
  </si>
  <si>
    <r>
      <t xml:space="preserve">Sélectionnez la cellule D7, puis utilisez </t>
    </r>
    <r>
      <rPr>
        <b/>
        <sz val="11"/>
        <color theme="0"/>
        <rFont val="Calibri"/>
        <family val="2"/>
      </rPr>
      <t>Somme automatique</t>
    </r>
    <r>
      <rPr>
        <sz val="11"/>
        <color theme="0"/>
        <rFont val="Calibri"/>
        <family val="2"/>
      </rPr>
      <t xml:space="preserve"> pour ajouter une fonction </t>
    </r>
    <r>
      <rPr>
        <b/>
        <sz val="11"/>
        <color theme="0"/>
        <rFont val="Calibri"/>
        <family val="2"/>
      </rPr>
      <t>MOYENNE</t>
    </r>
    <r>
      <rPr>
        <sz val="11"/>
        <color theme="0"/>
        <rFont val="Calibri"/>
        <family val="2"/>
      </rPr>
      <t>.</t>
    </r>
  </si>
  <si>
    <r>
      <t xml:space="preserve">Sélectionnez maintenant la cellule G7, et entrez une fonction </t>
    </r>
    <r>
      <rPr>
        <b/>
        <sz val="11"/>
        <color theme="0"/>
        <rFont val="Calibri"/>
        <family val="2"/>
      </rPr>
      <t>MOYENNE</t>
    </r>
    <r>
      <rPr>
        <sz val="11"/>
        <color theme="0"/>
        <rFont val="Calibri"/>
        <family val="2"/>
      </rPr>
      <t xml:space="preserve"> en tapant </t>
    </r>
    <r>
      <rPr>
        <b/>
        <sz val="11"/>
        <color theme="0"/>
        <rFont val="Calibri"/>
        <family val="2"/>
      </rPr>
      <t xml:space="preserve">=MOYENNE(G3:G6). </t>
    </r>
  </si>
  <si>
    <r>
      <t xml:space="preserve">À la cellule D15, vous pouvez utiliser </t>
    </r>
    <r>
      <rPr>
        <b/>
        <sz val="11"/>
        <color theme="0"/>
        <rFont val="Calibri"/>
        <family val="2"/>
      </rPr>
      <t>Somme automatique</t>
    </r>
    <r>
      <rPr>
        <sz val="11"/>
        <color theme="0"/>
        <rFont val="Calibri"/>
        <family val="2"/>
      </rPr>
      <t xml:space="preserve"> ou entrer manuellement une autre fonction </t>
    </r>
    <r>
      <rPr>
        <b/>
        <sz val="11"/>
        <color theme="0"/>
        <rFont val="Calibri"/>
        <family val="2"/>
      </rPr>
      <t>MOYENNE</t>
    </r>
    <r>
      <rPr>
        <sz val="11"/>
        <color theme="0"/>
        <rFont val="Calibri"/>
        <family val="2"/>
      </rPr>
      <t xml:space="preserve">. </t>
    </r>
  </si>
  <si>
    <t xml:space="preserve">ESSAYEZ ÇA
Sélectionnez une plage de nombres et consultez la barre d’état pour connaître la moyenne.
</t>
  </si>
  <si>
    <t>Activer la feuille précédente</t>
  </si>
  <si>
    <t>MOYENNE &gt;</t>
  </si>
  <si>
    <t>Accéder à la feuille suivante</t>
  </si>
  <si>
    <t xml:space="preserve">BONUS SUPPLÉMENTAIRE
Essayez d’utiliser ici MEDIANE ou MODE. 
MEDIANE renvoie la valeur qui se trouve au centre de l’ensemble de données, tandis que 
MODE renvoie la valeur la plus fréquente.
</t>
  </si>
  <si>
    <t>Liens pour accéder à des informations complémentaires sur le web</t>
  </si>
  <si>
    <t>Sélectionnez ce lien pour accéder sur le web à des informations complémentaires sur la fonction MOYENNE</t>
  </si>
  <si>
    <t>Sélectionnez ce lien pour accéder sur le web à des informations complémentaires sur la fonction MEDIANE</t>
  </si>
  <si>
    <t>Sélectionnez ce lien pour accéder sur le web à des informations complémentaires sur la fonction MODE</t>
  </si>
  <si>
    <t>Sélectionnez ce lien pour accéder sur le web à une formation gratuite sur Excel</t>
  </si>
  <si>
    <t>Fonctions MIN et MAX</t>
  </si>
  <si>
    <r>
      <t xml:space="preserve">Utilisez la fonction </t>
    </r>
    <r>
      <rPr>
        <b/>
        <sz val="10"/>
        <color theme="0"/>
        <rFont val="Calibri"/>
        <family val="2"/>
        <scheme val="minor"/>
      </rPr>
      <t>MIN</t>
    </r>
    <r>
      <rPr>
        <sz val="10"/>
        <color theme="0"/>
        <rFont val="Calibri"/>
        <family val="2"/>
        <scheme val="minor"/>
      </rPr>
      <t xml:space="preserve"> pour obtenir le nombre minimum d’une plage de cellules.</t>
    </r>
  </si>
  <si>
    <r>
      <t xml:space="preserve">Utilisez la fonction </t>
    </r>
    <r>
      <rPr>
        <b/>
        <sz val="10"/>
        <color theme="0"/>
        <rFont val="Calibri"/>
        <family val="2"/>
        <scheme val="minor"/>
      </rPr>
      <t>MAX</t>
    </r>
    <r>
      <rPr>
        <sz val="10"/>
        <color theme="0"/>
        <rFont val="Calibri"/>
        <family val="2"/>
        <scheme val="minor"/>
      </rPr>
      <t xml:space="preserve"> pour obtenir le nombre maximum d’une plage de cellules.</t>
    </r>
  </si>
  <si>
    <t xml:space="preserve">Sélectionnez la cellule D7, puis utilisez l’Assistant Somme automatique pour ajouter une fonction MIN.
</t>
  </si>
  <si>
    <t xml:space="preserve">Sélectionnez maintenant la cellule G7 et entrez une fonction MAX en tapant =MAX(G3:G6).
</t>
  </si>
  <si>
    <t xml:space="preserve">À la cellule D15, vous pouvez utiliser l’Assistant Somme automatique ou entrer manuellement une fonction MIN ou MAX. 
</t>
  </si>
  <si>
    <t xml:space="preserve">Plus d’informations sur le web
</t>
  </si>
  <si>
    <t>MIN &gt;</t>
  </si>
  <si>
    <t>MAX &gt;</t>
  </si>
  <si>
    <t>À propos de la fonction MAX</t>
  </si>
  <si>
    <t xml:space="preserve">BON À SAVOIR
Vous pouvez utiliser MIN ou MAX avec plusieurs plages, ou avec des valeurs pour renvoyer la plus grande ou la plus petite de ces valeurs, par exemple, =MIN(A1:A10;B1:B10) ou =MAX(A1:A10;B1), où B1 contient une valeur seuil, par exemple 10, auquel cas la formule ne renverra jamais un résultat inférieur à 10.
</t>
  </si>
  <si>
    <t>MIN ou MAX &gt;</t>
  </si>
  <si>
    <t>Fonctions de date</t>
  </si>
  <si>
    <t>Excel peut vous donner la date actuelle, telle que définie dans les paramètres régionaux de votre ordinateur. Vous pouvez également ajouter et soustraire des dates.</t>
  </si>
  <si>
    <t xml:space="preserve">La fonction AUJOURDHUI renvoie la date du jour. Il s’agit d’une fonction dite « volatile » car elle est quotidiennement mise à jour. Ainsi, en rouvrant votre classeur demain, vous y verrez la date de demain. Dans la cellule D6, entrez =AUJOURDHUI(). 
</t>
  </si>
  <si>
    <t xml:space="preserve">Soustraire des dates : entrez la date de votre prochain anniversaire au format JJ/MM/AA dans la cellule D7 et Excel indiquera le nombre de jours restants dans la cellule D8 en utilisant la formule =D7-D6.
</t>
  </si>
  <si>
    <t xml:space="preserve">Ajouter des dates : supposons que vous voulez connaître la date d’échéance d’une facture ou savoir quand vous devez rendre un livre à la bibliothèque. Vous pouvez ajouter des jours à une date. Dans la cellule D10, entrez un nombre de jours aléatoire. Nous avons entré la formule =D6+D10 dans la cellule D11 pour calculer la date d’échéance à partir d’aujourd'hui.
</t>
  </si>
  <si>
    <t xml:space="preserve">BON À SAVOIR
Pour représenter les dates, Excel compte le nombre de jours écoulés depuis le 1er janvier 1900. Les heures sont exprimées en fractions de journée basées sur le nombre de minutes. Par exemple, 1/01/2017 12:30 est représenté sous la forme suivante : 42736.5208. Si l’heure ou la date apparaissent sous cette forme, vous pouvez appuyer sur Ctrl+1 &gt; Nombre &gt; et sélectionner un format de Date ou d’Heure. </t>
  </si>
  <si>
    <t>Date du jour :</t>
  </si>
  <si>
    <t xml:space="preserve">DÉTAIL IMPORTANT
Si vous n’avez pas encore entré votre date d’anniversaire, vous pouvez utiliser une fonction SI telle que celle-ci pour empêcher Excel d’afficher un nombre négatif : =SI(D7="";"";D7-D6), ce qui signifie « SI D7 n’est égal à rien, ne rien afficher, sinon afficher D7 moins D6 ».
</t>
  </si>
  <si>
    <t>Votre anniversaire :</t>
  </si>
  <si>
    <t>Fonctions d’heure</t>
  </si>
  <si>
    <t>Jours restants avant votre anniversaire :</t>
  </si>
  <si>
    <t xml:space="preserve">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
</t>
  </si>
  <si>
    <t xml:space="preserve">Dans la cellule D28, entrez =MAINTENANT(). Cette fonction renvoie l’heure actuelle et se met à jour à chaque calcul d’Excel. Pour changer le format d’heure, accédez à Ctrl+1 &gt; Nombre &gt; Heure &gt; et sélectionnez le format souhaité.
</t>
  </si>
  <si>
    <t>Délai de grâce (en jours) :</t>
  </si>
  <si>
    <t xml:space="preserve">Additionner des heures : à la cellule D36, nous avons entré la formule =((D35-D32)-(D34-D33))*24,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Accueil &gt; Format &gt; Cellules (Ctrl+1) &gt; Nombre &gt; Nombre &gt; 2 décimales.
</t>
  </si>
  <si>
    <t>Date d’échéance de la facture :</t>
  </si>
  <si>
    <t>Si cette formule pouvait parler, elle dirait ceci : « Prendre l’Heure d’arrivée et l’Heure de départ, puis soustraire les heures de Début de déjeuner/Fin de déjeuner, et multiplier celles-ci par 24 pour convertir le temps fractionné d’Excel en heures », ou =((Heure de départ-Heure d’arrivée)-(Fin du déjeuner-Début du déjeuner))*24.</t>
  </si>
  <si>
    <t>À propos de la fonction AUJOURDHUI</t>
  </si>
  <si>
    <t>À propos de la fonction MAINTENANT</t>
  </si>
  <si>
    <t>À propos de la fonction DATE</t>
  </si>
  <si>
    <t>Heure actuelle :</t>
  </si>
  <si>
    <t>Heures de travail quotidiennes</t>
  </si>
  <si>
    <t>Heure d’arrivée :</t>
  </si>
  <si>
    <t>Début du déjeuner :</t>
  </si>
  <si>
    <t>Fin du déjeuner :</t>
  </si>
  <si>
    <t>Heure de départ :</t>
  </si>
  <si>
    <t>Nombre total d’heures :</t>
  </si>
  <si>
    <t>Date et heure statiques</t>
  </si>
  <si>
    <t>Date :</t>
  </si>
  <si>
    <t>Heure :</t>
  </si>
  <si>
    <t>Combiner du texte à partir de différentes cellules</t>
  </si>
  <si>
    <t xml:space="preserve">Dans Excel, il est souvent utile de combiner du texte réparti dans des cellules différentes. Cet exemple est très courant : vous disposez de prénoms et de noms que vous souhaitez combiner sous la forme « Prénom, Nom » ou « Nom complet ». Pour ce faire, vous pouvez utiliser le signe esperluette (&amp;).
</t>
  </si>
  <si>
    <t>Prénom</t>
  </si>
  <si>
    <t>Nom</t>
  </si>
  <si>
    <t>Nom, Prénom</t>
  </si>
  <si>
    <t>Nom complet</t>
  </si>
  <si>
    <t xml:space="preserve">Dans la cellule E3, entrez =D3&amp;C3 pour combiner les noms et prénoms. 
</t>
  </si>
  <si>
    <t>Nicole</t>
  </si>
  <si>
    <t>Durand</t>
  </si>
  <si>
    <t xml:space="preserve">Cela dit, la forme DurandNicole n’est pas idéale. Une virgule et un espace doivent être ajoutés. Pour ce faire, nous allons utiliser des guillemets afin de créer une nouvelle chaîne de texte. Cette fois, entrez =D3&amp;", "&amp;C3. La portion &amp;", "&amp; nous permet d’ajouter une virgule et un espace au texte des cellules.
</t>
  </si>
  <si>
    <t>Roger</t>
  </si>
  <si>
    <t>Neurisse</t>
  </si>
  <si>
    <t xml:space="preserve">Pour créer le nom complet, nous allons combiner le prénom et le nom, mais utiliser un espace sans virgule. Dans la cellule F3, entrez =C3&amp;" "&amp;D3.
</t>
  </si>
  <si>
    <t>Jean</t>
  </si>
  <si>
    <t>Michelet</t>
  </si>
  <si>
    <t>Marie</t>
  </si>
  <si>
    <t>Jamet</t>
  </si>
  <si>
    <t>Stéphane</t>
  </si>
  <si>
    <t>Tessier</t>
  </si>
  <si>
    <t>Combiner du texte et des nombres</t>
  </si>
  <si>
    <t>Raymond</t>
  </si>
  <si>
    <t>Normand</t>
  </si>
  <si>
    <t>Nous allons maintenant utiliser le symbole &amp; pour combiner du texte et des nombres.
Examinez les cellules C28:D29. Comme vous pouvez le constater, la date et l’heure figurent dans des cellules distinctes. Vous pouvez les combiner avec le symbole &amp;,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TEXTE et un code de format.</t>
  </si>
  <si>
    <t>Robert</t>
  </si>
  <si>
    <t>Troyat</t>
  </si>
  <si>
    <t xml:space="preserve">Dans la cellule C36, entrez =C28&amp;" "&amp;TEXTE(D28;"JJ/MM/AAAA"). JJ/MM/AAAA correspond au code de format français Jour/Mois/Année, par exemple 25/09/2017.
</t>
  </si>
  <si>
    <t>Yvonne</t>
  </si>
  <si>
    <t>Martin</t>
  </si>
  <si>
    <t xml:space="preserve">Dans la cellule C37, entrez =C29&amp;" "&amp;TEXTE(D29;"H:MM"). H:MM correspond au code de format français Heures:Minutes, par exemple 13:30.
</t>
  </si>
  <si>
    <t>ESSAYEZ ÇA
Les formules sont parfois difficiles à lire, en particulier lorsqu’elles sont longues, mais vous pouvez séparer des portions de celles-ci à l’aide d’espaces, comme dans l’exemple suivant :
=C28 &amp; " " &amp; TEXTE(D28;"JJ/MM/AAAA")</t>
  </si>
  <si>
    <t>À APPROFONDIR
Si vous ne savez pas quel code de format utiliser, vous pouvez utiliser Ctrl+1 &gt; Nombre pour appliquer le format de votre choix à une cellule. Sélectionnez ensuite l’option Personnalisé. Vous pouvez alors copier le code de format affiché dans votre formule.</t>
  </si>
  <si>
    <t>À propos de la fonction TEXTE</t>
  </si>
  <si>
    <t>Utiliser du texte et des nombres</t>
  </si>
  <si>
    <t>Mise en forme de texte et de nombres</t>
  </si>
  <si>
    <t>Instructions SI</t>
  </si>
  <si>
    <t>Les instructions SI vous permettent d’établir des comparaisons logiques entre les conditions. Une instruction SI dit généralement ceci : si une condition est vraie, faire telle chose. Sinon, faire autre chose. Les formules peuvent renvoyer du texte, des valeurs ou d’autres calculs.</t>
  </si>
  <si>
    <t xml:space="preserve">Dans la cellule D9, entrez =SI(C9="Pomme";VRAI;FAUX). La bonne réponse est VRAI. 
</t>
  </si>
  <si>
    <t xml:space="preserve">Copiez le contenu de la cellule D9 dans la cellule D10. La réponse est FAUX car une orange n’est pas une pomme.
</t>
  </si>
  <si>
    <t xml:space="preserve">Prenons un autre exemple : examinez la cellule D12. Nous y avons entré la formule =SI(C12&lt;100;"Inférieur à 100";"Supérieur ou égal à 100"). Que se passe-t-il si vous entrez un nombre supérieur à 100 dans la cellule C12 ?
</t>
  </si>
  <si>
    <t>DÉTAIL IMPORTANT
Contrairement à d’autres termes employés dans les formules Excel, il n’est pas nécessaire de mettre VRAI et FAUX entre guillemets, et Excel les met automatiquement en majuscules. Il n’est pas non plus nécessaire de mettre les chiffres entre guillemets. Les termes ou expressions ordinaires, tels que Oui ou Non doivent être mis entre guillemets. Par exemple : 
=SI(C9="Pomme";"Oui";"Non")</t>
  </si>
  <si>
    <t>Association de l’instruction SI et d’une autre fonction</t>
  </si>
  <si>
    <t>Pomme</t>
  </si>
  <si>
    <t xml:space="preserve">Les instructions SI peuvent également forcer l’exécution de calculs supplémentaires si une condition donnée est remplie. Nous allons ici évaluer une cellule pour déterminer si une taxe doit s’appliquer à la vente, et calculer celle-ci si la condition est vraie.
</t>
  </si>
  <si>
    <t>Orange</t>
  </si>
  <si>
    <t>À la cellule F33, nous avons entré la formule =SI(E33="Oui";F31*TaxVente;0), dans laquelle nous avons configuré TaxeVente en tant que plage nommée avec une valeur de 0,0825. Notre formule dit ceci : si la cellule E33 est égale à Oui, multiplier la cellule F31 par TaxeVente, sinon retourner 0.
Remplacez Oui par Non dans la cellule E33 et vous constaterez que le résultat change.</t>
  </si>
  <si>
    <t xml:space="preserve">Nous avons ensuite ajouté une instruction SI pour calculer les frais de port, si ceux-ci s’appliquent. La cellule F35 contient la formule =SI(E35="Oui";SOMME(D28:D29)*1,25;0). Cette formule signifie ceci : « Si la cellule E35 est Oui, calculer la somme de la colonne Quantité du tableau ci-dessus, puis la multiplier par 1,25, sinon retourner 0 ».
</t>
  </si>
  <si>
    <t xml:space="preserve">Ensuite, dans la formule de la cellule F35, remplacez 1,25 par "Frais de port". Lorsque vous commencez à taper les premières lettres, la fonction de correction automatique d’Excel affiche le terme pour vous. Appuyez alors sur Tab pour entrer ce terme. Il s’agit d’une plage nommée, que nous avons entrée à partir de Formules &gt; Définir un nom. Désormais, si vous souhaitez modifier vos frais de port, il vous suffira de les changer à un seul emplacement, et vous pourrez ensuite réutiliser le terme Frais de port n’importe où dans le classeur.
</t>
  </si>
  <si>
    <t>BON À SAVOIR
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F2 pour modifier la formule.</t>
  </si>
  <si>
    <t xml:space="preserve">CONSEIL D’EXPERT
Les plages nommées vous permettent de définir des termes ou valeurs à un emplacement, puis de les réutiliser à d’autres emplacements du classeur. Pour afficher toutes les plages nommées de ce classeur, accédez à Formules &gt; Gestionnaire de noms. Cliquez ici pour en savoir plus.
</t>
  </si>
  <si>
    <t>À propos de la fonction SI</t>
  </si>
  <si>
    <t>À propos de la fonction SI.CONDITIONS</t>
  </si>
  <si>
    <t>Instructions SI avancées</t>
  </si>
  <si>
    <t>Coût</t>
  </si>
  <si>
    <t>Machin</t>
  </si>
  <si>
    <t>Bidule</t>
  </si>
  <si>
    <t>Sous-total</t>
  </si>
  <si>
    <t>Taxe de vente ?</t>
  </si>
  <si>
    <t>Oui</t>
  </si>
  <si>
    <t>Frais de port ?</t>
  </si>
  <si>
    <t>RECHERCHEV</t>
  </si>
  <si>
    <t xml:space="preserve">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
</t>
  </si>
  <si>
    <t>Que voulez-vous rechercher ?</t>
  </si>
  <si>
    <t>Si vous trouvez ce que vous recherchez, à combien de colonnes sur la droite voulez-vous afficher une valeur ?</t>
  </si>
  <si>
    <t>Où voulez-vous effectuer la recherche ?</t>
  </si>
  <si>
    <t>Souhaitez-vous obtenir une correspondance parfaite ou approximative ?</t>
  </si>
  <si>
    <t xml:space="preserve">Dans la cellule D22, entrez =RECHERCHEV(C22;C17:D20;2;FAUX). Pour l’article Pommes, la bonne réponse est 50. RECHERCHEV a recherché l’article Pommes puis, après l’avoir trouvé, est passé à la colonne de droite et a renvoyé le nombre correspondant.
</t>
  </si>
  <si>
    <t xml:space="preserve">Faites maintenant un essai avec la section Viande, à la cellule G22. Vous devez obtenir la formule suivante : =RECHERCHEV(F22;F17:G20;2;FAUX).
</t>
  </si>
  <si>
    <t>EXPÉRIMENTEZ
Essayez de sélectionner différents éléments dans les listes déroulantes. Vous verrez alors que les cellules de résultat affichent instantanément de nouvelles valeurs.</t>
  </si>
  <si>
    <t>RECHERCHEV et #N/A</t>
  </si>
  <si>
    <t xml:space="preserve">Parfois, la fonction RECHERCHEV ne trouve pas ce que vous recherchez et renvoie une erreur (#N/A). Cette erreur peut être due à l’une des deux causes suivantes : la valeur recherchée n’existe pas ou la cellule de référence ne comporte encore aucune valeur.
</t>
  </si>
  <si>
    <t xml:space="preserve">Si vous savez que la valeur recherchée existe et souhaitez masquer l’erreur lorsque la cellule de recherche est vide, vous pouvez utiliser une instruction SI. Nous allons encapsuler la formule RECHERCHEV de la cellule D43 comme ceci :
=SI(C43="";"";RECHERCHEV(C43;C37:D41;2;FAUX))
Cette formule signifie : si la cellule C43 n’est égale à rien (""), ne rien renvoyer, sinon renvoyer les résultats de la fonction RECHERCHEV. Notez que nous avons ajouté une deuxième parenthèse fermante à la fin de la formule. Celle-ci ferme l’instruction SI.
</t>
  </si>
  <si>
    <t xml:space="preserve">Si vous n’êtes pas sûr de l’existence de la valeur recherchée mais que vous souhaitez malgré tout supprimer l’erreur #N/A, vous pouvez utiliser une fonction de gestion d’erreur SIERREUR à la cellule G43 : =SIERREUR(RECHERCHEV(F43;F37:G41;2;FAUX);""). La fonction SIERREUR signifie ceci : si la fonction RECHERCHEV renvoie un résultat valide, l’afficher, sinon ne rien afficher (""). Nous n’avons ici rien affiché (""), mais vous pouvez également utiliser des chiffres (0,1, 2, etc.) ou du texte (par exemple, « La formule est incorrecte »).
</t>
  </si>
  <si>
    <t>DÉTAIL IMPORTANT
La fonction SIERREUR 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
En règle générale, il est préférable de ne pas ajouter de gestionnaires d’erreurs à vos formules tant que vous n’êtes pas absolument certain qu’elles fonctionnent correctement.</t>
  </si>
  <si>
    <t>À propos de la fonction RECHERCHEV</t>
  </si>
  <si>
    <t>À propos des fonctions INDEX/EQUIV</t>
  </si>
  <si>
    <t>À propos de la fonction SIERREUR</t>
  </si>
  <si>
    <t>Utiliser un tableau croisé dynamique pour analyser les données d’une feuille de calcul</t>
  </si>
  <si>
    <t>Si la fonction SOMME de la cellule D42 pouvait parler, voici ce qu’elle dirait : Additionner les valeurs des cellules D38, D39, D40 et D41.</t>
  </si>
  <si>
    <t>Pâtisserie</t>
  </si>
  <si>
    <t>Fonctions conditionnelles - SOMME.SI</t>
  </si>
  <si>
    <t>Les fonctions conditionnelles vous permettent d’additionner, de calculer la moyenne, de compter ou d’obtenir les valeurs minimum ou maximum d’une plage par rapport à une condition donnée ou en fonction de critères que vous spécifiez. Par exemple, parmi tous les fruits de la liste, combien correspondent à des pommes ? Ou, combien d’oranges appartiennent au type Floride ?</t>
  </si>
  <si>
    <t>Type</t>
  </si>
  <si>
    <t>SOMME.SI vous permet d’additionner une plage d’après un critère spécifique recherché dans une autre plage, par exemple le nombre de pommes dont vous disposez. Sélectionnez la cellule D17 et entrez =SOMME.SI(C3:C14;C17;D3:D14). La structure de la fonction SOMME.SI est la suivante :</t>
  </si>
  <si>
    <t>Fuji</t>
  </si>
  <si>
    <t>Floride</t>
  </si>
  <si>
    <t>Cavendish</t>
  </si>
  <si>
    <t>Rough</t>
  </si>
  <si>
    <t>Honeycrisp</t>
  </si>
  <si>
    <t>Navel</t>
  </si>
  <si>
    <t>Lady Finger</t>
  </si>
  <si>
    <t>Eureka</t>
  </si>
  <si>
    <t>Quelle plage voulez-vous examiner ?</t>
  </si>
  <si>
    <t>Quelle valeur (texte ou nombre) voulez-vous rechercher ?</t>
  </si>
  <si>
    <t>Pour chaque correspondance trouvée, quelle plage voulez-vous additionner ?</t>
  </si>
  <si>
    <t xml:space="preserve">SOMME.SI.ENS est identique à SOMME.SI, si ce n’est qu’elle vous permet d’utiliser plusieurs critères. Par exemple, vous pouvez ici effectuer une recherche sur les critères Fruits et Type, et pas seulement sur Fruits. Sélectionnez la cellule H17 et entrez =SOMME.SI.ENS(H3:H14;F3:F14;F17;G3:G14;G17). La structure de la fonction SOMME.SI.ENS est la suivante :
</t>
  </si>
  <si>
    <t>Quelle plage voulez-vous additionner ?</t>
  </si>
  <si>
    <t>Première plage à examiner pour rechercher des correspondances</t>
  </si>
  <si>
    <t>Critère de la première correspondance</t>
  </si>
  <si>
    <t>Deuxième plage à examiner pour rechercher des correspondances</t>
  </si>
  <si>
    <t>Critère de la deuxième correspondance</t>
  </si>
  <si>
    <t>CONSEIL D’EXPERT
Chacune des cellules Fruits et Type s’accompagne d’une liste déroulante dans laquelle vous pouvez sélectionner différents fruits. Faites un essai et vous verrez que les formules se mettent automatiquement à jour.</t>
  </si>
  <si>
    <t>SOMME.SI</t>
  </si>
  <si>
    <t>SOMME.SI.ENS</t>
  </si>
  <si>
    <t>Fonctions conditionnelles - NB.SI</t>
  </si>
  <si>
    <t>Les fonctions NB.SI et NB.SI.ENS vous permettent de compter les valeurs d’une plage en utilisant le critère de votre choix. Elles sont un peu différentes des autres fonctions SI et SI.CONDITIONS car elles comportent uniquement une plage de critères et un critère. Elles n’évaluent pas une plage pour examiner ensuite une autre plage à synthétiser.</t>
  </si>
  <si>
    <t>Sélectionnez la cellule D64 et entrez =NB.SI(C50:C61;C64). La structure de la fonction NB.SI est la suivante :</t>
  </si>
  <si>
    <t xml:space="preserve">La fonction NB.SI.ENS est identique à SOMME.SI, si ce n’est qu’elle vous permet d’utiliser plusieurs critères. Par exemple, vous pouvez ici effectuer une recherche sur les critères Fruits et Type, et pas seulement sur Fruits. Sélectionnez la cellule H64 et entrez =NB.SI.ENS(F50:F61;F64;G50:G61;G64). La structure de la fonction NB.SI.ENS est la suivante :
</t>
  </si>
  <si>
    <t>Première plage à compter</t>
  </si>
  <si>
    <t>Deuxième plage à compter</t>
  </si>
  <si>
    <t>Autres fonctions conditionnelles</t>
  </si>
  <si>
    <t>Maintenant que vous connaissez les fonctions SOMME.SI, SOMME.SI.ENS, NB.SI et NB.SI.ENS, vous pouvez essayer d’autres fonctions, telles que MOYENNE.SI, MOYENNE.SI.ENS, MAX.SI.ENS et MIN.SI.ENS. 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
SOMME.SI 	=SOMME.SI(C92:C103;C106;E92:E103) 
SOMME.SI.ENS 	=SOMME.SI.ENS(E92:E103;C92:C103;C106;D92:D103;D106) 
MOYENNE.SI 	=MOYENNE.SI(C92:C103;C106;E92:E103) 
MOYENNE.SI.ENS 	=MOYENNE.SI.ENS(E92:E103;C92:C103;C106;D92:D103;D106)
NB.SI 		=NB.SI(C92:C103;C106)
NB.SI.ENS	 =NB.SI.ENS(C92:C103;C106;D92:D103;D106) 
MAX.SI.ENS 	=MAX.SI.ENS(E92:E103;C92:C103;C10;D92:D103;D106)
MIN.SI.ENS 	=MIN.SI.ENS(E92:E103;C92:C103;C106;D92:D103;D106)</t>
  </si>
  <si>
    <t>SOMME.SI avec un argument de valeur</t>
  </si>
  <si>
    <t>Voici un exemple de fonction SOMME.SI associée à l’opérateur Supérieur à (&gt;) pour trouver toutes les valeurs supérieures à un nombre donné :</t>
  </si>
  <si>
    <t>Additionner certaines valeurs en fonction de ce critère :</t>
  </si>
  <si>
    <t>...Examiner ces cellules...
 </t>
  </si>
  <si>
    <t>...et si la valeur est supérieure à 50, l’additionner.
 </t>
  </si>
  <si>
    <t>REMARQUE : si vous utilisez beaucoup de formules conditionnelles, un tableau croisé dynamique peut être une solution plus adaptée. Pour plus d’informations, consultez cet article consacré aux tableaux croisés dynamiques.</t>
  </si>
  <si>
    <t>À propos de la fonction SOMME.SI</t>
  </si>
  <si>
    <t>À propos de la fonction SOMME.SI.ENS</t>
  </si>
  <si>
    <t>À propos de la fonction NB.SI</t>
  </si>
  <si>
    <t>À propos de la fonction NB.SI.ENS</t>
  </si>
  <si>
    <t>À propos de la fonction MOYENNE.SI</t>
  </si>
  <si>
    <t>À propos de la fonction MOYENNE.SI.ENS</t>
  </si>
  <si>
    <t>À propos de la fonction MIN.SI.ENS</t>
  </si>
  <si>
    <t>À propos de la fonction MAX.SI.ENS</t>
  </si>
  <si>
    <t>Créer une liste déroulante</t>
  </si>
  <si>
    <t>NB.SI</t>
  </si>
  <si>
    <t>NB.SI.ENS</t>
  </si>
  <si>
    <t>Essayez par vous-même</t>
  </si>
  <si>
    <t>Tourtes</t>
  </si>
  <si>
    <t>Laissez-vous guider par l’Assistant Fonction</t>
  </si>
  <si>
    <t xml:space="preserve">Si vous connaissez le nom de la fonction que vous souhaitez utiliser, mais que vous ne savez pas comment la créer, vous pouvez utiliser l’Assistant Fonction pour vous aider.
</t>
  </si>
  <si>
    <t xml:space="preserve">Sélectionnez la cellule D10, accédez à Formules &gt; Insérer une fonction &gt; entrez RECHERCHEV dans la zone Rechercher une fonction, puis appuyez sur OK. Lorsque RECHERCHEV est en surbrillance, cliquez sur OK, en bas du formulaire. Lorsque vous sélectionnez une fonction dans la liste, Excel affiche sa syntaxe.
</t>
  </si>
  <si>
    <t xml:space="preserve">Entrez ensuite les arguments de la fonction dans leurs zones de texte respectives. À mesure que vous entrez les arguments, Excel les évalue et affiche leur résultat, avec le résultat final en bas du formulaire. À mesure que vous complétez les sections, les critères de chaque argument apparaissent en bas du formulaire. Lorsque vous avez terminé, appuyez sur OK, et Excel entrera automatiquement la formule.
</t>
  </si>
  <si>
    <t>ESSAYEZ ÇA
Vous devez obtenir la formule suivante : =RECHERCHEV(C10;C5:D8;2;FAUX).</t>
  </si>
  <si>
    <t>BON À SAVOIR
Vous pouvez entrer manuellement les références de cellule et de plage, ou les sélectionner avec la souris.</t>
  </si>
  <si>
    <t xml:space="preserve">BON À SAVOIR
Lorsque vous entrez la section de chaque argument, la description de l’argument s’affiche en bas du formulaire, au-dessus du résultat de la formule.
</t>
  </si>
  <si>
    <t>Fonctions Excel (par catégorie)</t>
  </si>
  <si>
    <t>Fonctions Excel (par ordre alphabétique)</t>
  </si>
  <si>
    <t>Résoudre les erreurs présentes dans les formules</t>
  </si>
  <si>
    <t xml:space="preserve">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t>
  </si>
  <si>
    <t xml:space="preserve">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t>
  </si>
  <si>
    <t xml:space="preserve">Cliquez sur Aide sur cette erreur pour ouvrir la rubrique d’aide correspondant à ce message d’erreur. Cliquez sur Afficher les étapes du calcul pour ouvrir la boîte de dialogue Évaluation de formule.
</t>
  </si>
  <si>
    <t xml:space="preserve">Chaque fois que vous cliquez sur Évaluer, Excel examine la formule section par section. Excel ne vous indiquera pas forcément pourquoi l’erreur s’est produite, mais il vous signalera d’où elle vient. À partir de là, consultez la rubrique d’aide pour tenter de déterminer la cause de l’erreur.
</t>
  </si>
  <si>
    <t>EXPÉRIMENTEZ
Quel est le problème ici ? Astuce : l’objectif est d’additionner tous les articles à l’aide de la fonction SOMME.</t>
  </si>
  <si>
    <t xml:space="preserve">BON À SAVOIR
Cliquez sur Options pour définir les règles permettant d’afficher ou d’ignorer les erreurs dans Excel.
</t>
  </si>
  <si>
    <t>Détecter les erreurs dans les formules</t>
  </si>
  <si>
    <t>Comment éviter les formules incorrectes</t>
  </si>
  <si>
    <t>Évaluer une formule imbriquée étape par étape</t>
  </si>
  <si>
    <t>Exemple de quelques formules avec l'extrait d'une fiche recette ci-dessous</t>
  </si>
  <si>
    <t>Comment insérer des émojis avec la formule UNICAR() d’Excel</t>
  </si>
  <si>
    <t>Fonction UNICAR(HEXDEC("1F414"))</t>
  </si>
  <si>
    <t xml:space="preserve">en changeant les chiffres </t>
  </si>
  <si>
    <t>vous obtenez des représentations différentes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</si>
  <si>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</si>
  <si>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</si>
  <si>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</si>
  <si>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</si>
  <si>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</si>
  <si>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</si>
  <si>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</si>
  <si>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</si>
  <si>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</si>
  <si>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</si>
  <si>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</si>
  <si>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</si>
  <si>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</si>
  <si>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</si>
  <si>
    <t>Les seringues (archive supprimée du net)</t>
  </si>
  <si>
    <t>Les étiquettes (archive supprimée du net)</t>
  </si>
  <si>
    <t>Le verre mesureur (archive supprimée du net)</t>
  </si>
  <si>
    <t>Comment faire fonctionner des sites et jeux Flash Player à partir de 2021 ?</t>
  </si>
  <si>
    <t>Comment faire pour visualiser de vieux sites web et jeux qui utilisaient Flash Player, et par quoi puis-je remplacer Flash Player à partir de 2021 ?</t>
  </si>
  <si>
    <t>répondu par Nico 16-Janvier-2021</t>
  </si>
  <si>
    <t>La société Adobe ne propose plus de télécharger son lecteur Flash et les nouvelles mises à jour de nos navigateurs internet suppriment les anciennes versions de Flash Player.</t>
  </si>
  <si>
    <t>L'une des alternatives pour utiliser Flash Player à partir de 2021 est d'installer un émulateur Flash. Le plus connu et plébiscité est Ruffle. Il peut fonctionner en version seule, ou sous la forme d'une extension pour navigateur Web.</t>
  </si>
  <si>
    <r>
      <t>Pour installer Ruffle sur Google Chrome, et faire fonctionner des sites web et jeu Flash</t>
    </r>
    <r>
      <rPr>
        <sz val="12"/>
        <color rgb="FF34495E"/>
        <rFont val="Arial"/>
        <family val="2"/>
      </rPr>
      <t>, procédez comme suit :</t>
    </r>
  </si>
  <si>
    <t>Télécharger l'extension Ruflle pour Chrome.</t>
  </si>
  <si>
    <t>Décompressez le dossier.</t>
  </si>
  <si>
    <t>Ouvrez Chrome et allez à l'adresse ci-après.</t>
  </si>
  <si>
    <t>Activez le mode développeur.</t>
  </si>
  <si>
    <t>Cliquez sur Charger l'extension non empaquetée.</t>
  </si>
  <si>
    <t>Sélectionnez le dossier Ruffle décompressée.</t>
  </si>
  <si>
    <t>Adresse à saisir dans la barre d'adresse de Chrome :</t>
  </si>
  <si>
    <t>https://www.1formatik.com/6170/comment-faire-fonctionner-sites-jeux-flash-player-partir-2021</t>
  </si>
  <si>
    <t>Comment lire les animations flash player (après le 14 Janvier 2021)</t>
  </si>
  <si>
    <t>https://www.youtube.com/watch?v=jG3oPspSPyM</t>
  </si>
  <si>
    <t>Comment lire vos animations flash en 2021 sans adode flash player</t>
  </si>
  <si>
    <t>https://www.youtube.com/watch?v=biRF6Nnpa-4</t>
  </si>
  <si>
    <t>Vous n'arrivez plus à lire vos animations flash, pas de soucis je vous propose une méthode qui va résoudre votre problème.</t>
  </si>
  <si>
    <t xml:space="preserve">Je vous mets le lien de téléchargement du logiciel permettant de lire vos animations: </t>
  </si>
  <si>
    <t xml:space="preserve">Ce fichier fonctionne pour les systèmes d'exploitation de Windows </t>
  </si>
  <si>
    <t xml:space="preserve">Bon courage </t>
  </si>
  <si>
    <t>https://drive.google.com/file/d/1K7ut…</t>
  </si>
  <si>
    <t>Exercices sur la conversion des volumes</t>
  </si>
  <si>
    <t>https://www.youtube.com/watch?v=exqLsCla_X4</t>
  </si>
  <si>
    <t>cours mesure volume masse</t>
  </si>
  <si>
    <t>https://www.youtube.com/watch?v=qESfTUVs-rM</t>
  </si>
  <si>
    <t>Comment travailler devant son ordinateur sans risques pour sa santé?</t>
  </si>
  <si>
    <t>Lire du contenu en Flash hors ligne avec Flash Player</t>
  </si>
  <si>
    <t>https://www.youtube.com/watch?v=27d8EVtxfmc</t>
  </si>
  <si>
    <t>Pourquoi remplacer au plus vite votre site en Flash ? (sérieusement)</t>
  </si>
  <si>
    <t>https://www.youtube.com/watch?v=lpEcWRivwBM</t>
  </si>
  <si>
    <t>Comment ouvrir un fichier SWF | Méthodes d'ouverture de fichier .SWF</t>
  </si>
  <si>
    <t>https://fr.myservername.com/how-open-swf-file</t>
  </si>
  <si>
    <t>http://matoumatheux.mschpff.eu/liens.html</t>
  </si>
  <si>
    <t>Le sirop de menthe (fraction) archive supprimée du net</t>
  </si>
  <si>
    <t>Le cocktail verger (fractions 6e) archive supprimée du net</t>
  </si>
  <si>
    <t>Le cocktail banane  (fractions 6e) archive supprimée du net</t>
  </si>
  <si>
    <t> Le cocktail rouge  (fractions 6e) archive supprimée du net</t>
  </si>
  <si>
    <t>Comment lire vos animations flash en 2021 sans adode flash player voir l'onglet Adobe.Flash.Player</t>
  </si>
  <si>
    <t>JOURS FÉRIÉS</t>
  </si>
  <si>
    <t>PLANNING MENSUEL DE JOURS OUVRÉS</t>
  </si>
  <si>
    <t>UTILE</t>
  </si>
  <si>
    <t>Date à afficher sur le calendrier</t>
  </si>
  <si>
    <t>Date fériée</t>
  </si>
  <si>
    <t>Libellé</t>
  </si>
  <si>
    <t>Jour</t>
  </si>
  <si>
    <t>Mois</t>
  </si>
  <si>
    <t>Date</t>
  </si>
  <si>
    <t>MOIS</t>
  </si>
  <si>
    <t>F3</t>
  </si>
  <si>
    <t>=DATE(G3;G2;1)</t>
  </si>
  <si>
    <t>Calcul du jour de la semaine</t>
  </si>
  <si>
    <t>Jour de l'An</t>
  </si>
  <si>
    <t>ANNÉE</t>
  </si>
  <si>
    <t>Pâques</t>
  </si>
  <si>
    <t>F4</t>
  </si>
  <si>
    <t>=SI(ESTTEXTE(F7);"";SI(JOUR(F7+1)=1;"";F7+1))</t>
  </si>
  <si>
    <t>Lundi de Pâques</t>
  </si>
  <si>
    <t>récup</t>
  </si>
  <si>
    <t>Question :</t>
  </si>
  <si>
    <t>Quel jour de la semaine tombe la date demandée ?</t>
  </si>
  <si>
    <t>Fête du Travail</t>
  </si>
  <si>
    <t>DATES</t>
  </si>
  <si>
    <t>P R É V I S I O N S</t>
  </si>
  <si>
    <t>Victoire 1945</t>
  </si>
  <si>
    <t>Ascension</t>
  </si>
  <si>
    <t>SAISIE DE LA DATE</t>
  </si>
  <si>
    <t>Pentecôte</t>
  </si>
  <si>
    <t>finir projet N° 1</t>
  </si>
  <si>
    <t>Lundi Pentecôte</t>
  </si>
  <si>
    <t>Cette date tombe un</t>
  </si>
  <si>
    <t>Fête Nationale</t>
  </si>
  <si>
    <t>Assomption</t>
  </si>
  <si>
    <t>Toussaint</t>
  </si>
  <si>
    <t>Jours de la semaine</t>
  </si>
  <si>
    <t>Armistice</t>
  </si>
  <si>
    <t>Dimanche</t>
  </si>
  <si>
    <t>Noël</t>
  </si>
  <si>
    <t>Lundi</t>
  </si>
  <si>
    <t>Mardi</t>
  </si>
  <si>
    <t>Jour : Veuillez saisir le jour des dates à inscrire sur le calendrier</t>
  </si>
  <si>
    <t>Mercredi</t>
  </si>
  <si>
    <t>Jeudi</t>
  </si>
  <si>
    <t>Mois : Veuillez saisir le mois des dates à inscrire sur le calendrier</t>
  </si>
  <si>
    <t>Vendredi</t>
  </si>
  <si>
    <t>Samedi</t>
  </si>
  <si>
    <t>La fonction NB.SI: 16 exemples d'utilisation</t>
  </si>
  <si>
    <t>http://formations-excel.blogspot.com/2017/04/la-fonction-nbsi-16-exemples.html</t>
  </si>
  <si>
    <t>&lt; Total jours</t>
  </si>
  <si>
    <t xml:space="preserve">Format heure personnalisé &gt; [h]"H"mm </t>
  </si>
  <si>
    <t>qui peut apparaitre comme ceci dans la barre de formules&gt; 05/01/1900  08:35:00</t>
  </si>
  <si>
    <t>la saisie se fait en saisissant le nombre d'heure [h]"H"mm</t>
  </si>
  <si>
    <r>
      <rPr>
        <b/>
        <sz val="10"/>
        <rFont val="Arial"/>
        <family val="2"/>
      </rPr>
      <t>avec  les 2 points superposés de séparation :</t>
    </r>
    <r>
      <rPr>
        <sz val="10"/>
        <rFont val="Arial"/>
        <family val="2"/>
      </rPr>
      <t xml:space="preserve"> suivi de deux zéros ou du nombre de minutes</t>
    </r>
  </si>
  <si>
    <t>Le contrat de travail de 39h</t>
  </si>
  <si>
    <t>https://www.legalplace.fr/guides/contrat-de-travail-39h/</t>
  </si>
  <si>
    <t>Nb de jours</t>
  </si>
  <si>
    <t xml:space="preserve"> de travail</t>
  </si>
  <si>
    <t>contrat:</t>
  </si>
  <si>
    <t>par semaine</t>
  </si>
  <si>
    <t>nombre de jour</t>
  </si>
  <si>
    <t>Heures/Jour</t>
  </si>
  <si>
    <t>Est-ce que les cadres ont des RTT ?</t>
  </si>
  <si>
    <t>Vous devriez faire:</t>
  </si>
  <si>
    <t>:</t>
  </si>
  <si>
    <t>RTT d'un cadre : application</t>
  </si>
  <si>
    <t xml:space="preserve">Les cadres qui ont signé une convention de forfait annuel en jours doivent effectuer 218 jours de travail par an au maximum. </t>
  </si>
  <si>
    <t>an précédent</t>
  </si>
  <si>
    <t>Au-delà de ces 218 jours de travail effectués, le cadre bénéficie de jours de RTT (récupération de temps de travail).</t>
  </si>
  <si>
    <t xml:space="preserve">A FAIRE </t>
  </si>
  <si>
    <t>POUR CETTE ANNÉE</t>
  </si>
  <si>
    <t>https://contrat-de-travail.ooreka.fr/astuce/voir/455663/rtt-d-un-cadre</t>
  </si>
  <si>
    <t>FAIT</t>
  </si>
  <si>
    <t>Nb jours</t>
  </si>
  <si>
    <t>Moyenne Heures/jours</t>
  </si>
  <si>
    <t>Format personnalisé</t>
  </si>
  <si>
    <t>Janvier</t>
  </si>
  <si>
    <t>Comment se calcul l'acquisition des RTT ?</t>
  </si>
  <si>
    <t>[h]"H"mm</t>
  </si>
  <si>
    <t>Février</t>
  </si>
  <si>
    <t>Notre salarié qui travaille 40 heures fait 5 heures supplémentaires (40 - 35) par rapport au seuil légal hebdomadaire de 35 heures, il a donc accès à des jours de RTT.</t>
  </si>
  <si>
    <t>Mars</t>
  </si>
  <si>
    <t xml:space="preserve"> Il effectue donc 5 x 45,8 = 229 heures supplémentaires par an. En travaillant 40 heures hebdomadaires, ce salarié travaille 40 / 5 = 8 heures par jour.</t>
  </si>
  <si>
    <t>Avril</t>
  </si>
  <si>
    <t>https://www.coover.fr/outils/calcul-rtt</t>
  </si>
  <si>
    <t>Mai</t>
  </si>
  <si>
    <t>Juin</t>
  </si>
  <si>
    <t>Est-ce que les RTT doivent figurer sur le contrat de travail ?</t>
  </si>
  <si>
    <t>Juillet</t>
  </si>
  <si>
    <t xml:space="preserve">Le plus souvent, un contrat de travail contient en plus des dispositions visées ci-dessus les clauses suivantes : </t>
  </si>
  <si>
    <t>Août</t>
  </si>
  <si>
    <t>Les horaires de travail. Les modalités d'application de la RTT. ... Une clause de non-concurrence.7 mai 2021</t>
  </si>
  <si>
    <t>Septembre</t>
  </si>
  <si>
    <t>https://www.justifit.fr/b/guides/droit-travail/contenu-du-contrat-de-travail/</t>
  </si>
  <si>
    <t>Octobre</t>
  </si>
  <si>
    <t>Novembre</t>
  </si>
  <si>
    <t>Quel contrat pour avoir des RTT ?</t>
  </si>
  <si>
    <t>Décembre</t>
  </si>
  <si>
    <t xml:space="preserve">Qui a droit aux réductions du temps de travail ? Les cadres qui travaillent au forfait jour peuvent bénéficier de jours de RTT, </t>
  </si>
  <si>
    <t>notamment lorsque le nombre de jours de repos dépasse le nombre de congés payés. Les autres salariés qui travaillent plus de 35 heures par semaine</t>
  </si>
  <si>
    <t>sous Total fait :</t>
  </si>
  <si>
    <t xml:space="preserve"> peuvent également y prétendre.10 juil. 2021</t>
  </si>
  <si>
    <t>https://www.eurecia.com/blog/conditions-des-jours-rtt/</t>
  </si>
  <si>
    <t>droit RTT</t>
  </si>
  <si>
    <t>Nombre de RTT pris</t>
  </si>
  <si>
    <t>Total fait (moins RTT) :</t>
  </si>
  <si>
    <t>format de saisie 12:20</t>
  </si>
  <si>
    <t>format personnalisé [h]"H":mm</t>
  </si>
  <si>
    <t>Equivalence jours</t>
  </si>
  <si>
    <t xml:space="preserve">Si cette formule pouvait parler, elle dirait ceci : </t>
  </si>
  <si>
    <t xml:space="preserve">« Prendre l’Heure d’arrivée et l’Heure de départ, puis soustraire les heures de Début de déjeuner/Fin de déjeuner, </t>
  </si>
  <si>
    <t xml:space="preserve">et multiplier celles-ci par 24 pour convertir le temps fractionné d’Excel en heures », </t>
  </si>
  <si>
    <t>ou =((Heure de départ-Heure d’arrivée)-(Fin du déjeuner-Début du déjeuner))*24.</t>
  </si>
  <si>
    <t>MARCEL 40H SEMAINE 2022</t>
  </si>
  <si>
    <t xml:space="preserve">l'entreprise vous devait </t>
  </si>
  <si>
    <t>Vous deviez   an précédent</t>
  </si>
  <si>
    <t>différence Portion et Poids</t>
  </si>
  <si>
    <t>Saisie des quantités</t>
  </si>
  <si>
    <t>Comprendre pour Transmettre</t>
  </si>
  <si>
    <t>Informations de base</t>
  </si>
  <si>
    <t>MOYENNE</t>
  </si>
  <si>
    <t>MIN et MAX</t>
  </si>
  <si>
    <t>Date et heure</t>
  </si>
  <si>
    <t>Jours ouvrés</t>
  </si>
  <si>
    <t>Combiner texte et nombres</t>
  </si>
  <si>
    <t>Fonctions conditionnelles</t>
  </si>
  <si>
    <t>Assistant Fonction</t>
  </si>
  <si>
    <t>Erreurs dans les formules</t>
  </si>
  <si>
    <t>Matou.Matheux</t>
  </si>
  <si>
    <t>Adobe.Flash.Player</t>
  </si>
  <si>
    <t>Plat en sauce en 5 étapes</t>
  </si>
  <si>
    <t xml:space="preserve">Boulangerie-comment : Les calculs en boulangerie </t>
  </si>
  <si>
    <t>relations formules</t>
  </si>
  <si>
    <t>Aides cuisine</t>
  </si>
  <si>
    <t>Aides patisserie</t>
  </si>
  <si>
    <t>Conversions</t>
  </si>
  <si>
    <t>Comparer des offres dans le cadre de marchés publics</t>
  </si>
  <si>
    <t>Vocabulaire professionnel</t>
  </si>
  <si>
    <t>" Franck Barbenoire " Le taux d'hydratation en boulangerie</t>
  </si>
  <si>
    <t>lorsque vous récupérez du texte ou des recettes sur le net supprimez les sigles ou informations "parasites"</t>
  </si>
  <si>
    <t>Comment copier les tableaux :</t>
  </si>
  <si>
    <t>Une numérotation avec couleur de police modifiable</t>
  </si>
  <si>
    <t>2</t>
  </si>
  <si>
    <t>3</t>
  </si>
  <si>
    <t>4</t>
  </si>
  <si>
    <t>5</t>
  </si>
  <si>
    <t>6</t>
  </si>
  <si>
    <t>7</t>
  </si>
  <si>
    <t>8</t>
  </si>
  <si>
    <t>9</t>
  </si>
  <si>
    <t>10</t>
  </si>
  <si>
    <t>11</t>
  </si>
  <si>
    <t>12</t>
  </si>
  <si>
    <t>13</t>
  </si>
  <si>
    <t>14</t>
  </si>
  <si>
    <t>15</t>
  </si>
  <si>
    <t>16</t>
  </si>
  <si>
    <t>17</t>
  </si>
  <si>
    <t>18</t>
  </si>
  <si>
    <t>19</t>
  </si>
  <si>
    <t>20</t>
  </si>
  <si>
    <t>cliquez sur la colonne  C et sélectionnez dans la barre le numéro qui vous intéresse</t>
  </si>
  <si>
    <t>des caractères spéciaux</t>
  </si>
  <si>
    <t>◄</t>
  </si>
  <si>
    <t>▲</t>
  </si>
  <si>
    <t>▼</t>
  </si>
  <si>
    <t>Φ</t>
  </si>
  <si>
    <t>Format | cellule | personnalisé | 0" cm³"</t>
  </si>
  <si>
    <t>ou copier-coller</t>
  </si>
  <si>
    <t>²</t>
  </si>
  <si>
    <t>Police Wingdings 3</t>
  </si>
  <si>
    <t>³</t>
  </si>
  <si>
    <t xml:space="preserve">Quelques format - formules et fonctions </t>
  </si>
  <si>
    <t>Mise à jour du 14 Décembre 2021</t>
  </si>
  <si>
    <t>pour vous aider dans la conception de vos documents</t>
  </si>
  <si>
    <t>des fonctions</t>
  </si>
  <si>
    <t>à copier</t>
  </si>
  <si>
    <t>Fonction</t>
  </si>
  <si>
    <t>Adresse colonne</t>
  </si>
  <si>
    <t>Page &amp;FEUILLE()&amp;" sur "&amp;FEUILLES()</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</si>
  <si>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</si>
  <si>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</si>
  <si>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Aide mémoire : sur une  Équivalence litre / Kg</t>
  </si>
  <si>
    <t>Ligne</t>
  </si>
  <si>
    <t xml:space="preserve">Récupérer le nom du dossier (sans le chemin complet) </t>
  </si>
  <si>
    <t>Copiez la cellule jaune puis collage spécial Valeurs 1 2 3 dans votre cellule et conservez "A1"</t>
  </si>
  <si>
    <t>1000 ml</t>
  </si>
  <si>
    <t>0</t>
  </si>
  <si>
    <t>Pour avoir le nom de l'onglet</t>
  </si>
  <si>
    <t>0.1Kg</t>
  </si>
  <si>
    <t>10 cl</t>
  </si>
  <si>
    <t>100 ml</t>
  </si>
  <si>
    <t xml:space="preserve">0 </t>
  </si>
  <si>
    <t>0.01Kg</t>
  </si>
  <si>
    <t>1 cl</t>
  </si>
  <si>
    <t>10ml</t>
  </si>
  <si>
    <t>0.001Kg</t>
  </si>
  <si>
    <t>0.1 cl</t>
  </si>
  <si>
    <t>1ml</t>
  </si>
  <si>
    <t>Pour avoir le nom du fichier</t>
  </si>
  <si>
    <t>1 gr = 0.002Kg  &gt; 2 zéros après la virgule du Kg</t>
  </si>
  <si>
    <t>Pour avoir le nom de l'onglet et du fichier</t>
  </si>
  <si>
    <t>Afficher les formules avec une fonction</t>
  </si>
  <si>
    <t>FORMULETEXTE(B2)</t>
  </si>
  <si>
    <t>Copiez la cellule jaune puis collage spécial Valeurs 1 2 3 dans votre cellule et modifiez le N°de cellule</t>
  </si>
  <si>
    <t>Copiez la cellule jaune puis collez la directement dans votre document</t>
  </si>
  <si>
    <r>
      <t>[</t>
    </r>
    <r>
      <rPr>
        <sz val="16"/>
        <color theme="1"/>
        <rFont val="Calibri"/>
        <family val="2"/>
        <scheme val="minor"/>
      </rPr>
      <t>ff-97-formats-formules-pourcentages.xlsx]sites";"";"ff-97-formats-formules-pourcentages COPIE"</t>
    </r>
  </si>
  <si>
    <t>Copiez la cellule verte puis collez la directement dans votre document</t>
  </si>
  <si>
    <t>pour marquer vos documents</t>
  </si>
  <si>
    <t>Copiez la cellule jaune puis collez la dans votre cellule ne changez pas le N° de cellule</t>
  </si>
  <si>
    <t xml:space="preserve">Copiez les 4 cellules encadrées puis collage dans votre feuille. Changez Nom et prénon dans la cellule fond noir </t>
  </si>
  <si>
    <t>afficher le classement de toutes les cellules de la plage</t>
  </si>
  <si>
    <t>Collez l'ensemble de ces cellules dans votre document et ajoutez des lignes. N'oubliez pas de figer par  votre plage</t>
  </si>
  <si>
    <t>si par exemple la série de nombre en colonne C</t>
  </si>
  <si>
    <t>N° de semaine - collez les cellules vertes dans votre tableau</t>
  </si>
  <si>
    <t>collez les cellules vertes dans votre tableau</t>
  </si>
  <si>
    <t>afficher ler dernier vendredi du mois, pour une date saisie dans une autre cellule</t>
  </si>
  <si>
    <t>Mise à jour du 16 décembre 2017 - Annule ou complète les versions précédentes lies liens sont parfois éphémères; pas de panique…..demandez à Google …il vous retrouvera un lien équivalent</t>
  </si>
  <si>
    <t>ATTENTION : les saisies des poids unitaires se font en gramme</t>
  </si>
  <si>
    <t>le poids UNITAIRE pour les RECETTES AU POIDS est indispensable</t>
  </si>
  <si>
    <t>Dans caractères spéciaux =&gt; symboles =&gt; Nombres et symboles. Là tu descends (tu as d'abord une série de nombre entourés, puis des nombres sous fractions, ...) et enfin tu as deux lignes de 0 à 9 écrit petit, ceux sont eux, les exposants et les indices.</t>
  </si>
  <si>
    <t>Format | cellule | personnalisé | 0" m²"</t>
  </si>
  <si>
    <t>TEST POLICE DE CARACTERES</t>
  </si>
  <si>
    <t>Saisir une ou des lettres / nombres ou une phrase cellule C jaune</t>
  </si>
  <si>
    <t>Saisir ICI</t>
  </si>
  <si>
    <t>Sélectionnez toute les cellules  ci-dessous et changez de police de caractère pour voir</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</si>
  <si>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</si>
  <si>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</si>
  <si>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</si>
  <si>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</si>
  <si>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</si>
  <si>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</si>
  <si>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</si>
  <si>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</si>
  <si>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</si>
  <si>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</si>
  <si>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</si>
  <si>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</si>
  <si>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</si>
  <si>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</si>
  <si>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</si>
  <si>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</si>
  <si>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</si>
  <si>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</si>
  <si>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</si>
  <si>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</si>
  <si>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</si>
  <si>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</si>
  <si>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</si>
  <si>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</si>
  <si>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</si>
  <si>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</si>
  <si>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</si>
  <si>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</si>
  <si>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</si>
  <si>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</si>
  <si>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</si>
  <si>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</si>
  <si>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</si>
  <si>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</si>
  <si>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</si>
  <si>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</si>
  <si>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</si>
  <si>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</si>
  <si>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</si>
  <si>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</si>
  <si>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</si>
  <si>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</si>
  <si>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</si>
  <si>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</si>
  <si>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</si>
  <si>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</si>
  <si>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</si>
  <si>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</si>
  <si>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</si>
  <si>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</si>
  <si>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</si>
  <si>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</si>
  <si>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</si>
  <si>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</si>
  <si>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</si>
  <si>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</si>
  <si>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</si>
  <si>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Conversions d'unités de longueur</t>
  </si>
  <si>
    <t>Le volume d'un cylindre</t>
  </si>
  <si>
    <t>Rectangle ou disque</t>
  </si>
  <si>
    <t>Conversion d'unités de masse</t>
  </si>
  <si>
    <t>Les seringues</t>
  </si>
  <si>
    <t>Segment</t>
  </si>
  <si>
    <t>Attaché à un piquet</t>
  </si>
  <si>
    <t>Les étiquettes</t>
  </si>
  <si>
    <t>Colorier un poisson</t>
  </si>
  <si>
    <t>Attaché à un piquet (1)</t>
  </si>
  <si>
    <t>L'aire d'un rectangle</t>
  </si>
  <si>
    <t>Le verre mesureur</t>
  </si>
  <si>
    <t>La crème pâtissière</t>
  </si>
  <si>
    <t>Le chien fait le tour de son domaine</t>
  </si>
  <si>
    <t>La casserole</t>
  </si>
  <si>
    <t>177 vidéos dans cette partie</t>
  </si>
  <si>
    <t>http://webtv.ac-versailles.fr/restauration/Patisserie</t>
  </si>
  <si>
    <t>http://chefsimon.lemonde.fr/recettes/tag/dessert</t>
  </si>
  <si>
    <t>Différentes formules pour calculer le volume d'un entremet</t>
  </si>
  <si>
    <t>copier/coller</t>
  </si>
  <si>
    <t>L'aire d'un cercle de 22cm est égale à 3,14 x (11x11) = 379,94 cm2</t>
  </si>
  <si>
    <t>L'aire d'un cercle de 22cm est égale à PI() x (11x11) = 380.13 cm2</t>
  </si>
  <si>
    <t>PI()*(11*11)</t>
  </si>
  <si>
    <t>Pour intégrer ce tableau sous des documents Modèle B3-B -2015 réduisez la largeur des colonnes à 9</t>
  </si>
  <si>
    <t>Sinon : Pour une meilleure lisibilité vous pouvez élargir les colonnes à 15 -ou Affichage Zoom 125%</t>
  </si>
  <si>
    <t>Différentes formules pour calculer le volume d'un cylindre (cercle à tarte)</t>
  </si>
  <si>
    <t>conversion : volume / poids</t>
  </si>
  <si>
    <t xml:space="preserve">Aide mémoire sur la base eau : 1L = 1Kg - 1 gr = 0.001Kg  &gt; 2 zéros après la virgule du Kg </t>
  </si>
  <si>
    <t>AIDES A LA DÉCISION</t>
  </si>
  <si>
    <t>87-5%</t>
  </si>
  <si>
    <t>Effectifs  à saisir</t>
  </si>
  <si>
    <t>Total Mx par convive</t>
  </si>
  <si>
    <t>Police de couleur pour saisir vos valeurs    Noir ou gris = formules</t>
  </si>
  <si>
    <t>POSSON PANÉ</t>
  </si>
  <si>
    <t>1 = saisissez le poids dans un contenant (une louche une barquette etc,,)</t>
  </si>
  <si>
    <t>2 =  saisissez le poids de la portion à servir par convive</t>
  </si>
  <si>
    <t>2 =  saisissez le nombre de portions à servir</t>
  </si>
  <si>
    <t>Répertoire "Postits" Alpha par type de fabrication si possible</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</si>
  <si>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</si>
  <si>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</si>
  <si>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</si>
  <si>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</si>
  <si>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</si>
  <si>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</si>
  <si>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</si>
  <si>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</si>
  <si>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</si>
  <si>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</si>
  <si>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</si>
  <si>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</si>
  <si>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</si>
  <si>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</si>
  <si>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</si>
  <si>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</si>
  <si>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</si>
  <si>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</si>
  <si>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</si>
  <si>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</si>
  <si>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</si>
  <si>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</si>
  <si>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</si>
  <si>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</si>
  <si>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</si>
  <si>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</si>
  <si>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</si>
  <si>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</si>
  <si>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</si>
  <si>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</si>
  <si>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</si>
  <si>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</si>
  <si>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</si>
  <si>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</si>
  <si>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</si>
  <si>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</si>
  <si>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</si>
  <si>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</si>
  <si>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</si>
  <si>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</si>
  <si>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</si>
  <si>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</si>
  <si>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</si>
  <si>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</si>
  <si>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</si>
  <si>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</si>
  <si>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</si>
  <si>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</si>
  <si>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</si>
  <si>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</si>
  <si>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</si>
  <si>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</si>
  <si>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</si>
  <si>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</si>
  <si>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</si>
  <si>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</si>
  <si>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</si>
  <si>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</si>
  <si>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</si>
  <si>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</si>
  <si>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</si>
  <si>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</si>
  <si>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</si>
  <si>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</si>
  <si>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</si>
  <si>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</si>
  <si>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</si>
  <si>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</si>
  <si>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</si>
  <si>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</si>
  <si>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</si>
  <si>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</si>
  <si>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</si>
  <si>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</si>
  <si>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</si>
  <si>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</si>
  <si>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</si>
  <si>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</si>
  <si>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</si>
  <si>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</si>
  <si>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</si>
  <si>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</si>
  <si>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</si>
  <si>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</si>
  <si>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</si>
  <si>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</si>
  <si>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</si>
  <si>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</si>
  <si>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</si>
  <si>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</si>
  <si>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</si>
  <si>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</si>
  <si>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</si>
  <si>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</si>
  <si>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</si>
  <si>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</si>
  <si>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</si>
  <si>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</si>
  <si>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</si>
  <si>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</si>
  <si>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</si>
  <si>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</si>
  <si>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</si>
  <si>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</si>
  <si>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</si>
  <si>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</si>
  <si>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</si>
  <si>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</si>
  <si>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</si>
  <si>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</si>
  <si>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</si>
  <si>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</si>
  <si>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</si>
  <si>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</si>
  <si>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</si>
  <si>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</si>
  <si>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</si>
  <si>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</si>
  <si>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</si>
  <si>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</si>
  <si>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</si>
  <si>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</si>
  <si>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</si>
  <si>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</si>
  <si>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</si>
  <si>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</si>
  <si>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</si>
  <si>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</si>
  <si>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</si>
  <si>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</si>
  <si>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</si>
  <si>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</si>
  <si>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</si>
  <si>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</si>
  <si>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</si>
  <si>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</si>
  <si>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</si>
  <si>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</si>
  <si>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</si>
  <si>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</si>
  <si>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</si>
  <si>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</si>
  <si>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</si>
  <si>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</si>
  <si>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</si>
  <si>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</si>
  <si>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</si>
  <si>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</si>
  <si>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</si>
  <si>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</si>
  <si>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</si>
  <si>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</si>
  <si>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</si>
  <si>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</si>
  <si>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</si>
  <si>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</si>
  <si>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</si>
  <si>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</si>
  <si>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</si>
  <si>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</si>
  <si>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</si>
  <si>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</si>
  <si>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</si>
  <si>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</si>
  <si>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</si>
  <si>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</si>
  <si>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</si>
  <si>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</si>
  <si>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</si>
  <si>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</si>
  <si>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</si>
  <si>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</si>
  <si>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</si>
  <si>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</si>
  <si>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</si>
  <si>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</si>
  <si>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</si>
  <si>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</si>
  <si>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</si>
  <si>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</si>
  <si>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</si>
  <si>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</si>
  <si>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</si>
  <si>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</si>
  <si>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</si>
  <si>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</si>
  <si>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</si>
  <si>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</si>
  <si>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</si>
  <si>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</si>
  <si>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</si>
  <si>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</si>
  <si>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</si>
  <si>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</si>
  <si>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</si>
  <si>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</si>
  <si>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</si>
  <si>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</si>
  <si>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</si>
  <si>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</si>
  <si>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</si>
  <si>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</si>
  <si>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</si>
  <si>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</si>
  <si>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</si>
  <si>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</si>
  <si>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</si>
  <si>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</si>
  <si>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</si>
  <si>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</si>
  <si>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</si>
  <si>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</si>
  <si>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</si>
  <si>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</si>
  <si>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</si>
  <si>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</si>
  <si>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</si>
  <si>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</si>
  <si>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</si>
  <si>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</si>
  <si>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</si>
  <si>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</si>
  <si>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</si>
  <si>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</si>
  <si>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</si>
  <si>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</si>
  <si>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</si>
  <si>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</si>
  <si>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</si>
  <si>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</si>
  <si>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</si>
  <si>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</si>
  <si>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</si>
  <si>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</si>
  <si>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</si>
  <si>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</si>
  <si>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</si>
  <si>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</si>
  <si>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</si>
  <si>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</si>
  <si>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</si>
  <si>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</si>
  <si>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</si>
  <si>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</si>
  <si>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</si>
  <si>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</si>
  <si>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</si>
  <si>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</si>
  <si>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</si>
  <si>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</si>
  <si>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</si>
  <si>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</si>
  <si>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</si>
  <si>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</si>
  <si>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</si>
  <si>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</si>
  <si>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</si>
  <si>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</si>
  <si>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</si>
  <si>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</si>
  <si>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</si>
  <si>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</si>
  <si>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</si>
  <si>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</si>
  <si>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</si>
  <si>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</si>
  <si>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</si>
  <si>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</si>
  <si>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</si>
  <si>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</si>
  <si>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</si>
  <si>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</si>
  <si>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</si>
  <si>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</si>
  <si>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</si>
  <si>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</si>
  <si>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</si>
  <si>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</si>
  <si>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</si>
  <si>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</si>
  <si>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</si>
  <si>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</si>
  <si>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</si>
  <si>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</si>
  <si>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</si>
  <si>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</si>
  <si>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</si>
  <si>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</si>
  <si>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</si>
  <si>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</si>
  <si>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</si>
  <si>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</si>
  <si>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</si>
  <si>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</si>
  <si>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</si>
  <si>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</si>
  <si>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</si>
  <si>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</si>
  <si>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</si>
  <si>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</si>
  <si>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</si>
  <si>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</si>
  <si>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</si>
  <si>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</si>
  <si>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</si>
  <si>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</si>
  <si>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</si>
  <si>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</si>
  <si>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</si>
  <si>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</si>
  <si>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</si>
  <si>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</si>
  <si>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</si>
  <si>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</si>
  <si>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</si>
  <si>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</si>
  <si>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</si>
  <si>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</si>
  <si>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</si>
  <si>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</si>
  <si>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</si>
  <si>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</si>
  <si>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</si>
  <si>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</si>
  <si>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</si>
  <si>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</si>
  <si>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</si>
  <si>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</si>
  <si>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</si>
  <si>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</si>
  <si>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</si>
  <si>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</si>
  <si>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</si>
  <si>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</si>
  <si>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</si>
  <si>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</si>
  <si>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</si>
  <si>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</si>
  <si>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</si>
  <si>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</si>
  <si>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</si>
  <si>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</si>
  <si>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</si>
  <si>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</si>
  <si>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</si>
  <si>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</si>
  <si>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</si>
  <si>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</si>
  <si>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</si>
  <si>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</si>
  <si>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</si>
  <si>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</si>
  <si>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</si>
  <si>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</si>
  <si>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</si>
  <si>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</si>
  <si>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</si>
  <si>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</si>
  <si>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</si>
  <si>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</si>
  <si>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</si>
  <si>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</si>
  <si>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</si>
  <si>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</si>
  <si>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</si>
  <si>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</si>
  <si>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</si>
  <si>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</si>
  <si>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</si>
  <si>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</si>
  <si>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</si>
  <si>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</si>
  <si>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</si>
  <si>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</si>
  <si>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</si>
  <si>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</si>
  <si>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</si>
  <si>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</si>
  <si>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</si>
  <si>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</si>
  <si>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</si>
  <si>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</si>
  <si>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</si>
  <si>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</si>
  <si>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</si>
  <si>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</si>
  <si>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</si>
  <si>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</si>
  <si>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</si>
  <si>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</si>
  <si>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</si>
  <si>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</si>
  <si>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</si>
  <si>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</si>
  <si>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</si>
  <si>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</si>
  <si>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</si>
  <si>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</si>
  <si>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</si>
  <si>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</si>
  <si>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</si>
  <si>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</si>
  <si>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</si>
  <si>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</si>
  <si>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</si>
  <si>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</si>
  <si>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</si>
  <si>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</si>
  <si>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</si>
  <si>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</si>
  <si>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</si>
  <si>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</si>
  <si>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</si>
  <si>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</si>
  <si>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</si>
  <si>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</si>
  <si>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</si>
  <si>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b</t>
  </si>
  <si>
    <t>é</t>
  </si>
  <si>
    <t>~</t>
  </si>
  <si>
    <t xml:space="preserve">' </t>
  </si>
  <si>
    <t>{</t>
  </si>
  <si>
    <t>[</t>
  </si>
  <si>
    <t>|</t>
  </si>
  <si>
    <t>è</t>
  </si>
  <si>
    <t>`</t>
  </si>
  <si>
    <t>_</t>
  </si>
  <si>
    <t>\</t>
  </si>
  <si>
    <t>ç</t>
  </si>
  <si>
    <t>^</t>
  </si>
  <si>
    <t>à</t>
  </si>
  <si>
    <t>]</t>
  </si>
  <si>
    <t>}</t>
  </si>
  <si>
    <t>c</t>
  </si>
  <si>
    <t>©</t>
  </si>
  <si>
    <t>«</t>
  </si>
  <si>
    <t>¬</t>
  </si>
  <si>
    <t>®</t>
  </si>
  <si>
    <t>¶</t>
  </si>
  <si>
    <t>·</t>
  </si>
  <si>
    <t>¹</t>
  </si>
  <si>
    <t>d</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</si>
  <si>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</si>
  <si>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</si>
  <si>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</si>
  <si>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</si>
  <si>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</si>
  <si>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</si>
  <si>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</si>
  <si>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</si>
  <si>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</si>
  <si>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</si>
  <si>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</si>
  <si>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</si>
  <si>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</si>
  <si>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</si>
  <si>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</si>
  <si>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</si>
  <si>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</si>
  <si>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</si>
  <si>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</si>
  <si>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</si>
  <si>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</si>
  <si>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</si>
  <si>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</si>
  <si>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</si>
  <si>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</si>
  <si>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</si>
  <si>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</si>
  <si>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</si>
  <si>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</si>
  <si>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</si>
  <si>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</si>
  <si>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</si>
  <si>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</si>
  <si>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</si>
  <si>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</si>
  <si>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</si>
  <si>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</si>
  <si>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</si>
  <si>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</si>
  <si>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</si>
  <si>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</si>
  <si>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</si>
  <si>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</si>
  <si>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</si>
  <si>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</si>
  <si>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</si>
  <si>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</si>
  <si>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v</t>
  </si>
  <si>
    <t>W</t>
  </si>
  <si>
    <t>w</t>
  </si>
  <si>
    <t>;</t>
  </si>
  <si>
    <t>Alt + 0203</t>
  </si>
  <si>
    <t>Alt + 0204</t>
  </si>
  <si>
    <t>Alt + 0205</t>
  </si>
  <si>
    <t>Alt + 0206</t>
  </si>
  <si>
    <t>Alt + 0207</t>
  </si>
  <si>
    <t>Alt + 0209</t>
  </si>
  <si>
    <t>Alt + 0212</t>
  </si>
  <si>
    <t>Alt + 0214</t>
  </si>
  <si>
    <t>Alt + 0215</t>
  </si>
  <si>
    <t>Alt + 0216</t>
  </si>
  <si>
    <t>Alt + 0217</t>
  </si>
  <si>
    <t>Alt + 0219</t>
  </si>
  <si>
    <t>Ë</t>
  </si>
  <si>
    <t>Ì</t>
  </si>
  <si>
    <t>Í</t>
  </si>
  <si>
    <t>Î</t>
  </si>
  <si>
    <t>Ï</t>
  </si>
  <si>
    <t>Ñ</t>
  </si>
  <si>
    <t>Ô</t>
  </si>
  <si>
    <t>Ö</t>
  </si>
  <si>
    <t>×</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</si>
  <si>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</si>
  <si>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</si>
  <si>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</si>
  <si>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</si>
  <si>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</si>
  <si>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</si>
  <si>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</si>
  <si>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</si>
  <si>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</si>
  <si>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</si>
  <si>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</si>
  <si>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</si>
  <si>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</si>
  <si>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</si>
  <si>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</si>
  <si>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</si>
  <si>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</si>
  <si>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</si>
  <si>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</si>
  <si>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</si>
  <si>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</si>
  <si>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</si>
  <si>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</si>
  <si>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</si>
  <si>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</si>
  <si>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</si>
  <si>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</si>
  <si>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</si>
  <si>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</si>
  <si>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</si>
  <si>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</si>
  <si>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</si>
  <si>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</si>
  <si>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</si>
  <si>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</si>
  <si>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</si>
  <si>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</si>
  <si>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</si>
  <si>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</si>
  <si>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</si>
  <si>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Copiez / Collez les N° dans vos fiches</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</si>
  <si>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</si>
  <si>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</si>
  <si>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</si>
  <si>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</si>
  <si>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</si>
  <si>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</si>
  <si>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</si>
  <si>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</si>
  <si>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</si>
  <si>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</si>
  <si>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</si>
  <si>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</si>
  <si>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</si>
  <si>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</si>
  <si>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</si>
  <si>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</si>
  <si>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</si>
  <si>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</si>
  <si>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</si>
  <si>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</si>
  <si>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</si>
  <si>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</si>
  <si>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</si>
  <si>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</si>
  <si>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</si>
  <si>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</si>
  <si>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</si>
  <si>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</si>
  <si>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</si>
  <si>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</si>
  <si>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</si>
  <si>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</si>
  <si>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</si>
  <si>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</si>
  <si>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</si>
  <si>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</si>
  <si>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</si>
  <si>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</si>
  <si>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</si>
  <si>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</si>
  <si>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</si>
  <si>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</si>
  <si>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</si>
  <si>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</si>
  <si>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</si>
  <si>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</si>
  <si>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</si>
  <si>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</si>
  <si>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</si>
  <si>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</si>
  <si>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</si>
  <si>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</si>
  <si>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</si>
  <si>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</si>
  <si>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</si>
  <si>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</si>
  <si>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</si>
  <si>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</si>
  <si>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</si>
  <si>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</si>
  <si>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</si>
  <si>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</si>
  <si>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</si>
  <si>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</si>
  <si>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</si>
  <si>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</si>
  <si>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</si>
  <si>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</si>
  <si>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</si>
  <si>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</si>
  <si>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</si>
  <si>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</si>
  <si>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</si>
  <si>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</si>
  <si>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</si>
  <si>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</si>
  <si>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</si>
  <si>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</si>
  <si>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</si>
  <si>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</si>
  <si>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</si>
  <si>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</si>
  <si>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</si>
  <si>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</si>
  <si>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</si>
  <si>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</si>
  <si>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</si>
  <si>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</si>
  <si>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</si>
  <si>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</si>
  <si>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</si>
  <si>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</si>
  <si>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</si>
  <si>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</si>
  <si>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</si>
  <si>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</si>
  <si>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</si>
  <si>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</si>
  <si>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</si>
  <si>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</si>
  <si>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</si>
  <si>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</si>
  <si>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</si>
  <si>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</si>
  <si>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</si>
  <si>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</si>
  <si>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</si>
  <si>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</si>
  <si>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</si>
  <si>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</si>
  <si>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</si>
  <si>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</si>
  <si>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</si>
  <si>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</si>
  <si>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</si>
  <si>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</si>
  <si>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</si>
  <si>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</si>
  <si>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</si>
  <si>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</si>
  <si>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</si>
  <si>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</si>
  <si>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</si>
  <si>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</si>
  <si>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</si>
  <si>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</si>
  <si>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</si>
  <si>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</si>
  <si>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</si>
  <si>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</si>
  <si>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</si>
  <si>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</si>
  <si>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</si>
  <si>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</si>
  <si>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</si>
  <si>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</si>
  <si>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</si>
  <si>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</si>
  <si>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</si>
  <si>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</si>
  <si>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</si>
  <si>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</si>
  <si>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</si>
  <si>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</si>
  <si>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</si>
  <si>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</si>
  <si>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</si>
  <si>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</si>
  <si>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</si>
  <si>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</si>
  <si>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</si>
  <si>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</si>
  <si>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</si>
  <si>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</si>
  <si>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</si>
  <si>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</si>
  <si>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</si>
  <si>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</si>
  <si>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</si>
  <si>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</si>
  <si>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</si>
  <si>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</si>
  <si>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</si>
  <si>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</si>
  <si>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</si>
  <si>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</si>
  <si>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</si>
  <si>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</si>
  <si>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</si>
  <si>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</si>
  <si>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</si>
  <si>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</si>
  <si>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</si>
  <si>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</si>
  <si>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</si>
  <si>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</si>
  <si>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</si>
  <si>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</si>
  <si>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</si>
  <si>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</si>
  <si>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</si>
  <si>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</si>
  <si>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</si>
  <si>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</si>
  <si>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</si>
  <si>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</si>
  <si>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</si>
  <si>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</si>
  <si>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</si>
  <si>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</si>
  <si>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</si>
  <si>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</si>
  <si>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</si>
  <si>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</si>
  <si>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</si>
  <si>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</si>
  <si>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</si>
  <si>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</si>
  <si>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</si>
  <si>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</si>
  <si>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</si>
  <si>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</si>
  <si>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</si>
  <si>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</si>
  <si>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</si>
  <si>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</si>
  <si>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</si>
  <si>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</si>
  <si>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</si>
  <si>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</si>
  <si>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</si>
  <si>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</si>
  <si>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</si>
  <si>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</si>
  <si>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</si>
  <si>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</si>
  <si>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</si>
  <si>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</si>
  <si>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</si>
  <si>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</si>
  <si>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</si>
  <si>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</si>
  <si>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</si>
  <si>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</si>
  <si>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</si>
  <si>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</si>
  <si>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</si>
  <si>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</si>
  <si>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</si>
  <si>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</si>
  <si>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</si>
  <si>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</si>
  <si>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</si>
  <si>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</si>
  <si>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</si>
  <si>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</si>
  <si>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</si>
  <si>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</si>
  <si>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</si>
  <si>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</si>
  <si>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</si>
  <si>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</si>
  <si>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</si>
  <si>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</si>
  <si>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</si>
  <si>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</si>
  <si>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</si>
  <si>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</si>
  <si>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</si>
  <si>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</si>
  <si>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</si>
  <si>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</si>
  <si>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</si>
  <si>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</si>
  <si>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</si>
  <si>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</si>
  <si>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</si>
  <si>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</si>
  <si>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</si>
  <si>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</si>
  <si>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</si>
  <si>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</si>
  <si>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</si>
  <si>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</si>
  <si>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</si>
  <si>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</si>
  <si>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</si>
  <si>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</si>
  <si>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</si>
  <si>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</si>
  <si>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</si>
  <si>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</si>
  <si>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</si>
  <si>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</si>
  <si>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</si>
  <si>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</si>
  <si>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</si>
  <si>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</si>
  <si>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</si>
  <si>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</si>
  <si>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</si>
  <si>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</si>
  <si>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</si>
  <si>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</si>
  <si>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</si>
  <si>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</si>
  <si>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</si>
  <si>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</si>
  <si>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</si>
  <si>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</si>
  <si>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</si>
  <si>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</si>
  <si>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</si>
  <si>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</si>
  <si>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</si>
  <si>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</si>
  <si>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</si>
  <si>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</si>
  <si>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</si>
  <si>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</si>
  <si>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</si>
  <si>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</si>
  <si>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</si>
  <si>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</si>
  <si>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</si>
  <si>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</si>
  <si>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</si>
  <si>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</si>
  <si>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</si>
  <si>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</si>
  <si>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</si>
  <si>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</si>
  <si>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</si>
  <si>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</si>
  <si>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</si>
  <si>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</si>
  <si>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</si>
  <si>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</si>
  <si>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</si>
  <si>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</si>
  <si>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</si>
  <si>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</si>
  <si>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</si>
  <si>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</si>
  <si>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</si>
  <si>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</si>
  <si>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</si>
  <si>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</si>
  <si>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</si>
  <si>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</si>
  <si>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</si>
  <si>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</si>
  <si>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</si>
  <si>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</si>
  <si>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</si>
  <si>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</si>
  <si>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</si>
  <si>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</si>
  <si>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</si>
  <si>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</si>
  <si>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</si>
  <si>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</si>
  <si>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</si>
  <si>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</si>
  <si>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</si>
  <si>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</si>
  <si>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</si>
  <si>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</si>
  <si>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</si>
  <si>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</si>
  <si>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</si>
  <si>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</si>
  <si>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</si>
  <si>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</si>
  <si>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</si>
  <si>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</si>
  <si>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</si>
  <si>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</si>
  <si>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</si>
  <si>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</si>
  <si>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</si>
  <si>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</si>
  <si>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</si>
  <si>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</si>
  <si>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</si>
  <si>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</si>
  <si>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</si>
  <si>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</si>
  <si>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</si>
  <si>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</si>
  <si>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</si>
  <si>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</si>
  <si>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</si>
  <si>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</si>
  <si>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</si>
  <si>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</si>
  <si>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</si>
  <si>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</si>
  <si>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</si>
  <si>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</si>
  <si>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</si>
  <si>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</si>
  <si>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</si>
  <si>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</si>
  <si>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</si>
  <si>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</si>
  <si>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</si>
  <si>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</si>
  <si>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</si>
  <si>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</si>
  <si>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</si>
  <si>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</si>
  <si>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</si>
  <si>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</si>
  <si>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</si>
  <si>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</si>
  <si>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</si>
  <si>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</si>
  <si>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</si>
  <si>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</si>
  <si>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</si>
  <si>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</si>
  <si>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</si>
  <si>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</si>
  <si>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</si>
  <si>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</si>
  <si>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</si>
  <si>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</si>
  <si>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</si>
  <si>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</si>
  <si>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</si>
  <si>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</si>
  <si>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</si>
  <si>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</si>
  <si>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</si>
  <si>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</si>
  <si>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</si>
  <si>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</si>
  <si>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</si>
  <si>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</si>
  <si>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</si>
  <si>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</si>
  <si>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</si>
  <si>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</si>
  <si>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</si>
  <si>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</si>
  <si>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</si>
  <si>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</si>
  <si>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</si>
  <si>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</si>
  <si>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</si>
  <si>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</si>
  <si>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</si>
  <si>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</si>
  <si>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</si>
  <si>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</si>
  <si>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</si>
  <si>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</si>
  <si>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</si>
  <si>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</si>
  <si>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</si>
  <si>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</si>
  <si>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</si>
  <si>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</si>
  <si>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</si>
  <si>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</si>
  <si>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</si>
  <si>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</si>
  <si>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</si>
  <si>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</si>
  <si>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</si>
  <si>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</si>
  <si>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</si>
  <si>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</si>
  <si>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</si>
  <si>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</si>
  <si>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</si>
  <si>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</si>
  <si>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</si>
  <si>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</si>
  <si>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</si>
  <si>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</si>
  <si>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</si>
  <si>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</si>
  <si>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</si>
  <si>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</si>
  <si>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</si>
  <si>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</si>
  <si>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</si>
  <si>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</si>
  <si>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</si>
  <si>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</si>
  <si>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</si>
  <si>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</si>
  <si>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</si>
  <si>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</si>
  <si>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</si>
  <si>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</si>
  <si>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</si>
  <si>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</si>
  <si>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</si>
  <si>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</si>
  <si>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</si>
  <si>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</si>
  <si>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</si>
  <si>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</si>
  <si>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</si>
  <si>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</si>
  <si>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</si>
  <si>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</si>
  <si>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</si>
  <si>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</si>
  <si>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</si>
  <si>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</si>
  <si>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</si>
  <si>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</si>
  <si>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</si>
  <si>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</si>
  <si>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</si>
  <si>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</si>
  <si>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</si>
  <si>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</si>
  <si>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</si>
  <si>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</si>
  <si>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</si>
  <si>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</si>
  <si>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</si>
  <si>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</si>
  <si>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</si>
  <si>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</si>
  <si>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</si>
  <si>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</si>
  <si>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</si>
  <si>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</si>
  <si>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</si>
  <si>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</si>
  <si>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</si>
  <si>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</si>
  <si>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</si>
  <si>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</si>
  <si>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</si>
  <si>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</si>
  <si>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</si>
  <si>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</si>
  <si>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</si>
  <si>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</si>
  <si>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</si>
  <si>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</si>
  <si>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</si>
  <si>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</si>
  <si>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</si>
  <si>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</si>
  <si>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</si>
  <si>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</si>
  <si>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</si>
  <si>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</si>
  <si>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</si>
  <si>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</si>
  <si>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</si>
  <si>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</si>
  <si>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</si>
  <si>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</si>
  <si>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</si>
  <si>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</si>
  <si>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</si>
  <si>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</si>
  <si>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</si>
  <si>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</si>
  <si>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</si>
  <si>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</si>
  <si>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</si>
  <si>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</si>
  <si>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</si>
  <si>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</si>
  <si>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</si>
  <si>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</si>
  <si>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</si>
  <si>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</si>
  <si>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</si>
  <si>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</si>
  <si>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</si>
  <si>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</si>
  <si>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</si>
  <si>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</si>
  <si>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</si>
  <si>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</si>
  <si>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</si>
  <si>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</si>
  <si>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</si>
  <si>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</si>
  <si>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</si>
  <si>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</si>
  <si>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</si>
  <si>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</si>
  <si>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</si>
  <si>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</si>
  <si>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</si>
  <si>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</si>
  <si>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</si>
  <si>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</si>
  <si>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</si>
  <si>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</si>
  <si>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</si>
  <si>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</si>
  <si>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</si>
  <si>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</si>
  <si>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</si>
  <si>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</si>
  <si>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</si>
  <si>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</si>
  <si>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</si>
  <si>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</si>
  <si>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</si>
  <si>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</si>
  <si>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</si>
  <si>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</si>
  <si>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</si>
  <si>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</si>
  <si>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</si>
  <si>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</si>
  <si>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</si>
  <si>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</si>
  <si>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</si>
  <si>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</si>
  <si>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</si>
  <si>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</si>
  <si>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</si>
  <si>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</si>
  <si>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</si>
  <si>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</si>
  <si>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</si>
  <si>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</si>
  <si>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</si>
  <si>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</si>
  <si>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</si>
  <si>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</si>
  <si>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</si>
  <si>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</si>
  <si>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</si>
  <si>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</si>
  <si>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</si>
  <si>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</si>
  <si>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</si>
  <si>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</si>
  <si>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</si>
  <si>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</si>
  <si>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</si>
  <si>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</si>
  <si>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</si>
  <si>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</si>
  <si>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</si>
  <si>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</si>
  <si>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</si>
  <si>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</si>
  <si>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</si>
  <si>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</si>
  <si>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</si>
  <si>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</si>
  <si>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</si>
  <si>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</si>
  <si>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</si>
  <si>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</si>
  <si>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</si>
  <si>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</si>
  <si>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</si>
  <si>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</si>
  <si>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</si>
  <si>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</si>
  <si>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</si>
  <si>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</si>
  <si>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</si>
  <si>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</si>
  <si>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</si>
  <si>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</si>
  <si>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</si>
  <si>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</si>
  <si>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</si>
  <si>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</si>
  <si>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</si>
  <si>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</si>
  <si>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</si>
  <si>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</si>
  <si>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</si>
  <si>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</si>
  <si>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</si>
  <si>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</si>
  <si>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</si>
  <si>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</si>
  <si>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</si>
  <si>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</si>
  <si>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</si>
  <si>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</si>
  <si>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</si>
  <si>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</si>
  <si>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</si>
  <si>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</si>
  <si>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</si>
  <si>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</si>
  <si>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</si>
  <si>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</si>
  <si>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</si>
  <si>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</si>
  <si>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</si>
  <si>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</si>
  <si>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</si>
  <si>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</si>
  <si>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</si>
  <si>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</si>
  <si>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</si>
  <si>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</si>
  <si>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</si>
  <si>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</si>
  <si>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</si>
  <si>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</si>
  <si>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</si>
  <si>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</si>
  <si>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</si>
  <si>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</si>
  <si>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</si>
  <si>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</si>
  <si>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</si>
  <si>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</si>
  <si>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</si>
  <si>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</si>
  <si>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</si>
  <si>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</si>
  <si>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</si>
  <si>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</si>
  <si>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</si>
  <si>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</si>
  <si>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</si>
  <si>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</si>
  <si>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</si>
  <si>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</si>
  <si>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</si>
  <si>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</si>
  <si>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</si>
  <si>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</si>
  <si>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</si>
  <si>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</si>
  <si>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</si>
  <si>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</si>
  <si>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</si>
  <si>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</si>
  <si>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</si>
  <si>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</si>
  <si>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</si>
  <si>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</si>
  <si>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</si>
  <si>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</si>
  <si>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</si>
  <si>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</si>
  <si>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</si>
  <si>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</si>
  <si>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</si>
  <si>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</si>
  <si>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</si>
  <si>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</si>
  <si>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</si>
  <si>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</si>
  <si>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</si>
  <si>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</si>
  <si>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</si>
  <si>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</si>
  <si>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</si>
  <si>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</si>
  <si>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</si>
  <si>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</si>
  <si>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</si>
  <si>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</si>
  <si>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</si>
  <si>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</si>
  <si>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</si>
  <si>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</si>
  <si>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</si>
  <si>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</si>
  <si>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</si>
  <si>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</si>
  <si>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</si>
  <si>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</si>
  <si>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</si>
  <si>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</si>
  <si>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</si>
  <si>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</si>
  <si>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</si>
  <si>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</si>
  <si>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</si>
  <si>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</si>
  <si>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</si>
  <si>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</si>
  <si>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</si>
  <si>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</si>
  <si>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</si>
  <si>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</si>
  <si>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</si>
  <si>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</si>
  <si>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</si>
  <si>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</si>
  <si>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</si>
  <si>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</si>
  <si>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</si>
  <si>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</si>
  <si>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</si>
  <si>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</si>
  <si>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</si>
  <si>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</si>
  <si>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</si>
  <si>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</si>
  <si>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</si>
  <si>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</si>
  <si>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</si>
  <si>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</si>
  <si>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</si>
  <si>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</si>
  <si>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</si>
  <si>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</si>
  <si>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</si>
  <si>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</si>
  <si>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</si>
  <si>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</si>
  <si>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</si>
  <si>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</si>
  <si>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</si>
  <si>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</si>
  <si>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</si>
  <si>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</si>
  <si>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</si>
  <si>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</si>
  <si>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</si>
  <si>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</si>
  <si>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</si>
  <si>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</si>
  <si>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</si>
  <si>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</si>
  <si>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</si>
  <si>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</si>
  <si>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</si>
  <si>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</si>
  <si>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</si>
  <si>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</si>
  <si>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</si>
  <si>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</si>
  <si>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</si>
  <si>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</si>
  <si>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</si>
  <si>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</si>
  <si>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</si>
  <si>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</si>
  <si>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</si>
  <si>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</si>
  <si>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</si>
  <si>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</si>
  <si>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</si>
  <si>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</si>
  <si>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</si>
  <si>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</si>
  <si>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</si>
  <si>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</si>
  <si>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</si>
  <si>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</si>
  <si>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</si>
  <si>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</si>
  <si>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</si>
  <si>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</si>
  <si>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</si>
  <si>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</si>
  <si>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</si>
  <si>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</si>
  <si>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</si>
  <si>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</si>
  <si>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</si>
  <si>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</si>
  <si>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</si>
  <si>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</si>
  <si>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</si>
  <si>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</si>
  <si>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</si>
  <si>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</si>
  <si>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</si>
  <si>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</si>
  <si>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</si>
  <si>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</si>
  <si>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</si>
  <si>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</si>
  <si>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</si>
  <si>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</si>
  <si>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</si>
  <si>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</si>
  <si>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</si>
  <si>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</si>
  <si>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</si>
  <si>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</si>
  <si>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</si>
  <si>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</si>
  <si>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</si>
  <si>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</si>
  <si>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</si>
  <si>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</si>
  <si>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</si>
  <si>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</si>
  <si>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</si>
  <si>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</si>
  <si>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</si>
  <si>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</si>
  <si>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</si>
  <si>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</si>
  <si>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</si>
  <si>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</si>
  <si>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</si>
  <si>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</si>
  <si>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</si>
  <si>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</si>
  <si>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</si>
  <si>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</si>
  <si>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</si>
  <si>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</si>
  <si>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</si>
  <si>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</si>
  <si>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</si>
  <si>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</si>
  <si>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</si>
  <si>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</si>
  <si>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</si>
  <si>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</si>
  <si>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</si>
  <si>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</si>
  <si>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</si>
  <si>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</si>
  <si>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</si>
  <si>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</si>
  <si>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</si>
  <si>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</si>
  <si>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</si>
  <si>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</si>
  <si>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</si>
  <si>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</si>
  <si>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</si>
  <si>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</si>
  <si>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</si>
  <si>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</si>
  <si>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</si>
  <si>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</si>
  <si>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</si>
  <si>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</si>
  <si>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</si>
  <si>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</si>
  <si>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</si>
  <si>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</si>
  <si>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</si>
  <si>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</si>
  <si>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</si>
  <si>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</si>
  <si>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</si>
  <si>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</si>
  <si>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</si>
  <si>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</si>
  <si>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</si>
  <si>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</si>
  <si>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</si>
  <si>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</si>
  <si>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</si>
  <si>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</si>
  <si>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</si>
  <si>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</si>
  <si>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</si>
  <si>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</si>
  <si>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</si>
  <si>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</si>
  <si>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</si>
  <si>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</si>
  <si>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</si>
  <si>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</si>
  <si>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</si>
  <si>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</si>
  <si>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</si>
  <si>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</si>
  <si>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</si>
  <si>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</si>
  <si>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</si>
  <si>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</si>
  <si>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</si>
  <si>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</si>
  <si>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</si>
  <si>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</si>
  <si>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</si>
  <si>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</si>
  <si>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</si>
  <si>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</si>
  <si>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</si>
  <si>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</si>
  <si>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</si>
  <si>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</si>
  <si>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</si>
  <si>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</si>
  <si>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</si>
  <si>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</si>
  <si>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</si>
  <si>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</si>
  <si>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</si>
  <si>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</si>
  <si>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</si>
  <si>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</si>
  <si>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</si>
  <si>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</si>
  <si>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</si>
  <si>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</si>
  <si>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</si>
  <si>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</si>
  <si>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</si>
  <si>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</si>
  <si>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</si>
  <si>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</si>
  <si>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</si>
  <si>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</si>
  <si>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</si>
  <si>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</si>
  <si>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</si>
  <si>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</si>
  <si>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</si>
  <si>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</si>
  <si>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</si>
  <si>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</si>
  <si>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</si>
  <si>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</si>
  <si>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</si>
  <si>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</si>
  <si>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</si>
  <si>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</si>
  <si>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</si>
  <si>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</si>
  <si>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</si>
  <si>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</si>
  <si>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</si>
  <si>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</si>
  <si>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</si>
  <si>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</si>
  <si>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</si>
  <si>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</si>
  <si>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</si>
  <si>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</si>
  <si>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</si>
  <si>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</si>
  <si>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</si>
  <si>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</si>
  <si>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</si>
  <si>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</si>
  <si>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</si>
  <si>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</si>
  <si>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</si>
  <si>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</si>
  <si>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</si>
  <si>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</si>
  <si>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</si>
  <si>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</si>
  <si>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</si>
  <si>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</si>
  <si>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</si>
  <si>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</si>
  <si>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</si>
  <si>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</si>
  <si>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</si>
  <si>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</si>
  <si>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</si>
  <si>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</si>
  <si>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</si>
  <si>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</si>
  <si>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</si>
  <si>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</si>
  <si>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</si>
  <si>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</si>
  <si>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</si>
  <si>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</si>
  <si>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</si>
  <si>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</si>
  <si>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</si>
  <si>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</si>
  <si>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</si>
  <si>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</si>
  <si>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</si>
  <si>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</si>
  <si>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</si>
  <si>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</si>
  <si>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</si>
  <si>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</si>
  <si>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</si>
  <si>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</si>
  <si>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</si>
  <si>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</si>
  <si>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</si>
  <si>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</si>
  <si>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</si>
  <si>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</si>
  <si>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</si>
  <si>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</si>
  <si>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</si>
  <si>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</si>
  <si>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</si>
  <si>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</si>
  <si>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</si>
  <si>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</si>
  <si>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</si>
  <si>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</si>
  <si>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</si>
  <si>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</si>
  <si>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</si>
  <si>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</si>
  <si>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</si>
  <si>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</si>
  <si>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</si>
  <si>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</si>
  <si>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</si>
  <si>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</si>
  <si>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</si>
  <si>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</si>
  <si>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</si>
  <si>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</si>
  <si>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</si>
  <si>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</si>
  <si>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</si>
  <si>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</si>
  <si>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</si>
  <si>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</si>
  <si>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</si>
  <si>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</si>
  <si>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</si>
  <si>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</si>
  <si>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</si>
  <si>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</si>
  <si>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</si>
  <si>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</si>
  <si>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</si>
  <si>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</si>
  <si>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</si>
  <si>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</si>
  <si>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</si>
  <si>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</si>
  <si>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</si>
  <si>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</si>
  <si>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</si>
  <si>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</si>
  <si>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</si>
  <si>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</si>
  <si>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</si>
  <si>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</si>
  <si>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</si>
  <si>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</si>
  <si>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</si>
  <si>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</si>
  <si>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</si>
  <si>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</si>
  <si>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</si>
  <si>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</si>
  <si>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</si>
  <si>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</si>
  <si>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</si>
  <si>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</si>
  <si>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</si>
  <si>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</si>
  <si>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</si>
  <si>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</si>
  <si>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</si>
  <si>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</si>
  <si>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</si>
  <si>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</si>
  <si>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</si>
  <si>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</si>
  <si>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</si>
  <si>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</si>
  <si>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</si>
  <si>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</si>
  <si>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</si>
  <si>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</si>
  <si>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</si>
  <si>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</si>
  <si>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</si>
  <si>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</si>
  <si>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</si>
  <si>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</si>
  <si>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</si>
  <si>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</si>
  <si>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</si>
  <si>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</si>
  <si>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</si>
  <si>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</si>
  <si>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</si>
  <si>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</si>
  <si>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</si>
  <si>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</si>
  <si>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</si>
  <si>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</si>
  <si>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</si>
  <si>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</si>
  <si>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</si>
  <si>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</si>
  <si>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</si>
  <si>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</si>
  <si>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</si>
  <si>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</si>
  <si>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</si>
  <si>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</si>
  <si>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</si>
  <si>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</si>
  <si>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</si>
  <si>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</si>
  <si>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</si>
  <si>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</si>
  <si>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</si>
  <si>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</si>
  <si>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</si>
  <si>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</si>
  <si>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</si>
  <si>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</si>
  <si>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</si>
  <si>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</si>
  <si>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</si>
  <si>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</si>
  <si>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</si>
  <si>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</si>
  <si>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</si>
  <si>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</si>
  <si>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</si>
  <si>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</si>
  <si>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</si>
  <si>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</si>
  <si>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</si>
  <si>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</si>
  <si>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</si>
  <si>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</si>
  <si>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</si>
  <si>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</si>
  <si>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</si>
  <si>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</si>
  <si>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</si>
  <si>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</si>
  <si>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</si>
  <si>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</si>
  <si>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</si>
  <si>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</si>
  <si>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</si>
  <si>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</si>
  <si>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</si>
  <si>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</si>
  <si>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</si>
  <si>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</si>
  <si>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</si>
  <si>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</si>
  <si>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</si>
  <si>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</si>
  <si>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</si>
  <si>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</si>
  <si>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</si>
  <si>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</si>
  <si>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</si>
  <si>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</si>
  <si>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</si>
  <si>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</si>
  <si>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</si>
  <si>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</si>
  <si>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</si>
  <si>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</si>
  <si>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</si>
  <si>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</si>
  <si>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</si>
  <si>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</si>
  <si>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</si>
  <si>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</si>
  <si>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</si>
  <si>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</si>
  <si>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</si>
  <si>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</si>
  <si>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</si>
  <si>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</si>
  <si>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</si>
  <si>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</si>
  <si>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</si>
  <si>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</si>
  <si>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</si>
  <si>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</si>
  <si>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</si>
  <si>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</si>
  <si>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</si>
  <si>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</si>
  <si>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</si>
  <si>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</si>
  <si>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</si>
  <si>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</si>
  <si>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</si>
  <si>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</si>
  <si>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</si>
  <si>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</si>
  <si>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</si>
  <si>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</si>
  <si>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</si>
  <si>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</si>
  <si>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</si>
  <si>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</si>
  <si>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</si>
  <si>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</si>
  <si>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</si>
  <si>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</si>
  <si>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</si>
  <si>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</si>
  <si>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</si>
  <si>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</si>
  <si>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</si>
  <si>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</si>
  <si>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</si>
  <si>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</si>
  <si>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</si>
  <si>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</si>
  <si>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</si>
  <si>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</si>
  <si>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</si>
  <si>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</si>
  <si>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</si>
  <si>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</si>
  <si>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</si>
  <si>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</si>
  <si>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</si>
  <si>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</si>
  <si>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</si>
  <si>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</si>
  <si>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</si>
  <si>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</si>
  <si>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</si>
  <si>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</si>
  <si>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</si>
  <si>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</si>
  <si>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</si>
  <si>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</si>
  <si>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</si>
  <si>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</si>
  <si>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</si>
  <si>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</si>
  <si>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</si>
  <si>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</si>
  <si>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</si>
  <si>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</si>
  <si>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</si>
  <si>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</si>
  <si>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</si>
  <si>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</si>
  <si>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</si>
  <si>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</si>
  <si>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</si>
  <si>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</si>
  <si>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</si>
  <si>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</si>
  <si>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</si>
  <si>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</si>
  <si>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</si>
  <si>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</si>
  <si>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</si>
  <si>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</si>
  <si>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</si>
  <si>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</si>
  <si>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</si>
  <si>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</si>
  <si>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</si>
  <si>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</si>
  <si>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</si>
  <si>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</si>
  <si>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</si>
  <si>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</si>
  <si>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</si>
  <si>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</si>
  <si>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</si>
  <si>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</si>
  <si>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</si>
  <si>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</si>
  <si>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</si>
  <si>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</si>
  <si>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</si>
  <si>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</si>
  <si>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</si>
  <si>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</si>
  <si>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</si>
  <si>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</si>
  <si>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</si>
  <si>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</si>
  <si>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</si>
  <si>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</si>
  <si>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</si>
  <si>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</si>
  <si>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</si>
  <si>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</si>
  <si>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</si>
  <si>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</si>
  <si>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</si>
  <si>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</si>
  <si>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</si>
  <si>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</si>
  <si>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</si>
  <si>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</si>
  <si>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</si>
  <si>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</si>
  <si>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</si>
  <si>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</si>
  <si>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</si>
  <si>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</si>
  <si>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</si>
  <si>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</si>
  <si>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</si>
  <si>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</si>
  <si>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</si>
  <si>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</si>
  <si>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</si>
  <si>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</si>
  <si>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</si>
  <si>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</si>
  <si>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</si>
  <si>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</si>
  <si>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</si>
  <si>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</si>
  <si>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</si>
  <si>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</si>
  <si>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</si>
  <si>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</si>
  <si>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</si>
  <si>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</si>
  <si>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</si>
  <si>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</si>
  <si>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</si>
  <si>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</si>
  <si>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</si>
  <si>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</si>
  <si>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</si>
  <si>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</si>
  <si>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</si>
  <si>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</si>
  <si>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</si>
  <si>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</si>
  <si>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</si>
  <si>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</si>
  <si>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</si>
  <si>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</si>
  <si>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</si>
  <si>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</si>
  <si>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</si>
  <si>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</si>
  <si>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</si>
  <si>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</si>
  <si>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</si>
  <si>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</si>
  <si>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</si>
  <si>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</si>
  <si>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</si>
  <si>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</si>
  <si>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</si>
  <si>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</si>
  <si>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</si>
  <si>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</si>
  <si>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</si>
  <si>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</si>
  <si>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</si>
  <si>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</si>
  <si>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</si>
  <si>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</si>
  <si>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</si>
  <si>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</si>
  <si>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</si>
  <si>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</si>
  <si>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</si>
  <si>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</si>
  <si>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</si>
  <si>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</si>
  <si>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</si>
  <si>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</si>
  <si>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</si>
  <si>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</si>
  <si>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</si>
  <si>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</si>
  <si>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</si>
  <si>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</si>
  <si>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</si>
  <si>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</si>
  <si>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</si>
  <si>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</si>
  <si>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</si>
  <si>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</si>
  <si>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</si>
  <si>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</si>
  <si>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</si>
  <si>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</si>
  <si>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</si>
  <si>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</si>
  <si>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</si>
  <si>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</si>
  <si>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</si>
  <si>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</si>
  <si>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</si>
  <si>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</si>
  <si>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</si>
  <si>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</si>
  <si>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</si>
  <si>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</si>
  <si>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</si>
  <si>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</si>
  <si>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</si>
  <si>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</si>
  <si>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</si>
  <si>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</si>
  <si>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</si>
  <si>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</si>
  <si>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</si>
  <si>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</si>
  <si>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</si>
  <si>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</si>
  <si>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</si>
  <si>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</si>
  <si>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</si>
  <si>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</si>
  <si>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</si>
  <si>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</si>
  <si>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</si>
  <si>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</si>
  <si>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</si>
  <si>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</si>
  <si>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</si>
  <si>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</si>
  <si>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</si>
  <si>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</si>
  <si>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</si>
  <si>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</si>
  <si>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</si>
  <si>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</si>
  <si>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</si>
  <si>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</si>
  <si>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</si>
  <si>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</si>
  <si>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</si>
  <si>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</si>
  <si>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</si>
  <si>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</si>
  <si>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</si>
  <si>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</si>
  <si>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</si>
  <si>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</si>
  <si>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</si>
  <si>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</si>
  <si>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</si>
  <si>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</si>
  <si>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</si>
  <si>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</si>
  <si>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</si>
  <si>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</si>
  <si>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</si>
  <si>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</si>
  <si>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</si>
  <si>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</si>
  <si>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</si>
  <si>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</si>
  <si>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</si>
  <si>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</si>
  <si>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</si>
  <si>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</si>
  <si>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</si>
  <si>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</si>
  <si>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</si>
  <si>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</si>
  <si>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</si>
  <si>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</si>
  <si>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</si>
  <si>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</si>
  <si>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</si>
  <si>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</si>
  <si>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</si>
  <si>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</si>
  <si>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</si>
  <si>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</si>
  <si>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</si>
  <si>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</si>
  <si>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</si>
  <si>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</si>
  <si>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</si>
  <si>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</si>
  <si>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</si>
  <si>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</si>
  <si>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</si>
  <si>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</si>
  <si>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</si>
  <si>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</si>
  <si>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</si>
  <si>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</si>
  <si>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</si>
  <si>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</si>
  <si>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</si>
  <si>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</si>
  <si>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</si>
  <si>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</si>
  <si>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</si>
  <si>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</si>
  <si>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</si>
  <si>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</si>
  <si>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</si>
  <si>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</si>
  <si>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</si>
  <si>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</si>
  <si>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</si>
  <si>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</si>
  <si>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</si>
  <si>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</si>
  <si>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</si>
  <si>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</si>
  <si>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</si>
  <si>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</si>
  <si>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</si>
  <si>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</si>
  <si>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</si>
  <si>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</si>
  <si>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</si>
  <si>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</si>
  <si>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</si>
  <si>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</si>
  <si>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</si>
  <si>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</si>
  <si>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</si>
  <si>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</si>
  <si>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</si>
  <si>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</si>
  <si>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</si>
  <si>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</si>
  <si>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</si>
  <si>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</si>
  <si>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</si>
  <si>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</si>
  <si>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</si>
  <si>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</si>
  <si>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</si>
  <si>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</si>
  <si>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</si>
  <si>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</si>
  <si>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</si>
  <si>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Crêpes</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</si>
  <si>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</si>
  <si>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</si>
  <si>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</si>
  <si>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</si>
  <si>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</si>
  <si>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</si>
  <si>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</si>
  <si>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</si>
  <si>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</si>
  <si>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</si>
  <si>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</si>
  <si>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</si>
  <si>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</si>
  <si>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</si>
  <si>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</si>
  <si>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</si>
  <si>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</si>
  <si>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</si>
  <si>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</si>
  <si>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</si>
  <si>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</si>
  <si>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</si>
  <si>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</si>
  <si>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</si>
  <si>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</si>
  <si>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</si>
  <si>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</si>
  <si>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</si>
  <si>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</si>
  <si>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</si>
  <si>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</si>
  <si>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</si>
  <si>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</si>
  <si>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</si>
  <si>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</si>
  <si>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</si>
  <si>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</si>
  <si>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</si>
  <si>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</si>
  <si>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</si>
  <si>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</si>
  <si>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</si>
  <si>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</si>
  <si>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</si>
  <si>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</si>
  <si>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</si>
  <si>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</si>
  <si>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</si>
  <si>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</si>
  <si>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</si>
  <si>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</si>
  <si>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</si>
  <si>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</si>
  <si>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</si>
  <si>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</si>
  <si>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</si>
  <si>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</si>
  <si>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</si>
  <si>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</si>
  <si>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</si>
  <si>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</si>
  <si>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</si>
  <si>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</si>
  <si>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</si>
  <si>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</si>
  <si>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</si>
  <si>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</si>
  <si>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</si>
  <si>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</si>
  <si>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</si>
  <si>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</si>
  <si>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</si>
  <si>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</si>
  <si>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</si>
  <si>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</si>
  <si>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</si>
  <si>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</si>
  <si>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</si>
  <si>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</si>
  <si>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</si>
  <si>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</si>
  <si>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</si>
  <si>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</si>
  <si>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</si>
  <si>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</si>
  <si>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</si>
  <si>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</si>
  <si>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</si>
  <si>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</si>
  <si>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</si>
  <si>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</si>
  <si>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</si>
  <si>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</si>
  <si>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</si>
  <si>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</si>
  <si>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</si>
  <si>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</si>
  <si>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</si>
  <si>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</si>
  <si>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</si>
  <si>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</si>
  <si>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</si>
  <si>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</si>
  <si>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</si>
  <si>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</si>
  <si>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</si>
  <si>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</si>
  <si>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</si>
  <si>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</si>
  <si>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</si>
  <si>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</si>
  <si>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</si>
  <si>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</si>
  <si>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</si>
  <si>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</si>
  <si>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</si>
  <si>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</si>
  <si>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</si>
  <si>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</si>
  <si>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</si>
  <si>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</si>
  <si>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</si>
  <si>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</si>
  <si>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</si>
  <si>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</si>
  <si>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</si>
  <si>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</si>
  <si>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</si>
  <si>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</si>
  <si>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</si>
  <si>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</si>
  <si>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</si>
  <si>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</si>
  <si>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</si>
  <si>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</si>
  <si>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</si>
  <si>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</si>
  <si>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</si>
  <si>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</si>
  <si>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</si>
  <si>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</si>
  <si>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</si>
  <si>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</si>
  <si>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</si>
  <si>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</si>
  <si>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</si>
  <si>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</si>
  <si>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</si>
  <si>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</si>
  <si>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</si>
  <si>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</si>
  <si>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</si>
  <si>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</si>
  <si>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</si>
  <si>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</si>
  <si>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</si>
  <si>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</si>
  <si>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</si>
  <si>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</si>
  <si>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</si>
  <si>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</si>
  <si>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</si>
  <si>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</si>
  <si>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</si>
  <si>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</si>
  <si>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</si>
  <si>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</si>
  <si>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</si>
  <si>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</si>
  <si>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</si>
  <si>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</si>
  <si>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</si>
  <si>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</si>
  <si>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</si>
  <si>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</si>
  <si>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</si>
  <si>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</si>
  <si>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</si>
  <si>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</si>
  <si>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</si>
  <si>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</si>
  <si>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</si>
  <si>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</si>
  <si>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</si>
  <si>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</si>
  <si>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</si>
  <si>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</si>
  <si>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</si>
  <si>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</si>
  <si>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</si>
  <si>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</si>
  <si>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</si>
  <si>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</si>
  <si>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</si>
  <si>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</si>
  <si>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</si>
  <si>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</si>
  <si>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</si>
  <si>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</si>
  <si>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</si>
  <si>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</si>
  <si>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</si>
  <si>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</si>
  <si>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</si>
  <si>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</si>
  <si>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</si>
  <si>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</si>
  <si>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</si>
  <si>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</si>
  <si>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</si>
  <si>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</si>
  <si>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</si>
  <si>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</si>
  <si>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</si>
  <si>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</si>
  <si>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</si>
  <si>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</si>
  <si>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</si>
  <si>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</si>
  <si>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</si>
  <si>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</si>
  <si>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</si>
  <si>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</si>
  <si>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</si>
  <si>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</si>
  <si>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</si>
  <si>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</si>
  <si>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</si>
  <si>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</si>
  <si>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</si>
  <si>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</si>
  <si>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</si>
  <si>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</si>
  <si>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</si>
  <si>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</si>
  <si>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</si>
  <si>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</si>
  <si>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</si>
  <si>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</si>
  <si>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</si>
  <si>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</si>
  <si>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</si>
  <si>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</si>
  <si>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</si>
  <si>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</si>
  <si>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</si>
  <si>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</si>
  <si>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</si>
  <si>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</si>
  <si>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</si>
  <si>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</si>
  <si>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</si>
  <si>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</si>
  <si>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</si>
  <si>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</si>
  <si>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</si>
  <si>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</si>
  <si>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</si>
  <si>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</si>
  <si>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</si>
  <si>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</si>
  <si>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</si>
  <si>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</si>
  <si>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</si>
  <si>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</si>
  <si>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</si>
  <si>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</si>
  <si>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</si>
  <si>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</si>
  <si>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</si>
  <si>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</si>
  <si>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</si>
  <si>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</si>
  <si>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</si>
  <si>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</si>
  <si>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</si>
  <si>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</si>
  <si>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</si>
  <si>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</si>
  <si>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</si>
  <si>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</si>
  <si>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</si>
  <si>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</si>
  <si>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</si>
  <si>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</si>
  <si>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</si>
  <si>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</si>
  <si>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</si>
  <si>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</si>
  <si>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</si>
  <si>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</si>
  <si>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</si>
  <si>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</si>
  <si>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</si>
  <si>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</si>
  <si>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</si>
  <si>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</si>
  <si>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</si>
  <si>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</si>
  <si>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</si>
  <si>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</si>
  <si>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</si>
  <si>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</si>
  <si>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</si>
  <si>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</si>
  <si>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</si>
  <si>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</si>
  <si>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</si>
  <si>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</si>
  <si>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</si>
  <si>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</si>
  <si>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</si>
  <si>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</si>
  <si>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</si>
  <si>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</si>
  <si>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</si>
  <si>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</si>
  <si>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</si>
  <si>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</si>
  <si>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</si>
  <si>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</si>
  <si>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</si>
  <si>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</si>
  <si>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</si>
  <si>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</si>
  <si>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</si>
  <si>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</si>
  <si>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</si>
  <si>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</si>
  <si>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</si>
  <si>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</si>
  <si>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</si>
  <si>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</si>
  <si>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</si>
  <si>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</si>
  <si>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</si>
  <si>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</si>
  <si>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</si>
  <si>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</si>
  <si>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</si>
  <si>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</si>
  <si>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</si>
  <si>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</si>
  <si>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</si>
  <si>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</si>
  <si>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</si>
  <si>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</si>
  <si>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</si>
  <si>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</si>
  <si>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</si>
  <si>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</si>
  <si>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</si>
  <si>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</si>
  <si>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</si>
  <si>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</si>
  <si>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</si>
  <si>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</si>
  <si>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</si>
  <si>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</si>
  <si>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</si>
  <si>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</si>
  <si>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</si>
  <si>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</si>
  <si>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</si>
  <si>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</si>
  <si>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</si>
  <si>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</si>
  <si>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</si>
  <si>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</si>
  <si>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</si>
  <si>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</si>
  <si>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</si>
  <si>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</si>
  <si>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</si>
  <si>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</si>
  <si>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</si>
  <si>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</si>
  <si>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</si>
  <si>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</si>
  <si>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</si>
  <si>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</si>
  <si>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</si>
  <si>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</si>
  <si>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</si>
  <si>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</si>
  <si>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</si>
  <si>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</si>
  <si>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</si>
  <si>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</si>
  <si>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</si>
  <si>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</si>
  <si>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</si>
  <si>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</si>
  <si>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</si>
  <si>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</si>
  <si>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</si>
  <si>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</si>
  <si>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</si>
  <si>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</si>
  <si>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</si>
  <si>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</si>
  <si>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</si>
  <si>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</si>
  <si>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</si>
  <si>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</si>
  <si>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</si>
  <si>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</si>
  <si>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</si>
  <si>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</si>
  <si>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</si>
  <si>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</si>
  <si>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</si>
  <si>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</si>
  <si>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</si>
  <si>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</si>
  <si>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</si>
  <si>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</si>
  <si>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</si>
  <si>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</si>
  <si>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</si>
  <si>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</si>
  <si>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</si>
  <si>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</si>
  <si>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</si>
  <si>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</si>
  <si>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</si>
  <si>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</si>
  <si>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</si>
  <si>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</si>
  <si>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</si>
  <si>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</si>
  <si>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</si>
  <si>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</si>
  <si>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</si>
  <si>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</si>
  <si>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</si>
  <si>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</si>
  <si>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</si>
  <si>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</si>
  <si>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</si>
  <si>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</si>
  <si>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</si>
  <si>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</si>
  <si>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</si>
  <si>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</si>
  <si>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</si>
  <si>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</si>
  <si>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</si>
  <si>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</si>
  <si>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</si>
  <si>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</si>
  <si>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</si>
  <si>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</si>
  <si>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</si>
  <si>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</si>
  <si>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</si>
  <si>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</si>
  <si>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</si>
  <si>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</si>
  <si>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</si>
  <si>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</si>
  <si>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</si>
  <si>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</si>
  <si>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</si>
  <si>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</si>
  <si>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</si>
  <si>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</si>
  <si>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</si>
  <si>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</si>
  <si>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</si>
  <si>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</si>
  <si>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</si>
  <si>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</si>
  <si>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</si>
  <si>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</si>
  <si>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</si>
  <si>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</si>
  <si>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</si>
  <si>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</si>
  <si>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</si>
  <si>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</si>
  <si>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</si>
  <si>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</si>
  <si>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</si>
  <si>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</si>
  <si>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</si>
  <si>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</si>
  <si>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</si>
  <si>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</si>
  <si>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</si>
  <si>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</si>
  <si>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</si>
  <si>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</si>
  <si>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</si>
  <si>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</si>
  <si>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</si>
  <si>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</si>
  <si>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</si>
  <si>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</si>
  <si>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</si>
  <si>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</si>
  <si>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</si>
  <si>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</si>
  <si>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</si>
  <si>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</si>
  <si>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</si>
  <si>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</si>
  <si>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</si>
  <si>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</si>
  <si>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</si>
  <si>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</si>
  <si>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</si>
  <si>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</si>
  <si>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</si>
  <si>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</si>
  <si>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</si>
  <si>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</si>
  <si>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</si>
  <si>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</si>
  <si>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</si>
  <si>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</si>
  <si>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</si>
  <si>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</si>
  <si>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</si>
  <si>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</si>
  <si>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</si>
  <si>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</si>
  <si>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</si>
  <si>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</si>
  <si>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</si>
  <si>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</si>
  <si>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</si>
  <si>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</si>
  <si>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</si>
  <si>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</si>
  <si>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</si>
  <si>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</si>
  <si>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</si>
  <si>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</si>
  <si>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</si>
  <si>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</si>
  <si>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</si>
  <si>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</si>
  <si>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</si>
  <si>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</si>
  <si>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</si>
  <si>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</si>
  <si>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</si>
  <si>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</si>
  <si>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</si>
  <si>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</si>
  <si>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</si>
  <si>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</si>
  <si>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</si>
  <si>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</si>
  <si>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</si>
  <si>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</si>
  <si>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</si>
  <si>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</si>
  <si>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</si>
  <si>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</si>
  <si>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</si>
  <si>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</si>
  <si>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</si>
  <si>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</si>
  <si>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</si>
  <si>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</si>
  <si>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</si>
  <si>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</si>
  <si>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</si>
  <si>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</si>
  <si>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</si>
  <si>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</si>
  <si>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</si>
  <si>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</si>
  <si>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</si>
  <si>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</si>
  <si>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</si>
  <si>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</si>
  <si>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</si>
  <si>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</si>
  <si>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</si>
  <si>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</si>
  <si>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</si>
  <si>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</si>
  <si>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</si>
  <si>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</si>
  <si>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</si>
  <si>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</si>
  <si>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</si>
  <si>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</si>
  <si>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</si>
  <si>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</si>
  <si>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</si>
  <si>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</si>
  <si>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</si>
  <si>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</si>
  <si>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</si>
  <si>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</si>
  <si>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</si>
  <si>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</si>
  <si>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</si>
  <si>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</si>
  <si>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</si>
  <si>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</si>
  <si>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</si>
  <si>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</si>
  <si>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</si>
  <si>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</si>
  <si>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</si>
  <si>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</si>
  <si>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</si>
  <si>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</si>
  <si>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</si>
  <si>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</si>
  <si>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</si>
  <si>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</si>
  <si>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</si>
  <si>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</si>
  <si>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</si>
  <si>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</si>
  <si>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</si>
  <si>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</si>
  <si>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</si>
  <si>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</si>
  <si>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</si>
  <si>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</si>
  <si>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</si>
  <si>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</si>
  <si>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</si>
  <si>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</si>
  <si>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</si>
  <si>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</si>
  <si>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</si>
  <si>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</si>
  <si>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</si>
  <si>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</si>
  <si>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</si>
  <si>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</si>
  <si>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</si>
  <si>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</si>
  <si>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</si>
  <si>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</si>
  <si>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</si>
  <si>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</si>
  <si>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</si>
  <si>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</si>
  <si>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</si>
  <si>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</si>
  <si>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</si>
  <si>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</si>
  <si>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</si>
  <si>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</si>
  <si>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</si>
  <si>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</si>
  <si>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</si>
  <si>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</si>
  <si>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</si>
  <si>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</si>
  <si>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</si>
  <si>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</si>
  <si>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</si>
  <si>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</si>
  <si>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</si>
  <si>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</si>
  <si>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</si>
  <si>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</si>
  <si>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</si>
  <si>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</si>
  <si>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</si>
  <si>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</si>
  <si>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</si>
  <si>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</si>
  <si>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</si>
  <si>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</si>
  <si>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</si>
  <si>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</si>
  <si>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</si>
  <si>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</si>
  <si>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</si>
  <si>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</si>
  <si>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</si>
  <si>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</si>
  <si>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</si>
  <si>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</si>
  <si>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</si>
  <si>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</si>
  <si>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</si>
  <si>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</si>
  <si>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</si>
  <si>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</si>
  <si>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</si>
  <si>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</si>
  <si>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</si>
  <si>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</si>
  <si>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</si>
  <si>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</si>
  <si>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</si>
  <si>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</si>
  <si>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</si>
  <si>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</si>
  <si>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</si>
  <si>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</si>
  <si>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</si>
  <si>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</si>
  <si>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</si>
  <si>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</si>
  <si>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</si>
  <si>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</si>
  <si>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</si>
  <si>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</si>
  <si>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</si>
  <si>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</si>
  <si>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</si>
  <si>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</si>
  <si>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</si>
  <si>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</si>
  <si>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</si>
  <si>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</si>
  <si>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</si>
  <si>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</si>
  <si>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</si>
  <si>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</si>
  <si>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</si>
  <si>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</si>
  <si>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</si>
  <si>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</si>
  <si>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</si>
  <si>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</si>
  <si>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</si>
  <si>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</si>
  <si>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</si>
  <si>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</si>
  <si>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</si>
  <si>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</si>
  <si>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</si>
  <si>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</si>
  <si>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</si>
  <si>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</si>
  <si>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</si>
  <si>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</si>
  <si>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</si>
  <si>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</si>
  <si>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</si>
  <si>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</si>
  <si>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</si>
  <si>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</si>
  <si>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</si>
  <si>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</si>
  <si>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</si>
  <si>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</si>
  <si>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</si>
  <si>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</si>
  <si>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</si>
  <si>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</si>
  <si>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</si>
  <si>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</si>
  <si>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</si>
  <si>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</si>
  <si>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</si>
  <si>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</si>
  <si>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</si>
  <si>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</si>
  <si>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</si>
  <si>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</si>
  <si>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</si>
  <si>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</si>
  <si>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</si>
  <si>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</si>
  <si>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</si>
  <si>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</si>
  <si>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</si>
  <si>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</si>
  <si>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</si>
  <si>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</si>
  <si>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</si>
  <si>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</si>
  <si>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</si>
  <si>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</si>
  <si>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</si>
  <si>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</si>
  <si>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</si>
  <si>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</si>
  <si>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</si>
  <si>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</si>
  <si>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</si>
  <si>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</si>
  <si>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</si>
  <si>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</si>
  <si>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</si>
  <si>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</si>
  <si>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</si>
  <si>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</si>
  <si>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</si>
  <si>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</si>
  <si>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</si>
  <si>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</si>
  <si>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</si>
  <si>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</si>
  <si>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</si>
  <si>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</si>
  <si>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</si>
  <si>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</si>
  <si>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</si>
  <si>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</si>
  <si>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</si>
  <si>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</si>
  <si>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</si>
  <si>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</si>
  <si>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</si>
  <si>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</si>
  <si>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</si>
  <si>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</si>
  <si>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</si>
  <si>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</si>
  <si>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</si>
  <si>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</si>
  <si>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</si>
  <si>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</si>
  <si>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</si>
  <si>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</si>
  <si>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</si>
  <si>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</si>
  <si>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</si>
  <si>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</si>
  <si>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</si>
  <si>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</si>
  <si>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</si>
  <si>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</si>
  <si>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</si>
  <si>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</si>
  <si>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</si>
  <si>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</si>
  <si>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</si>
  <si>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</si>
  <si>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</si>
  <si>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</si>
  <si>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</si>
  <si>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</si>
  <si>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</si>
  <si>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</si>
  <si>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</si>
  <si>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</si>
  <si>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</si>
  <si>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</si>
  <si>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</si>
  <si>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</si>
  <si>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</si>
  <si>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</si>
  <si>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</si>
  <si>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</si>
  <si>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</si>
  <si>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</si>
  <si>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</si>
  <si>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</si>
  <si>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</si>
  <si>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</si>
  <si>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</si>
  <si>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</si>
  <si>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</si>
  <si>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</si>
  <si>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</si>
  <si>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</si>
  <si>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</si>
  <si>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</si>
  <si>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</si>
  <si>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</si>
  <si>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</si>
  <si>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</si>
  <si>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</si>
  <si>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</si>
  <si>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</si>
  <si>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</si>
  <si>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</si>
  <si>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</si>
  <si>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</si>
  <si>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</si>
  <si>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</si>
  <si>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</si>
  <si>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</si>
  <si>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</si>
  <si>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</si>
  <si>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</si>
  <si>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</si>
  <si>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</si>
  <si>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</si>
  <si>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</si>
  <si>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</si>
  <si>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</si>
  <si>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</si>
  <si>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</si>
  <si>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</si>
  <si>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</si>
  <si>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</si>
  <si>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</si>
  <si>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</si>
  <si>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</si>
  <si>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</si>
  <si>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</si>
  <si>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</si>
  <si>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</si>
  <si>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</si>
  <si>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</si>
  <si>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</si>
  <si>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</si>
  <si>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</si>
  <si>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</si>
  <si>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</si>
  <si>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</si>
  <si>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</si>
  <si>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</si>
  <si>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</si>
  <si>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</si>
  <si>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</si>
  <si>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</si>
  <si>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</si>
  <si>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</si>
  <si>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</si>
  <si>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</si>
  <si>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</si>
  <si>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</si>
  <si>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</si>
  <si>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</si>
  <si>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</si>
  <si>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</si>
  <si>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</si>
  <si>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</si>
  <si>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</si>
  <si>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</si>
  <si>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</si>
  <si>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</si>
  <si>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</si>
  <si>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</si>
  <si>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</si>
  <si>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</si>
  <si>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</si>
  <si>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</si>
  <si>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</si>
  <si>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</si>
  <si>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</si>
  <si>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</si>
  <si>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</si>
  <si>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</si>
  <si>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</si>
  <si>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</si>
  <si>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</si>
  <si>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</si>
  <si>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</si>
  <si>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</si>
  <si>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</si>
  <si>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</si>
  <si>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</si>
  <si>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</si>
  <si>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</si>
  <si>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</si>
  <si>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</si>
  <si>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</si>
  <si>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</si>
  <si>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</si>
  <si>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</si>
  <si>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</si>
  <si>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</si>
  <si>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</si>
  <si>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</si>
  <si>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</si>
  <si>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</si>
  <si>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</si>
  <si>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</si>
  <si>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</si>
  <si>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</si>
  <si>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</si>
  <si>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</si>
  <si>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</si>
  <si>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</si>
  <si>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</si>
  <si>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</si>
  <si>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</si>
  <si>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</si>
  <si>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</si>
  <si>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</si>
  <si>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</si>
  <si>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</si>
  <si>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</si>
  <si>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</si>
  <si>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</si>
  <si>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</si>
  <si>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</si>
  <si>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</si>
  <si>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</si>
  <si>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</si>
  <si>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</si>
  <si>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</si>
  <si>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</si>
  <si>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</si>
  <si>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</si>
  <si>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</si>
  <si>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</si>
  <si>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</si>
  <si>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</si>
  <si>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</si>
  <si>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</si>
  <si>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</si>
  <si>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</si>
  <si>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</si>
  <si>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</si>
  <si>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</si>
  <si>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</si>
  <si>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</si>
  <si>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</si>
  <si>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</si>
  <si>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</si>
  <si>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</si>
  <si>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</si>
  <si>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</si>
  <si>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</si>
  <si>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</si>
  <si>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</si>
  <si>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</si>
  <si>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</si>
  <si>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</si>
  <si>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</si>
  <si>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</si>
  <si>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</si>
  <si>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</si>
  <si>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</si>
  <si>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</si>
  <si>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</si>
  <si>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</si>
  <si>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</si>
  <si>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</si>
  <si>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</si>
  <si>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</si>
  <si>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</si>
  <si>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</si>
  <si>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</si>
  <si>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</si>
  <si>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</si>
  <si>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</si>
  <si>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</si>
  <si>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</si>
  <si>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</si>
  <si>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</si>
  <si>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</si>
  <si>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</si>
  <si>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</si>
  <si>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</si>
  <si>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</si>
  <si>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</si>
  <si>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</si>
  <si>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</si>
  <si>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</si>
  <si>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</si>
  <si>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</si>
  <si>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</si>
  <si>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</si>
  <si>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</si>
  <si>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</si>
  <si>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</si>
  <si>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</si>
  <si>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</si>
  <si>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</si>
  <si>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</si>
  <si>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</si>
  <si>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</si>
  <si>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</si>
  <si>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</si>
  <si>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</si>
  <si>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</si>
  <si>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</si>
  <si>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</si>
  <si>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</si>
  <si>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</si>
  <si>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</si>
  <si>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</si>
  <si>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</si>
  <si>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</si>
  <si>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</si>
  <si>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</si>
  <si>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</si>
  <si>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</si>
  <si>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</si>
  <si>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</si>
  <si>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</si>
  <si>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</si>
  <si>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</si>
  <si>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</si>
  <si>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</si>
  <si>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</si>
  <si>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</si>
  <si>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</si>
  <si>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</si>
  <si>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</si>
  <si>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</si>
  <si>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</si>
  <si>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</si>
  <si>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</si>
  <si>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</si>
  <si>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</si>
  <si>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</si>
  <si>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</si>
  <si>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</si>
  <si>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</si>
  <si>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</si>
  <si>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</si>
  <si>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</si>
  <si>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</si>
  <si>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</si>
  <si>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</si>
  <si>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</si>
  <si>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</si>
  <si>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</si>
  <si>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</si>
  <si>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</si>
  <si>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</si>
  <si>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</si>
  <si>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</si>
  <si>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</si>
  <si>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</si>
  <si>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</si>
  <si>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</si>
  <si>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</si>
  <si>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</si>
  <si>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</si>
  <si>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</si>
  <si>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</si>
  <si>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</si>
  <si>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</si>
  <si>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</si>
  <si>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</si>
  <si>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</si>
  <si>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</si>
  <si>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</si>
  <si>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</si>
  <si>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</si>
  <si>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</si>
  <si>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</si>
  <si>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</si>
  <si>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</si>
  <si>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</si>
  <si>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</si>
  <si>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</si>
  <si>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</si>
  <si>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</si>
  <si>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</si>
  <si>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</si>
  <si>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</si>
  <si>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</si>
  <si>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</si>
  <si>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</si>
  <si>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</si>
  <si>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</si>
  <si>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</si>
  <si>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</si>
  <si>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</si>
  <si>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</si>
  <si>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</si>
  <si>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</si>
  <si>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</si>
  <si>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</si>
  <si>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</si>
  <si>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</si>
  <si>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</si>
  <si>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</si>
  <si>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</si>
  <si>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</si>
  <si>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</si>
  <si>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</si>
  <si>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</si>
  <si>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</si>
  <si>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</si>
  <si>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</si>
  <si>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</si>
  <si>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</si>
  <si>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</si>
  <si>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</si>
  <si>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</si>
  <si>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</si>
  <si>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</si>
  <si>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</si>
  <si>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</si>
  <si>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</si>
  <si>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</si>
  <si>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</si>
  <si>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</si>
  <si>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</si>
  <si>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</si>
  <si>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</si>
  <si>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</si>
  <si>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</si>
  <si>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</si>
  <si>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</si>
  <si>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</si>
  <si>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</si>
  <si>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</si>
  <si>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</si>
  <si>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</si>
  <si>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</si>
  <si>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</si>
  <si>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</si>
  <si>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</si>
  <si>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</si>
  <si>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</si>
  <si>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</si>
  <si>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</si>
  <si>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</si>
  <si>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</si>
  <si>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</si>
  <si>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</si>
  <si>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</si>
  <si>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</si>
  <si>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</si>
  <si>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</si>
  <si>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</si>
  <si>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</si>
  <si>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</si>
  <si>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</si>
  <si>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</si>
  <si>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</si>
  <si>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</si>
  <si>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</si>
  <si>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</si>
  <si>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</si>
  <si>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</si>
  <si>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</si>
  <si>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</si>
  <si>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</si>
  <si>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</si>
  <si>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</si>
  <si>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</si>
  <si>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</si>
  <si>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</si>
  <si>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</si>
  <si>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</si>
  <si>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</si>
  <si>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</si>
  <si>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</si>
  <si>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</si>
  <si>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</si>
  <si>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</si>
  <si>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</si>
  <si>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</si>
  <si>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</si>
  <si>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</si>
  <si>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</si>
  <si>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</si>
  <si>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</si>
  <si>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</si>
  <si>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</si>
  <si>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</si>
  <si>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</si>
  <si>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</si>
  <si>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</si>
  <si>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</si>
  <si>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</si>
  <si>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</si>
  <si>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</si>
  <si>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</si>
  <si>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</si>
  <si>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</si>
  <si>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</si>
  <si>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</si>
  <si>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</si>
  <si>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</si>
  <si>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</si>
  <si>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</si>
  <si>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</si>
  <si>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</si>
  <si>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</si>
  <si>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</si>
  <si>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</si>
  <si>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</si>
  <si>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</si>
  <si>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</si>
  <si>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</si>
  <si>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</si>
  <si>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</si>
  <si>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</si>
  <si>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</si>
  <si>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</si>
  <si>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</si>
  <si>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</si>
  <si>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</si>
  <si>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</si>
  <si>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</si>
  <si>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</si>
  <si>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</si>
  <si>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</si>
  <si>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</si>
  <si>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</si>
  <si>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</si>
  <si>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</si>
  <si>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</si>
  <si>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</si>
  <si>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</si>
  <si>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</si>
  <si>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</si>
  <si>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</si>
  <si>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</si>
  <si>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</si>
  <si>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</si>
  <si>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</si>
  <si>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</si>
  <si>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</si>
  <si>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</si>
  <si>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</si>
  <si>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</si>
  <si>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</si>
  <si>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</si>
  <si>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</si>
  <si>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</si>
  <si>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</si>
  <si>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</si>
  <si>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</si>
  <si>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</si>
  <si>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</si>
  <si>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</si>
  <si>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</si>
  <si>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</si>
  <si>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</si>
  <si>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</si>
  <si>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</si>
  <si>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</si>
  <si>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</si>
  <si>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</si>
  <si>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</si>
  <si>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</si>
  <si>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</si>
  <si>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</si>
  <si>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</si>
  <si>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</si>
  <si>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</si>
  <si>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</si>
  <si>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</si>
  <si>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</si>
  <si>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</si>
  <si>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</si>
  <si>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</si>
  <si>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</si>
  <si>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</si>
  <si>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</si>
  <si>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</si>
  <si>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</si>
  <si>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</si>
  <si>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</si>
  <si>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</si>
  <si>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</si>
  <si>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</si>
  <si>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</si>
  <si>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</si>
  <si>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</si>
  <si>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</si>
  <si>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</si>
  <si>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</si>
  <si>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</si>
  <si>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</si>
  <si>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</si>
  <si>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</si>
  <si>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</si>
  <si>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</si>
  <si>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</si>
  <si>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</si>
  <si>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</si>
  <si>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</si>
  <si>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</si>
  <si>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</si>
  <si>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</si>
  <si>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</si>
  <si>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</si>
  <si>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</si>
  <si>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</si>
  <si>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</si>
  <si>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</si>
  <si>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</si>
  <si>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</si>
  <si>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</si>
  <si>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</si>
  <si>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</si>
  <si>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</si>
  <si>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</si>
  <si>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</si>
  <si>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</si>
  <si>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</si>
  <si>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</si>
  <si>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</si>
  <si>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</si>
  <si>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</si>
  <si>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</si>
  <si>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</si>
  <si>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</si>
  <si>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</si>
  <si>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</si>
  <si>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</si>
  <si>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</si>
  <si>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</si>
  <si>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</si>
  <si>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</si>
  <si>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</si>
  <si>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</si>
  <si>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</si>
  <si>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</si>
  <si>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</si>
  <si>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</si>
  <si>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</si>
  <si>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</si>
  <si>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</si>
  <si>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</si>
  <si>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</si>
  <si>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</si>
  <si>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</si>
  <si>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</si>
  <si>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</si>
  <si>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</si>
  <si>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</si>
  <si>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</si>
  <si>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</si>
  <si>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</si>
  <si>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</si>
  <si>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</si>
  <si>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</si>
  <si>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</si>
  <si>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</si>
  <si>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</si>
  <si>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</si>
  <si>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</si>
  <si>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</si>
  <si>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</si>
  <si>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</si>
  <si>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</si>
  <si>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</si>
  <si>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</si>
  <si>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</si>
  <si>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</si>
  <si>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</si>
  <si>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</si>
  <si>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</si>
  <si>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</si>
  <si>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</si>
  <si>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</si>
  <si>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</si>
  <si>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</si>
  <si>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</si>
  <si>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</si>
  <si>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</si>
  <si>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</si>
  <si>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</si>
  <si>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</si>
  <si>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</si>
  <si>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</si>
  <si>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</si>
  <si>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</si>
  <si>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</si>
  <si>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</si>
  <si>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</si>
  <si>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</si>
  <si>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</si>
  <si>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</si>
  <si>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</si>
  <si>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</si>
  <si>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</si>
  <si>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</si>
  <si>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</si>
  <si>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</si>
  <si>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</si>
  <si>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</si>
  <si>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</si>
  <si>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</si>
  <si>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</si>
  <si>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</si>
  <si>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</si>
  <si>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</si>
  <si>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</si>
  <si>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</si>
  <si>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</si>
  <si>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</si>
  <si>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</si>
  <si>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</si>
  <si>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</si>
  <si>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</si>
  <si>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</si>
  <si>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</si>
  <si>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</si>
  <si>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</si>
  <si>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</si>
  <si>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</si>
  <si>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</si>
  <si>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</si>
  <si>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</si>
  <si>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</si>
  <si>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</si>
  <si>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</si>
  <si>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</si>
  <si>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</si>
  <si>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</si>
  <si>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</si>
  <si>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</si>
  <si>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</si>
  <si>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</si>
  <si>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</si>
  <si>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</si>
  <si>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</si>
  <si>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</si>
  <si>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</si>
  <si>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</si>
  <si>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</si>
  <si>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</si>
  <si>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</si>
  <si>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</si>
  <si>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</si>
  <si>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</si>
  <si>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</si>
  <si>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</si>
  <si>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</si>
  <si>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</si>
  <si>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</si>
  <si>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</si>
  <si>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</si>
  <si>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</si>
  <si>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</si>
  <si>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</si>
  <si>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</si>
  <si>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</si>
  <si>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</si>
  <si>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</si>
  <si>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</si>
  <si>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</si>
  <si>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</si>
  <si>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</si>
  <si>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</si>
  <si>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</si>
  <si>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</si>
  <si>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</si>
  <si>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</si>
  <si>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</si>
  <si>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</si>
  <si>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</si>
  <si>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</si>
  <si>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</si>
  <si>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</si>
  <si>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</si>
  <si>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</si>
  <si>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</si>
  <si>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</si>
  <si>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</si>
  <si>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</si>
  <si>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</si>
  <si>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</si>
  <si>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</si>
  <si>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</si>
  <si>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</si>
  <si>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</si>
  <si>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</si>
  <si>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</si>
  <si>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</si>
  <si>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</si>
  <si>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</si>
  <si>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</si>
  <si>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</si>
  <si>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</si>
  <si>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</si>
  <si>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</si>
  <si>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</si>
  <si>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</si>
  <si>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</si>
  <si>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</si>
  <si>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</si>
  <si>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</si>
  <si>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</si>
  <si>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</si>
  <si>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</si>
  <si>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</si>
  <si>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</si>
  <si>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</si>
  <si>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</si>
  <si>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</si>
  <si>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</si>
  <si>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</si>
  <si>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</si>
  <si>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</si>
  <si>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</si>
  <si>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</si>
  <si>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</si>
  <si>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</si>
  <si>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</si>
  <si>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</si>
  <si>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</si>
  <si>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</si>
  <si>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</si>
  <si>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</si>
  <si>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</si>
  <si>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</si>
  <si>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</si>
  <si>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</si>
  <si>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</si>
  <si>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</si>
  <si>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</si>
  <si>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</si>
  <si>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</si>
  <si>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</si>
  <si>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</si>
  <si>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</si>
  <si>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</si>
  <si>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</si>
  <si>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</si>
  <si>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</si>
  <si>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</si>
  <si>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</si>
  <si>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</si>
  <si>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</si>
  <si>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</si>
  <si>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</si>
  <si>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</si>
  <si>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</si>
  <si>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</si>
  <si>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</si>
  <si>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</si>
  <si>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</si>
  <si>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</si>
  <si>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</si>
  <si>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</si>
  <si>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</si>
  <si>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</si>
  <si>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</si>
  <si>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</si>
  <si>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</si>
  <si>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</si>
  <si>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</si>
  <si>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</si>
  <si>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</si>
  <si>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</si>
  <si>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</si>
  <si>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</si>
  <si>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</si>
  <si>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</si>
  <si>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</si>
  <si>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</si>
  <si>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</si>
  <si>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</si>
  <si>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</si>
  <si>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</si>
  <si>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</si>
  <si>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</si>
  <si>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</si>
  <si>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</si>
  <si>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</si>
  <si>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</si>
  <si>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</si>
  <si>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</si>
  <si>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</si>
  <si>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</si>
  <si>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</si>
  <si>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</si>
  <si>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</si>
  <si>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</si>
  <si>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</si>
  <si>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</si>
  <si>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</si>
  <si>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</si>
  <si>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</si>
  <si>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</si>
  <si>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</si>
  <si>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</si>
  <si>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</si>
  <si>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</si>
  <si>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</si>
  <si>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</si>
  <si>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</si>
  <si>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</si>
  <si>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</si>
  <si>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</si>
  <si>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</si>
  <si>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</si>
  <si>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</si>
  <si>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</si>
  <si>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</si>
  <si>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</si>
  <si>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</si>
  <si>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</si>
  <si>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</si>
  <si>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</si>
  <si>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</si>
  <si>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</si>
  <si>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</si>
  <si>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</si>
  <si>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</si>
  <si>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</si>
  <si>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</si>
  <si>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</si>
  <si>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</si>
  <si>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</si>
  <si>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</si>
  <si>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</si>
  <si>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</si>
  <si>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</si>
  <si>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</si>
  <si>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</si>
  <si>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</si>
  <si>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</si>
  <si>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</si>
  <si>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</si>
  <si>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</si>
  <si>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</si>
  <si>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</si>
  <si>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</si>
  <si>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</si>
  <si>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</si>
  <si>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</si>
  <si>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</si>
  <si>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</si>
  <si>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</si>
  <si>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</si>
  <si>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</si>
  <si>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</si>
  <si>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</si>
  <si>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</si>
  <si>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</si>
  <si>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</si>
  <si>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</si>
  <si>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</si>
  <si>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</si>
  <si>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</si>
  <si>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</si>
  <si>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</si>
  <si>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</si>
  <si>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</si>
  <si>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</si>
  <si>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</si>
  <si>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</si>
  <si>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</si>
  <si>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</si>
  <si>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</si>
  <si>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</si>
  <si>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</si>
  <si>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</si>
  <si>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</si>
  <si>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</si>
  <si>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</si>
  <si>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</si>
  <si>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</si>
  <si>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</si>
  <si>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</si>
  <si>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</si>
  <si>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</si>
  <si>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</si>
  <si>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</si>
  <si>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</si>
  <si>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</si>
  <si>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</si>
  <si>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</si>
  <si>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</si>
  <si>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</si>
  <si>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</si>
  <si>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</si>
  <si>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</si>
  <si>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</si>
  <si>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</si>
  <si>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</si>
  <si>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</si>
  <si>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</si>
  <si>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</si>
  <si>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</si>
  <si>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</si>
  <si>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</si>
  <si>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</si>
  <si>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</si>
  <si>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</si>
  <si>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</si>
  <si>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</si>
  <si>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</si>
  <si>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</si>
  <si>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</si>
  <si>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</si>
  <si>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</si>
  <si>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</si>
  <si>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</si>
  <si>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</si>
  <si>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</si>
  <si>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</si>
  <si>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</si>
  <si>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</si>
  <si>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</si>
  <si>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</si>
  <si>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</si>
  <si>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</si>
  <si>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</si>
  <si>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</si>
  <si>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</si>
  <si>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</si>
  <si>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</si>
  <si>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</si>
  <si>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</si>
  <si>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</si>
  <si>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</si>
  <si>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</si>
  <si>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</si>
  <si>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</si>
  <si>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</si>
  <si>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</si>
  <si>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</si>
  <si>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</si>
  <si>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</si>
  <si>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</si>
  <si>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</si>
  <si>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</si>
  <si>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</si>
  <si>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</si>
  <si>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</si>
  <si>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</si>
  <si>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</si>
  <si>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</si>
  <si>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</si>
  <si>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</si>
  <si>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</si>
  <si>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</si>
  <si>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</si>
  <si>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</si>
  <si>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</si>
  <si>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</si>
  <si>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</si>
  <si>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</si>
  <si>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</si>
  <si>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</si>
  <si>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</si>
  <si>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</si>
  <si>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</si>
  <si>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</si>
  <si>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</si>
  <si>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</si>
  <si>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</si>
  <si>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</si>
  <si>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</si>
  <si>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</si>
  <si>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</si>
  <si>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</si>
  <si>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</si>
  <si>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</si>
  <si>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</si>
  <si>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</si>
  <si>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</si>
  <si>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</si>
  <si>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</si>
  <si>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</si>
  <si>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</si>
  <si>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</si>
  <si>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</si>
  <si>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</si>
  <si>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</si>
  <si>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</si>
  <si>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</si>
  <si>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</si>
  <si>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</si>
  <si>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</si>
  <si>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</si>
  <si>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</si>
  <si>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</si>
  <si>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</si>
  <si>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</si>
  <si>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</si>
  <si>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</si>
  <si>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</si>
  <si>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</si>
  <si>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</si>
  <si>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</si>
  <si>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</si>
  <si>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</si>
  <si>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</si>
  <si>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</si>
  <si>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</si>
  <si>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</si>
  <si>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</si>
  <si>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</si>
  <si>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</si>
  <si>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</si>
  <si>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</si>
  <si>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</si>
  <si>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</si>
  <si>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</si>
  <si>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</si>
  <si>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</si>
  <si>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</si>
  <si>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</si>
  <si>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</si>
  <si>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</si>
  <si>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</si>
  <si>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</si>
  <si>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</si>
  <si>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</si>
  <si>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</si>
  <si>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</si>
  <si>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</si>
  <si>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</si>
  <si>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</si>
  <si>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</si>
  <si>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</si>
  <si>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</si>
  <si>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</si>
  <si>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</si>
  <si>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</si>
  <si>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</si>
  <si>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</si>
  <si>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</si>
  <si>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</si>
  <si>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</si>
  <si>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</si>
  <si>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</si>
  <si>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</si>
  <si>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</si>
  <si>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</si>
  <si>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</si>
  <si>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</si>
  <si>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</si>
  <si>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</si>
  <si>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</si>
  <si>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</si>
  <si>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</si>
  <si>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</si>
  <si>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</si>
  <si>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</si>
  <si>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</si>
  <si>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</si>
  <si>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</si>
  <si>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</si>
  <si>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</si>
  <si>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</si>
  <si>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</si>
  <si>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</si>
  <si>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</si>
  <si>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</si>
  <si>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</si>
  <si>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</si>
  <si>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</si>
  <si>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</si>
  <si>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</si>
  <si>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</si>
  <si>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</si>
  <si>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</si>
  <si>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</si>
  <si>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</si>
  <si>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</si>
  <si>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</si>
  <si>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</si>
  <si>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</si>
  <si>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</si>
  <si>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</si>
  <si>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</si>
  <si>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</si>
  <si>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</si>
  <si>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</si>
  <si>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</si>
  <si>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</si>
  <si>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</si>
  <si>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</si>
  <si>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</si>
  <si>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</si>
  <si>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</si>
  <si>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</si>
  <si>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</si>
  <si>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</si>
  <si>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</si>
  <si>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</si>
  <si>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</si>
  <si>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</si>
  <si>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</si>
  <si>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</si>
  <si>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</si>
  <si>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</si>
  <si>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</si>
  <si>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</si>
  <si>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</si>
  <si>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</si>
  <si>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</si>
  <si>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</si>
  <si>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</si>
  <si>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</si>
  <si>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</si>
  <si>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</si>
  <si>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</si>
  <si>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</si>
  <si>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</si>
  <si>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</si>
  <si>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</si>
  <si>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</si>
  <si>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</si>
  <si>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</si>
  <si>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</si>
  <si>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</si>
  <si>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</si>
  <si>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</si>
  <si>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</si>
  <si>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</si>
  <si>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</si>
  <si>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</si>
  <si>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</si>
  <si>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</si>
  <si>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</si>
  <si>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</si>
  <si>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</si>
  <si>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</si>
  <si>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</si>
  <si>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</si>
  <si>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</si>
  <si>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</si>
  <si>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</si>
  <si>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</si>
  <si>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</si>
  <si>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</si>
  <si>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</si>
  <si>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</si>
  <si>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</si>
  <si>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</si>
  <si>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</si>
  <si>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</si>
  <si>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</si>
  <si>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</si>
  <si>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</si>
  <si>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</si>
  <si>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</si>
  <si>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</si>
  <si>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</si>
  <si>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</si>
  <si>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</si>
  <si>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</si>
  <si>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</si>
  <si>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</si>
  <si>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</si>
  <si>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</si>
  <si>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</si>
  <si>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</si>
  <si>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</si>
  <si>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</si>
  <si>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</si>
  <si>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</si>
  <si>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</si>
  <si>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</si>
  <si>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</si>
  <si>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</si>
  <si>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</si>
  <si>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</si>
  <si>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</si>
  <si>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</si>
  <si>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</si>
  <si>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</si>
  <si>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</si>
  <si>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</si>
  <si>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</si>
  <si>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</si>
  <si>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</si>
  <si>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</si>
  <si>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</si>
  <si>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</si>
  <si>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</si>
  <si>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</si>
  <si>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</si>
  <si>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</si>
  <si>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</si>
  <si>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</si>
  <si>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</si>
  <si>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</si>
  <si>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</si>
  <si>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</si>
  <si>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</si>
  <si>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</si>
  <si>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</si>
  <si>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</si>
  <si>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</si>
  <si>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</si>
  <si>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</si>
  <si>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</si>
  <si>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</si>
  <si>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</si>
  <si>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</si>
  <si>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</si>
  <si>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</si>
  <si>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</si>
  <si>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</si>
  <si>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</si>
  <si>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</si>
  <si>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</si>
  <si>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</si>
  <si>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</si>
  <si>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</si>
  <si>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</si>
  <si>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</si>
  <si>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</si>
  <si>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</si>
  <si>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</si>
  <si>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</si>
  <si>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</si>
  <si>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</si>
  <si>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</si>
  <si>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</si>
  <si>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</si>
  <si>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</si>
  <si>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</si>
  <si>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</si>
  <si>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</si>
  <si>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</si>
  <si>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</si>
  <si>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</si>
  <si>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</si>
  <si>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</si>
  <si>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</si>
  <si>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</si>
  <si>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</si>
  <si>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</si>
  <si>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</si>
  <si>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</si>
  <si>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</si>
  <si>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</si>
  <si>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</si>
  <si>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</si>
  <si>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</si>
  <si>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</si>
  <si>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</si>
  <si>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</si>
  <si>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</si>
  <si>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</si>
  <si>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</si>
  <si>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</si>
  <si>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</si>
  <si>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</si>
  <si>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</si>
  <si>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</si>
  <si>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</si>
  <si>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</si>
  <si>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</si>
  <si>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</si>
  <si>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</si>
  <si>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</si>
  <si>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</si>
  <si>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</si>
  <si>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</si>
  <si>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</si>
  <si>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</si>
  <si>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</si>
  <si>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</si>
  <si>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</si>
  <si>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</si>
  <si>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</si>
  <si>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</si>
  <si>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</si>
  <si>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</si>
  <si>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</si>
  <si>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</si>
  <si>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</si>
  <si>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</si>
  <si>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</si>
  <si>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</si>
  <si>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</si>
  <si>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</si>
  <si>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</si>
  <si>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</si>
  <si>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</si>
  <si>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</si>
  <si>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</si>
  <si>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</si>
  <si>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</si>
  <si>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</si>
  <si>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</si>
  <si>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</si>
  <si>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</si>
  <si>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</si>
  <si>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</si>
  <si>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</si>
  <si>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</si>
  <si>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</si>
  <si>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</si>
  <si>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</si>
  <si>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</si>
  <si>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</si>
  <si>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</si>
  <si>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</si>
  <si>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</si>
  <si>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</si>
  <si>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</si>
  <si>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</si>
  <si>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</si>
  <si>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</si>
  <si>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</si>
  <si>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</si>
  <si>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</si>
  <si>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</si>
  <si>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</si>
  <si>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</si>
  <si>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</si>
  <si>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</si>
  <si>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</si>
  <si>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</si>
  <si>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</si>
  <si>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</si>
  <si>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</si>
  <si>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</si>
  <si>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</si>
  <si>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</si>
  <si>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</si>
  <si>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</si>
  <si>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</si>
  <si>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</si>
  <si>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</si>
  <si>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</si>
  <si>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</si>
  <si>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</si>
  <si>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</si>
  <si>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</si>
  <si>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</si>
  <si>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</si>
  <si>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</si>
  <si>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</si>
  <si>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</si>
  <si>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</si>
  <si>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</si>
  <si>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</si>
  <si>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</si>
  <si>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</si>
  <si>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</si>
  <si>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</si>
  <si>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</si>
  <si>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</si>
  <si>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</si>
  <si>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</si>
  <si>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</si>
  <si>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</si>
  <si>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</si>
  <si>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</si>
  <si>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</si>
  <si>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</si>
  <si>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</si>
  <si>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</si>
  <si>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</si>
  <si>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</si>
  <si>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</si>
  <si>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</si>
  <si>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</si>
  <si>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</si>
  <si>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</si>
  <si>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</si>
  <si>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</si>
  <si>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</si>
  <si>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</si>
  <si>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</si>
  <si>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</si>
  <si>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</si>
  <si>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</si>
  <si>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</si>
  <si>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</si>
  <si>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</si>
  <si>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</si>
  <si>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</si>
  <si>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</si>
  <si>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</si>
  <si>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</si>
  <si>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</si>
  <si>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</si>
  <si>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</si>
  <si>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</si>
  <si>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</si>
  <si>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</si>
  <si>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</si>
  <si>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</si>
  <si>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</si>
  <si>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</si>
  <si>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</si>
  <si>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</si>
  <si>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</si>
  <si>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</si>
  <si>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</si>
  <si>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</si>
  <si>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</si>
  <si>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</si>
  <si>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</si>
  <si>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</si>
  <si>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</si>
  <si>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</si>
  <si>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</si>
  <si>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</si>
  <si>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</si>
  <si>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</si>
  <si>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</si>
  <si>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</si>
  <si>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</si>
  <si>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</si>
  <si>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</si>
  <si>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</si>
  <si>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</si>
  <si>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</si>
  <si>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</si>
  <si>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</si>
  <si>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</si>
  <si>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</si>
  <si>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</si>
  <si>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</si>
  <si>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</si>
  <si>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</si>
  <si>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</si>
  <si>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</si>
  <si>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</si>
  <si>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</si>
  <si>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</si>
  <si>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</si>
  <si>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</si>
  <si>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</si>
  <si>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</si>
  <si>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</si>
  <si>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</si>
  <si>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</si>
  <si>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</si>
  <si>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</si>
  <si>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</si>
  <si>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</si>
  <si>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</si>
  <si>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</si>
  <si>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</si>
  <si>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</si>
  <si>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</si>
  <si>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</si>
  <si>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</si>
  <si>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</si>
  <si>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</si>
  <si>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</si>
  <si>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</si>
  <si>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</si>
  <si>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</si>
  <si>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</si>
  <si>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</si>
  <si>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</si>
  <si>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</si>
  <si>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</si>
  <si>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Fonctions complémentaires XLP</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</si>
  <si>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</si>
  <si>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</si>
  <si>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</si>
  <si>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</si>
  <si>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</si>
  <si>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</si>
  <si>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</si>
  <si>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</si>
  <si>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</si>
  <si>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</si>
  <si>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</si>
  <si>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</si>
  <si>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0" Mx"</t>
  </si>
  <si>
    <t>Poids portion 0.000" Kg"</t>
  </si>
  <si>
    <t>0.00 " cm³"</t>
  </si>
  <si>
    <t>0.00" cm"</t>
  </si>
  <si>
    <t>0.0" mm"</t>
  </si>
  <si>
    <t>0.00 " cm²"</t>
  </si>
  <si>
    <t>0.000 " dm³"</t>
  </si>
  <si>
    <t>Col.0</t>
  </si>
  <si>
    <t>de # ##0.000" kg"</t>
  </si>
  <si>
    <t>N° 0</t>
  </si>
  <si>
    <t>0" jours"</t>
  </si>
  <si>
    <t>0" H"</t>
  </si>
  <si>
    <t>Pourquoi une cellule ICI &gt; pour sélectionner le tableau en se déportant vers la droite et vous pouvez le coller dans une autre feuille</t>
  </si>
  <si>
    <t>Amusez vous un tableur c'est fait pour ça</t>
  </si>
  <si>
    <t>Liens hypertexte exemple de formules</t>
  </si>
  <si>
    <t>Formats de cellules nombres personnalisées</t>
  </si>
  <si>
    <t>UNICAR(128269)</t>
  </si>
  <si>
    <t># ##0" cl"</t>
  </si>
  <si>
    <t># ##0" gr"</t>
  </si>
  <si>
    <t># ##0.000" kg"</t>
  </si>
  <si>
    <t>0" lignes"</t>
  </si>
  <si>
    <t>0.0" %"</t>
  </si>
  <si>
    <t>0.000" L"</t>
  </si>
  <si>
    <t>0.000K\g</t>
  </si>
  <si>
    <t>Actif;"Actif";"Inactif"</t>
  </si>
  <si>
    <t>de 0.00" Kg"</t>
  </si>
  <si>
    <t>Vrai;"Vrai";"Faux"</t>
  </si>
  <si>
    <t>Lien incrémenté ne se met pas à jour dans un autre emplacement</t>
  </si>
  <si>
    <t>Vous pouvez mettre des émotocones dans vos formules entre deux guillemets "   "</t>
  </si>
  <si>
    <t>"🚲 "   " 🤓 "   " ✔ "   " 🆗 "</t>
  </si>
  <si>
    <t>➕  ⏮  ➿  ⁉  ⬅  ☺  ✔  ❓  🆗  🌼  🚲  🤓  🔛 🚐  «</t>
  </si>
  <si>
    <t>🔎#</t>
  </si>
  <si>
    <t>lorsque vous collez ce tableau ailleurs</t>
  </si>
  <si>
    <t>Pour obtenir un nombre de plaques gastro à utiliser par exemple</t>
  </si>
  <si>
    <t>dans les formules avec loupe n'oubliez pas de modifier les adresses &gt; # k93 &amp;" K93"</t>
  </si>
  <si>
    <t>si vous utilisez un poids cru vous avez une formule</t>
  </si>
  <si>
    <t>❹ Kg cru</t>
  </si>
  <si>
    <t>et si vous utilisez un poids cuit vous en avez une autre</t>
  </si>
  <si>
    <t>❺ Kg cuit</t>
  </si>
  <si>
    <t>Nombre de contenants</t>
  </si>
  <si>
    <t>Produit conditionné</t>
  </si>
  <si>
    <t>contenant(s) a prévoir &gt;</t>
  </si>
  <si>
    <t>Sautés en morceaux service au poids</t>
  </si>
  <si>
    <t>❷ Type de Contenant</t>
  </si>
  <si>
    <t xml:space="preserve"> GN 1/ 1 = 3 Kg crus</t>
  </si>
  <si>
    <t>▼  ❹ ou ❺</t>
  </si>
  <si>
    <t>capacité du contenant ❸</t>
  </si>
  <si>
    <t xml:space="preserve"> Grammage  p.p.❼</t>
  </si>
  <si>
    <t>Effectif ❽</t>
  </si>
  <si>
    <t xml:space="preserve">A conditionner </t>
  </si>
  <si>
    <t>Total contenants &gt;</t>
  </si>
  <si>
    <t>1 cont.pour &gt;</t>
  </si>
  <si>
    <t>Largeurs de colonnes figées pour mémoire  et  Largeurs de colonnes formule pourquoi ?</t>
  </si>
  <si>
    <t>LÉGENDE</t>
  </si>
  <si>
    <t xml:space="preserve">Lorsque vous Copiez/Collez un document dans une nouvelle feuille </t>
  </si>
  <si>
    <t>❶ FAMILLE et NOM DU PLAT</t>
  </si>
  <si>
    <t xml:space="preserve">❻ %  de PERTE </t>
  </si>
  <si>
    <t>vous n'obtenez pas toujours le même écartement de colonnes pour la taille de police.</t>
  </si>
  <si>
    <t>❻ % de BONI &gt;</t>
  </si>
  <si>
    <t>les formules vous indiquent les nouvelles largeurs et les largeurs figées les corrections à apporter</t>
  </si>
  <si>
    <t>❸ capacité du contenant*</t>
  </si>
  <si>
    <t>❻ Foisonnement</t>
  </si>
  <si>
    <t>Excel n'aime pas les cellules vides j'ai donc saisi des valeurs 1 dans certaines cellules</t>
  </si>
  <si>
    <t>❼  Grammage  p.p.</t>
  </si>
  <si>
    <t>&lt;Largeurs de colonnes figées pour mémoire</t>
  </si>
  <si>
    <t>❽ Saisissez vos effectifs</t>
  </si>
  <si>
    <t>&lt;Largeurs de colonnes formule</t>
  </si>
  <si>
    <t xml:space="preserve">Collez ❹ Kg cru ou ❺ Kg cuit </t>
  </si>
  <si>
    <t>Cellule &gt;</t>
  </si>
  <si>
    <t>CRU moins % Perte = CUIT</t>
  </si>
  <si>
    <t xml:space="preserve">CUIT + % boni = CRU </t>
  </si>
  <si>
    <t>Cliquez sur les ◀</t>
  </si>
  <si>
    <t>cellules</t>
  </si>
  <si>
    <t>Formules utilisées pour afficher ces résultats</t>
  </si>
  <si>
    <t>Produit conditionné &gt;</t>
  </si>
  <si>
    <t>Féculent</t>
  </si>
  <si>
    <t>Semoule (poids cru)</t>
  </si>
  <si>
    <t>Pour modifier une formule &gt; dans la barre de formule supprimez le =</t>
  </si>
  <si>
    <t>la formule devient texte et se modifie comme du texte</t>
  </si>
  <si>
    <t xml:space="preserve">lorsque vous avez fini remettez un = devant positionnez vous à la fin de la formule </t>
  </si>
  <si>
    <t>et appuyez sur Entrée</t>
  </si>
  <si>
    <t>Vous avez une autre option pour figer la formule &gt; saisissez un ' apostrophe devant =</t>
  </si>
  <si>
    <t>vous obtenez le même résultat  MAIS cet ' est plus difficile à identifier en cas d'erreur</t>
  </si>
  <si>
    <t>CRU  Multiplié = CUIT</t>
  </si>
  <si>
    <t xml:space="preserve">CUIT Divisé  = CRU </t>
  </si>
  <si>
    <t>Utilitaire pour le foisionnement en + ou - pour légumes secs et céréales etc…</t>
  </si>
  <si>
    <t>Comment taper sur votre clavier d'ordinateur tous les symboles, emoji, signes, icones ?</t>
  </si>
  <si>
    <t>http://www.symbole-clavier.com/</t>
  </si>
  <si>
    <t>Manuel d’utilisation</t>
  </si>
  <si>
    <t>https://bepo.fr/wiki/Manuel</t>
  </si>
  <si>
    <t>https://bepo.fr/wiki/Menu</t>
  </si>
  <si>
    <t>https://www.premiers-clics.fr/cours-informatique/windows-les-fonctionnalites-du-clavier/</t>
  </si>
  <si>
    <t>Pour vous détendre un peu  : Convertir un CD en MP3 avec Windows Media Player</t>
  </si>
  <si>
    <t>https://www.premiers-clics.fr/cours-informatique/windows-convertir-un-cd-en-fichiers-mp3/</t>
  </si>
  <si>
    <t>Un lien Hypertexte commence toujours par :    LIEN_HYPERTEXTE("#" c25 par exemple</t>
  </si>
  <si>
    <t>Mettre seulement le dièse "#" entre 2 guillemets pour ne pas figer la cellule de destination</t>
  </si>
  <si>
    <t>Détail de la formule saisie</t>
  </si>
  <si>
    <t xml:space="preserve">Formule </t>
  </si>
  <si>
    <t>par votre N° de Ligne et de Colonne</t>
  </si>
  <si>
    <t xml:space="preserve">Pour toutes ces formules remplacez </t>
  </si>
  <si>
    <t>l'avantage de ne pas mettre le nom de la cellule entre guillemets c'est qu'elle se mettra automatiquement à jour lorsque vous copierez votre tableau ailleurs</t>
  </si>
  <si>
    <t>les mises à jours seront automatiques lorsque vous collerez votre tableau dans une autre feuille</t>
  </si>
  <si>
    <t>dans les 3 formules suivantes</t>
  </si>
  <si>
    <t>Exemples de formules nomades vous indiquez une bonne fois pour toutes l'emplacement de la cellule de destination</t>
  </si>
  <si>
    <t>Mise à jour du 12 Mars 2023</t>
  </si>
  <si>
    <t>Quelques format - formules et fonctions          suite</t>
  </si>
  <si>
    <t>Combinaison</t>
  </si>
  <si>
    <t>Spière</t>
  </si>
  <si>
    <t>Guillaume</t>
  </si>
  <si>
    <t>Tell</t>
  </si>
  <si>
    <t>Guillaume Tell</t>
  </si>
  <si>
    <t>Prénom et Nom</t>
  </si>
  <si>
    <t>Extraire les Noms et Prénoms</t>
  </si>
  <si>
    <t xml:space="preserve">Combiner les Prénoms et Noms </t>
  </si>
  <si>
    <t>Guillaume,Tell</t>
  </si>
  <si>
    <t>indiquez entre les guillemets " , "que vous voulez supprimer la virgule de séparation</t>
  </si>
  <si>
    <t>A vous d'imaginer d'autres utilisations possibles</t>
  </si>
  <si>
    <t>formule plus simple MAIS si vous déplacez votre tableau vous devez à chaque fois modifier l'adresse ("# c131";</t>
  </si>
  <si>
    <t>Liste des fonctions Excel avec une traduction</t>
  </si>
  <si>
    <t>https://fr.excelfunctions.eu/</t>
  </si>
  <si>
    <t>Séparer Nom et Prénom et en faire une adresse mail</t>
  </si>
  <si>
    <t>https://www.youtube.com/watch?v=2TmdhLLUsOQ</t>
  </si>
  <si>
    <t>Tableau de bord des ventes et de gestion des stocks</t>
  </si>
  <si>
    <t>https://www.youtube.com/watch?v=BEAwIv4fIw4</t>
  </si>
  <si>
    <t>Saisissez vos valeurs dans les cellules fond de couleur et collez ❹ Kg cru ou  ❺ Kg cuit</t>
  </si>
  <si>
    <t>Saisissez ce que vous voulez supprimer dans toutes les lignes   vous n'êtes pas obligés de saisir les 3 cellules</t>
  </si>
  <si>
    <t>et…quelques autres</t>
  </si>
  <si>
    <t>VERSION - M</t>
  </si>
  <si>
    <t>dernière mise à jour : 12 Mars 2023</t>
  </si>
  <si>
    <t>La transmission est à la formation ce que l’éducation est à l’instruction  Eric Remisz</t>
  </si>
  <si>
    <t>Structurer la transmission du savoir et des compétences en entreprise</t>
  </si>
  <si>
    <t>https://www.youtube.com/watch?v=yUb6Lk9LynA</t>
  </si>
  <si>
    <t>Le dispositif TSF = Transfert des savoirs et Savoir-Faire !</t>
  </si>
  <si>
    <t>Ressources Humaines et transmission des savoirs</t>
  </si>
  <si>
    <t>https://www.demos.fr/expertises-thematiques-ressources-humaines-et-transmission-des-savoirs</t>
  </si>
  <si>
    <t>Comment accompagner des experts internes à transmettre leurs savoirs ?​​​​​</t>
  </si>
  <si>
    <t>Pourquoi et comment mettre en place un environnement d’apprentissage personnalisé ?​​​​​</t>
  </si>
  <si>
    <t>La transmission, enjeu vital pour l’économie et la société</t>
  </si>
  <si>
    <t>https://www.manpowergroup.fr/contrat-de-generation-ii-%E2%80%93-la-transmission-enjeu-vital-pour-l%E2%80%99economie-et-la-societe/</t>
  </si>
  <si>
    <t>Quels sont les différents savoirs à transmettre ?</t>
  </si>
  <si>
    <t>https://www.digitalrecruiters.com/blog/comment-transmettre-savoirs-entreprise</t>
  </si>
  <si>
    <t>Quelques exemples de guides</t>
  </si>
  <si>
    <t>Exemple de Guide méthodologique de la métallurgie adaptable</t>
  </si>
  <si>
    <t>https://uimmauvergne.org/sites/default/files/Guide_transmission_savoirs_savoirfaire.pdf</t>
  </si>
  <si>
    <t>Un enjeu pour l'avenir de votre entreprise</t>
  </si>
  <si>
    <t>https://bourgognefranchecomte.aract.fr/sites/default/files/2019-04/Guide_tse.pdf</t>
  </si>
  <si>
    <t xml:space="preserve">Transmettre les savoirs d'expertise pour péréniser son entreprise </t>
  </si>
  <si>
    <t>https://hautsdefrance-aract.fr/wp-content/uploads/2016/01/guide-pour-action-transmettre-pour-perenniser.pdf</t>
  </si>
  <si>
    <t>Quand Alphonse met son talent au service de la société</t>
  </si>
  <si>
    <t>https://lestalentsdalphonse.com/</t>
  </si>
  <si>
    <t>Comment utiliser CHAT GPT pour devenir un expert EXCEL</t>
  </si>
  <si>
    <t>https://www.youtube.com/watch?v=Nm--HJ1rXh0</t>
  </si>
  <si>
    <t>Excel et Chat GPT ? Est-ce une solution à prendre en compte ?</t>
  </si>
  <si>
    <t>https://www.youtube.com/watch?v=Hgdab911xr4</t>
  </si>
  <si>
    <t>Comment utiliser l'intelligence artificielle Chat GPT dans Excel ?</t>
  </si>
  <si>
    <t>https://www.youtube.com/watch?v=I4XA5qCNU5w</t>
  </si>
  <si>
    <t>Tuto chatGPT - Deviens EXPERT en 5 étapes</t>
  </si>
  <si>
    <t>https://www.youtube.com/watch?v=Gqq59qZ_OOE</t>
  </si>
  <si>
    <t>Utilisez chat GPT efficacement en entreprise, grâce à ces phrases.</t>
  </si>
  <si>
    <t>https://www.youtube.com/watch?v=EGtpqhNK3wQ</t>
  </si>
  <si>
    <t>A développer et à adapter pour les métiers de bouche</t>
  </si>
  <si>
    <t>Comment faire des Tableaux de fitness avec chatGPT</t>
  </si>
  <si>
    <t>https://www.youtube.com/watch?v=btPDVf6Wd-I</t>
  </si>
  <si>
    <t>position colonne et n° de ligne &gt;</t>
  </si>
  <si>
    <t>Les calculs en Boulangerie         TABLEAU EXPLICATIF</t>
  </si>
  <si>
    <t>&lt; Largeurs de colonnes</t>
  </si>
  <si>
    <t>largeurs de colonnes</t>
  </si>
  <si>
    <t>N° DE LIGNES</t>
  </si>
  <si>
    <t>TABLEAU POUR ÉPURER DU TEXTE</t>
  </si>
  <si>
    <t>&lt;Hauteurs de lignes</t>
  </si>
  <si>
    <t>Vous récupérez des recettes sur le net et vous souhaitez supprimer ou remplacer du texte ce tableau est fait pour vous</t>
  </si>
  <si>
    <t>Utilitaire pour formater du texte</t>
  </si>
  <si>
    <t>n'oubliez pas qu'un espace est compté comme du texte</t>
  </si>
  <si>
    <t>Pourquoi modifier texte et quantités avec ce tableau ? Pour conserver la recette originale de l'Auteur et pour vérification en cas d'erreur de saisie</t>
  </si>
  <si>
    <t>Ce texte est souvent formaté avec des espaces   des points….  des tirets _  des quantités et des détails que vous voulez supprimer</t>
  </si>
  <si>
    <t>Collez le texte dans cette colonne</t>
  </si>
  <si>
    <t xml:space="preserve">Récupérez votre texte ICI </t>
  </si>
  <si>
    <t>1 - Collez les ingrédients et les quantités que vous avez récupéré dans la colonne B du tableau</t>
  </si>
  <si>
    <t>Collage spécial 1.2.3. ou Valeur pour conserver la mise en forme ci-dessous</t>
  </si>
  <si>
    <t>saisissez ou collez la partie du texte que vous voulez récupérer dans cette colonne</t>
  </si>
  <si>
    <t>Nepas supprimer cette colonne</t>
  </si>
  <si>
    <t>et collez le dans vos fiches .COLLAGE SPÉCIAL 1.2.3. VALEUR pour ne pas coller la formule</t>
  </si>
  <si>
    <t>et attention à ne pas</t>
  </si>
  <si>
    <t>2 - collez ou saisissez la partie du texte ou une valeur de remplacement ou rien colonne C</t>
  </si>
  <si>
    <t>supprimer les formules</t>
  </si>
  <si>
    <t>4 - Contrôlez votre texte "nettoyé" colonne E</t>
  </si>
  <si>
    <t>38 kg d'os</t>
  </si>
  <si>
    <t>14 kg de parures</t>
  </si>
  <si>
    <t>Attention : Un espace compte pour 1 caractère</t>
  </si>
  <si>
    <t>3 kg d'oignons bio</t>
  </si>
  <si>
    <t>oignons bio</t>
  </si>
  <si>
    <t>3 kg de carottes bio</t>
  </si>
  <si>
    <t>et collez le texte "nettoyé" dans vos fiches .COLLAGE SPÉCIAL 1.2.3. VALEUR pour ne pas coller la formule</t>
  </si>
  <si>
    <t>boites 4/4 de concentrée de tomates</t>
  </si>
  <si>
    <t>concentré</t>
  </si>
  <si>
    <t>ail surgelé</t>
  </si>
  <si>
    <t>Attention à ne pas supprimer les formules colonne D</t>
  </si>
  <si>
    <t>branches de persil bio</t>
  </si>
  <si>
    <t>POUR AUDITER LES FORMULES</t>
  </si>
  <si>
    <t>CHOISISSEZ VOTRE AFFICHAGE</t>
  </si>
  <si>
    <t>pour localiser la cellule correspondante cliquez sur l'onglet FORMULES</t>
  </si>
  <si>
    <t>Pour supprimer l'affichage des zéro sur la fiche cliquez sur : FICHIER &gt; Option &gt; Options avancées &gt;</t>
  </si>
  <si>
    <t>puis sur la fonction Repérer les antécédants &gt;</t>
  </si>
  <si>
    <t xml:space="preserve"> décocher Afficher un zéro dans les cellules qui ont une valeur nulle</t>
  </si>
  <si>
    <t>double cliquez sur la pointe de la flèche, cela vous enverra directement à l'emplacement de saisie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</si>
</sst>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8" formatCode="#,##0.00\ &quot;€&quot;;[Red]\-#,##0.00\ &quot;€&quot;"/>
    <numFmt numFmtId="164" formatCode="_-* #,##0.00\ _€_-;\-* #,##0.00\ _€_-;_-* &quot;-&quot;??\ _€_-;_-@_-"/>
    <numFmt numFmtId="165" formatCode="0.000&quot; Kg&quot;"/>
    <numFmt numFmtId="166" formatCode="0.000&quot; L&quot;"/>
    <numFmt numFmtId="167" formatCode="0.0"/>
    <numFmt numFmtId="168" formatCode="0&quot; %&quot;"/>
    <numFmt numFmtId="169" formatCode="0.000"/>
    <numFmt numFmtId="170" formatCode="0.00&quot;Kg&quot;"/>
    <numFmt numFmtId="171" formatCode="0.0&quot; g&quot;"/>
    <numFmt numFmtId="172" formatCode="0&quot; Mx&quot;"/>
    <numFmt numFmtId="173" formatCode="0.00&quot; Mx&quot;"/>
    <numFmt numFmtId="174" formatCode="0.000&quot;Kg&quot;"/>
    <numFmt numFmtId="175" formatCode="&quot;Poids portion&quot;\ 0.000&quot; Kg&quot;"/>
    <numFmt numFmtId="176" formatCode="0.0&quot;Kg&quot;"/>
    <numFmt numFmtId="177" formatCode="hh&quot;H&quot;:mm&quot; mn&quot;"/>
    <numFmt numFmtId="178" formatCode="dddd\ dd\ mmmm\ yyyy"/>
    <numFmt numFmtId="179" formatCode="0&quot;%&quot;"/>
    <numFmt numFmtId="180" formatCode="0&quot; Kg&quot;"/>
    <numFmt numFmtId="181" formatCode="0.00&quot; Kg&quot;"/>
    <numFmt numFmtId="182" formatCode="0.0%"/>
    <numFmt numFmtId="183" formatCode="0.000\K\g"/>
    <numFmt numFmtId="184" formatCode="0&quot;Kg&quot;"/>
    <numFmt numFmtId="185" formatCode="0&quot; g&quot;"/>
    <numFmt numFmtId="186" formatCode="0.0&quot; %&quot;"/>
    <numFmt numFmtId="187" formatCode="#,##0.00\ &quot;€&quot;"/>
    <numFmt numFmtId="188" formatCode="0.0&quot; gr&quot;"/>
    <numFmt numFmtId="189" formatCode="0&quot; gr&quot;"/>
    <numFmt numFmtId="190" formatCode="[h]&quot;H&quot;mm"/>
    <numFmt numFmtId="191" formatCode="#,##0&quot; grs&quot;"/>
    <numFmt numFmtId="192" formatCode="0.0000"/>
    <numFmt numFmtId="193" formatCode="#,##0&quot; dl&quot;"/>
    <numFmt numFmtId="194" formatCode="#,##0&quot; cl&quot;"/>
    <numFmt numFmtId="195" formatCode="0.00\ &quot; cm³&quot;"/>
    <numFmt numFmtId="196" formatCode="0.00&quot; cm&quot;"/>
    <numFmt numFmtId="197" formatCode="0.0&quot; mm&quot;"/>
    <numFmt numFmtId="198" formatCode="0.0&quot; cm&quot;"/>
    <numFmt numFmtId="199" formatCode="0&quot; cm&quot;"/>
    <numFmt numFmtId="200" formatCode="0.00\ &quot; cm²&quot;"/>
    <numFmt numFmtId="201" formatCode="&quot;Col.&quot;0"/>
    <numFmt numFmtId="202" formatCode="0.000\ &quot; dm³&quot;"/>
    <numFmt numFmtId="203" formatCode="[$-F800]dddd\,\ mmmm\ dd\,\ yyyy"/>
    <numFmt numFmtId="204" formatCode="h&quot; H &quot;mm;@"/>
    <numFmt numFmtId="205" formatCode="dddd\ mm\ mmm\ yyyy\ \-\ hh&quot;H&quot;mm"/>
    <numFmt numFmtId="206" formatCode="&quot;Semaine N °&quot;0"/>
    <numFmt numFmtId="207" formatCode="#,##0.000&quot; kg&quot;"/>
    <numFmt numFmtId="208" formatCode="&quot;de &quot;#,##0.000&quot; kg&quot;"/>
    <numFmt numFmtId="209" formatCode="#,##0.000\ &quot;€&quot;"/>
    <numFmt numFmtId="210" formatCode="&quot;N° &quot;0"/>
    <numFmt numFmtId="211" formatCode="0.0&quot;%&quot;"/>
    <numFmt numFmtId="212" formatCode="#,##0&quot; gr&quot;"/>
    <numFmt numFmtId="213" formatCode="0&quot; Gastro&quot;"/>
    <numFmt numFmtId="214" formatCode="\+\ 0.0;\-\ 0.0"/>
    <numFmt numFmtId="215" formatCode="\+\ 0.000;\-\ 0.000"/>
    <numFmt numFmtId="216" formatCode="\+\ 0.00;\-\ 0.00"/>
    <numFmt numFmtId="217" formatCode="0.0&quot; Mx&quot;"/>
    <numFmt numFmtId="218" formatCode="0.00&quot; €&quot;"/>
    <numFmt numFmtId="219" formatCode="0&quot; Cont.&quot;"/>
    <numFmt numFmtId="220" formatCode="0&quot; C°&quot;"/>
    <numFmt numFmtId="221" formatCode="0.0&quot; Kg  )&quot;"/>
    <numFmt numFmtId="222" formatCode="&quot;(&quot;\ 0"/>
    <numFmt numFmtId="223" formatCode="0&quot; °C&quot;"/>
    <numFmt numFmtId="224" formatCode="0&quot; lignes&quot;"/>
    <numFmt numFmtId="225" formatCode="d\ mmmm\ yyyy"/>
    <numFmt numFmtId="226" formatCode="_-* #,##0.00\ &quot;€&quot;_-;\-* #,##0.00\ &quot;€&quot;_-;_-* &quot;-&quot;???\ &quot;€&quot;_-;_-@_-"/>
    <numFmt numFmtId="227" formatCode="0.0&quot; Kg&quot;"/>
    <numFmt numFmtId="228" formatCode="dd/mm/yy;@"/>
    <numFmt numFmtId="229" formatCode="h:mm:ss;@"/>
    <numFmt numFmtId="230" formatCode="h:mm;@"/>
    <numFmt numFmtId="231" formatCode="ddd\ dd/mm/yy"/>
    <numFmt numFmtId="232" formatCode="[h]&quot;H&quot;:mm"/>
    <numFmt numFmtId="233" formatCode="0&quot; jours&quot;"/>
    <numFmt numFmtId="234" formatCode="0&quot; H&quot;"/>
    <numFmt numFmtId="235" formatCode="&quot;=UNICAR(128269)&quot;"/>
    <numFmt numFmtId="236" formatCode="&quot;Actif&quot;;&quot;Actif&quot;;&quot;Inactif&quot;"/>
    <numFmt numFmtId="237" formatCode="&quot;de &quot;0.00&quot; Kg&quot;"/>
    <numFmt numFmtId="238" formatCode="&quot;Vrai&quot;;&quot;Vrai&quot;;&quot;Faux&quot;"/>
  </numFmts>
  <fonts count="83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6"/>
      <color theme="1"/>
      <name val="Calibri"/>
      <family val="2"/>
      <scheme val="minor"/>
    </font>
    <font>
      <b/>
      <sz val="11"/>
      <color theme="9"/>
      <name val="Calibri"/>
      <family val="2"/>
      <scheme val="minor"/>
    </font>
    <font>
      <b/>
      <sz val="11"/>
      <color theme="8"/>
      <name val="Calibri"/>
      <family val="2"/>
      <scheme val="minor"/>
    </font>
    <font>
      <b/>
      <sz val="12"/>
      <color indexed="8"/>
      <name val="Calibri"/>
      <family val="2"/>
    </font>
    <font>
      <u/>
      <sz val="11"/>
      <color theme="10"/>
      <name val="Calibri"/>
      <family val="2"/>
      <scheme val="minor"/>
    </font>
    <font>
      <sz val="10"/>
      <name val="MS Sans Serif"/>
      <family val="2"/>
    </font>
    <font>
      <sz val="11"/>
      <name val="Calibri"/>
      <family val="2"/>
    </font>
    <font>
      <i/>
      <sz val="11"/>
      <name val="Calibri"/>
      <family val="2"/>
    </font>
    <font>
      <sz val="11"/>
      <color indexed="8"/>
      <name val="Rockwell"/>
      <family val="1"/>
    </font>
    <font>
      <b/>
      <sz val="14"/>
      <name val="Calibri"/>
      <family val="2"/>
    </font>
    <font>
      <sz val="12"/>
      <name val="Calibri"/>
      <family val="2"/>
    </font>
    <font>
      <sz val="14"/>
      <name val="Arial"/>
      <family val="2"/>
    </font>
    <font>
      <b/>
      <sz val="12"/>
      <color indexed="57"/>
      <name val="Arial"/>
      <family val="2"/>
    </font>
    <font>
      <b/>
      <sz val="14"/>
      <color indexed="49"/>
      <name val="Calibri"/>
      <family val="2"/>
    </font>
    <font>
      <b/>
      <sz val="14"/>
      <color indexed="17"/>
      <name val="Calibri"/>
      <family val="2"/>
    </font>
    <font>
      <sz val="11"/>
      <color indexed="17"/>
      <name val="Calibri"/>
      <family val="2"/>
    </font>
    <font>
      <sz val="11"/>
      <color indexed="30"/>
      <name val="Calibri"/>
      <family val="2"/>
    </font>
    <font>
      <sz val="14"/>
      <name val="Rockwell"/>
      <family val="1"/>
    </font>
    <font>
      <b/>
      <sz val="12"/>
      <name val="Arial"/>
      <family val="2"/>
    </font>
    <font>
      <b/>
      <sz val="11"/>
      <color indexed="8"/>
      <name val="Calibri"/>
      <family val="2"/>
    </font>
    <font>
      <b/>
      <sz val="12"/>
      <color indexed="12"/>
      <name val="Arial"/>
      <family val="2"/>
    </font>
    <font>
      <b/>
      <sz val="14"/>
      <color indexed="10"/>
      <name val="Calibri"/>
      <family val="2"/>
    </font>
    <font>
      <sz val="14"/>
      <color indexed="10"/>
      <name val="Rockwell"/>
      <family val="1"/>
    </font>
    <font>
      <b/>
      <sz val="11"/>
      <name val="Arial"/>
      <family val="2"/>
    </font>
    <font>
      <b/>
      <sz val="14"/>
      <color indexed="62"/>
      <name val="Calibri"/>
      <family val="2"/>
    </font>
    <font>
      <b/>
      <i/>
      <sz val="12"/>
      <color rgb="FFFF0000"/>
      <name val="Calibri"/>
      <family val="2"/>
    </font>
    <font>
      <sz val="12"/>
      <color indexed="10"/>
      <name val="Calibri"/>
      <family val="2"/>
    </font>
    <font>
      <b/>
      <sz val="12"/>
      <color indexed="30"/>
      <name val="Calibri"/>
      <family val="2"/>
    </font>
    <font>
      <sz val="14"/>
      <color indexed="12"/>
      <name val="Rockwell"/>
      <family val="1"/>
    </font>
    <font>
      <sz val="12"/>
      <name val="Arial"/>
      <family val="2"/>
    </font>
    <font>
      <sz val="14"/>
      <color indexed="8"/>
      <name val="Rockwell"/>
      <family val="1"/>
    </font>
    <font>
      <b/>
      <sz val="12"/>
      <color indexed="10"/>
      <name val="Arial"/>
      <family val="2"/>
    </font>
    <font>
      <sz val="11"/>
      <color indexed="10"/>
      <name val="Calibri"/>
      <family val="2"/>
    </font>
    <font>
      <b/>
      <sz val="16"/>
      <name val="Arial"/>
      <family val="2"/>
    </font>
    <font>
      <b/>
      <sz val="20"/>
      <name val="Arial"/>
      <family val="2"/>
    </font>
    <font>
      <b/>
      <sz val="10"/>
      <color indexed="9"/>
      <name val="Arial"/>
      <family val="2"/>
    </font>
    <font>
      <b/>
      <sz val="14"/>
      <color rgb="FFFF0000"/>
      <name val="Calibri"/>
      <family val="2"/>
    </font>
    <font>
      <sz val="12"/>
      <color indexed="62"/>
      <name val="Calibri"/>
      <family val="2"/>
    </font>
    <font>
      <b/>
      <sz val="14"/>
      <color indexed="12"/>
      <name val="Calibri"/>
      <family val="2"/>
    </font>
    <font>
      <sz val="11"/>
      <color rgb="FF303030"/>
      <name val="Calibri"/>
      <family val="2"/>
      <scheme val="minor"/>
    </font>
    <font>
      <b/>
      <sz val="11"/>
      <color rgb="FF0000FF"/>
      <name val="Calibri"/>
      <family val="2"/>
      <scheme val="minor"/>
    </font>
    <font>
      <sz val="11"/>
      <color rgb="FF0000FF"/>
      <name val="Calibri"/>
      <family val="2"/>
      <scheme val="minor"/>
    </font>
    <font>
      <b/>
      <sz val="11"/>
      <color rgb="FF0000FF"/>
      <name val="ZDingbats"/>
    </font>
    <font>
      <i/>
      <sz val="11"/>
      <color rgb="FF303030"/>
      <name val="Calibri"/>
      <family val="2"/>
      <scheme val="minor"/>
    </font>
    <font>
      <i/>
      <sz val="11"/>
      <name val="Arial"/>
      <family val="2"/>
    </font>
    <font>
      <b/>
      <sz val="10"/>
      <color rgb="FF0000FF"/>
      <name val="Arial"/>
      <family val="2"/>
    </font>
    <font>
      <b/>
      <sz val="12"/>
      <color rgb="FF0000FF"/>
      <name val="Arial"/>
      <family val="2"/>
    </font>
    <font>
      <sz val="16"/>
      <color theme="0"/>
      <name val="Arial"/>
      <family val="2"/>
    </font>
    <font>
      <sz val="8"/>
      <name val="Arial"/>
      <family val="2"/>
    </font>
    <font>
      <b/>
      <sz val="12"/>
      <color theme="0" tint="-0.499984740745262"/>
      <name val="Arial"/>
      <family val="2"/>
    </font>
    <font>
      <sz val="10"/>
      <color theme="0" tint="-0.499984740745262"/>
      <name val="Arial"/>
      <family val="2"/>
    </font>
    <font>
      <b/>
      <sz val="11"/>
      <color theme="0" tint="-0.499984740745262"/>
      <name val="Arial"/>
      <family val="2"/>
    </font>
    <font>
      <b/>
      <sz val="10"/>
      <color theme="0"/>
      <name val="Arial"/>
      <family val="2"/>
    </font>
    <font>
      <b/>
      <sz val="10"/>
      <name val="Arial"/>
      <family val="2"/>
    </font>
    <font>
      <b/>
      <sz val="11"/>
      <color indexed="12"/>
      <name val="Arial"/>
      <family val="2"/>
    </font>
    <font>
      <b/>
      <sz val="12"/>
      <color theme="9" tint="-0.249977111117893"/>
      <name val="Calibri"/>
      <family val="2"/>
      <scheme val="minor"/>
    </font>
    <font>
      <b/>
      <sz val="12"/>
      <color theme="0"/>
      <name val="Arial"/>
      <family val="2"/>
    </font>
    <font>
      <sz val="11"/>
      <name val="MS Sans Serif"/>
      <family val="2"/>
    </font>
    <font>
      <b/>
      <sz val="14"/>
      <color theme="0"/>
      <name val="Arial"/>
      <family val="2"/>
    </font>
    <font>
      <sz val="8"/>
      <color theme="0" tint="-0.34998626667073579"/>
      <name val="Arial"/>
      <family val="2"/>
    </font>
    <font>
      <b/>
      <sz val="11"/>
      <color indexed="10"/>
      <name val="Arial"/>
      <family val="2"/>
    </font>
    <font>
      <b/>
      <sz val="14"/>
      <color indexed="10"/>
      <name val="Arial"/>
      <family val="2"/>
    </font>
    <font>
      <sz val="12"/>
      <name val="Calibri"/>
      <family val="2"/>
      <scheme val="minor"/>
    </font>
    <font>
      <sz val="8"/>
      <color indexed="22"/>
      <name val="Arial"/>
      <family val="2"/>
    </font>
    <font>
      <b/>
      <sz val="11"/>
      <color theme="8"/>
      <name val="Arial"/>
      <family val="2"/>
    </font>
    <font>
      <sz val="10"/>
      <color theme="8"/>
      <name val="Arial"/>
      <family val="2"/>
    </font>
    <font>
      <sz val="11"/>
      <color theme="8"/>
      <name val="Calibri"/>
      <family val="2"/>
      <scheme val="minor"/>
    </font>
    <font>
      <b/>
      <sz val="10"/>
      <color theme="8"/>
      <name val="Arial"/>
      <family val="2"/>
    </font>
    <font>
      <b/>
      <sz val="12"/>
      <color theme="9" tint="-0.249977111117893"/>
      <name val="Arial"/>
      <family val="2"/>
    </font>
    <font>
      <b/>
      <sz val="10"/>
      <color indexed="10"/>
      <name val="Arial"/>
      <family val="2"/>
    </font>
    <font>
      <b/>
      <sz val="20"/>
      <color indexed="12"/>
      <name val="Arial"/>
      <family val="2"/>
    </font>
    <font>
      <b/>
      <sz val="9"/>
      <name val="Arial"/>
      <family val="2"/>
    </font>
    <font>
      <sz val="8"/>
      <name val="MS Sans Serif"/>
      <family val="2"/>
    </font>
    <font>
      <b/>
      <sz val="11"/>
      <color rgb="FFFF0000"/>
      <name val="Calibri"/>
      <family val="2"/>
      <scheme val="minor"/>
    </font>
    <font>
      <b/>
      <sz val="14"/>
      <color theme="0"/>
      <name val="Calibri"/>
      <family val="2"/>
      <scheme val="minor"/>
    </font>
    <font>
      <sz val="10"/>
      <color indexed="22"/>
      <name val="Arial"/>
      <family val="2"/>
    </font>
    <font>
      <b/>
      <sz val="10"/>
      <color indexed="12"/>
      <name val="Arial"/>
      <family val="2"/>
    </font>
    <font>
      <b/>
      <sz val="10"/>
      <color indexed="17"/>
      <name val="Arial"/>
      <family val="2"/>
    </font>
    <font>
      <b/>
      <sz val="11"/>
      <color theme="1"/>
      <name val="Calibri"/>
      <family val="2"/>
      <scheme val="minor"/>
    </font>
    <font>
      <b/>
      <sz val="8"/>
      <name val="Arial"/>
      <family val="2"/>
    </font>
    <font>
      <b/>
      <sz val="12"/>
      <color indexed="9"/>
      <name val="Arial"/>
      <family val="2"/>
    </font>
    <font>
      <sz val="12"/>
      <color theme="1"/>
      <name val="Arial"/>
      <family val="2"/>
    </font>
    <font>
      <u/>
      <sz val="12"/>
      <color theme="10"/>
      <name val="Arial"/>
      <family val="2"/>
    </font>
    <font>
      <b/>
      <sz val="12"/>
      <color theme="1"/>
      <name val="Arial"/>
      <family val="2"/>
    </font>
    <font>
      <b/>
      <sz val="12"/>
      <color rgb="FFFF0000"/>
      <name val="Arial"/>
      <family val="2"/>
    </font>
    <font>
      <b/>
      <sz val="12"/>
      <name val="Calibri"/>
      <family val="2"/>
      <scheme val="minor"/>
    </font>
    <font>
      <sz val="8"/>
      <name val="Times New Roman"/>
      <family val="1"/>
    </font>
    <font>
      <sz val="10"/>
      <color indexed="10"/>
      <name val="Arial"/>
      <family val="2"/>
    </font>
    <font>
      <b/>
      <sz val="12"/>
      <color rgb="FFC00000"/>
      <name val="Arial"/>
      <family val="2"/>
    </font>
    <font>
      <b/>
      <sz val="11"/>
      <color rgb="FFC00000"/>
      <name val="Arial"/>
      <family val="2"/>
    </font>
    <font>
      <b/>
      <sz val="10"/>
      <color rgb="FFC00000"/>
      <name val="Arial"/>
      <family val="2"/>
    </font>
    <font>
      <sz val="11"/>
      <color rgb="FFFF0000"/>
      <name val="Arial"/>
      <family val="2"/>
    </font>
    <font>
      <sz val="11"/>
      <color rgb="FFFF0000"/>
      <name val="Calibri"/>
      <family val="2"/>
      <scheme val="minor"/>
    </font>
    <font>
      <sz val="11"/>
      <color indexed="12"/>
      <name val="Arial"/>
      <family val="2"/>
    </font>
    <font>
      <sz val="11"/>
      <color indexed="12"/>
      <name val="Calibri"/>
      <family val="2"/>
      <scheme val="minor"/>
    </font>
    <font>
      <b/>
      <sz val="10"/>
      <color rgb="FFFF0000"/>
      <name val="Arial"/>
      <family val="2"/>
    </font>
    <font>
      <b/>
      <sz val="10"/>
      <color rgb="FFFF0000"/>
      <name val="Calibri"/>
      <family val="2"/>
      <scheme val="minor"/>
    </font>
    <font>
      <b/>
      <sz val="10"/>
      <color indexed="12"/>
      <name val="Calibri"/>
      <family val="2"/>
      <scheme val="minor"/>
    </font>
    <font>
      <b/>
      <sz val="12"/>
      <color rgb="FFFF0000"/>
      <name val="Calibri"/>
      <family val="2"/>
      <scheme val="minor"/>
    </font>
    <font>
      <b/>
      <sz val="12"/>
      <color indexed="12"/>
      <name val="Calibri"/>
      <family val="2"/>
      <scheme val="minor"/>
    </font>
    <font>
      <sz val="11"/>
      <name val="Calibri"/>
      <family val="2"/>
      <scheme val="minor"/>
    </font>
    <font>
      <b/>
      <u/>
      <sz val="16"/>
      <color theme="10"/>
      <name val="Calibri"/>
      <family val="2"/>
      <scheme val="minor"/>
    </font>
    <font>
      <b/>
      <u/>
      <sz val="18"/>
      <color theme="10"/>
      <name val="Calibri"/>
      <family val="2"/>
      <scheme val="minor"/>
    </font>
    <font>
      <b/>
      <sz val="16"/>
      <color rgb="FFFF0000"/>
      <name val="Calibri"/>
      <family val="2"/>
      <scheme val="minor"/>
    </font>
    <font>
      <sz val="10"/>
      <color theme="0"/>
      <name val="Arial"/>
      <family val="2"/>
    </font>
    <font>
      <b/>
      <sz val="12"/>
      <color rgb="FF0000FF"/>
      <name val="Calibri"/>
      <family val="2"/>
      <scheme val="minor"/>
    </font>
    <font>
      <b/>
      <sz val="12"/>
      <color indexed="10"/>
      <name val="Calibri"/>
      <family val="2"/>
      <scheme val="minor"/>
    </font>
    <font>
      <i/>
      <sz val="10"/>
      <color theme="5"/>
      <name val="Calibri"/>
      <family val="2"/>
      <scheme val="minor"/>
    </font>
    <font>
      <sz val="12"/>
      <color indexed="12"/>
      <name val="Arial"/>
      <family val="2"/>
    </font>
    <font>
      <sz val="11"/>
      <color indexed="10"/>
      <name val="Arial"/>
      <family val="2"/>
    </font>
    <font>
      <sz val="10"/>
      <color theme="1"/>
      <name val="Calibri"/>
      <family val="2"/>
      <scheme val="minor"/>
    </font>
    <font>
      <sz val="9"/>
      <name val="Calibri"/>
      <family val="2"/>
      <scheme val="minor"/>
    </font>
    <font>
      <sz val="9"/>
      <color theme="8" tint="-0.249977111117893"/>
      <name val="Calibri"/>
      <family val="2"/>
      <scheme val="minor"/>
    </font>
    <font>
      <u/>
      <sz val="11"/>
      <color theme="10"/>
      <name val="Calibri"/>
      <family val="2"/>
    </font>
    <font>
      <b/>
      <i/>
      <sz val="12"/>
      <color rgb="FF0070C0"/>
      <name val="Calibri"/>
      <family val="2"/>
      <scheme val="minor"/>
    </font>
    <font>
      <b/>
      <i/>
      <sz val="11"/>
      <color rgb="FFC00000"/>
      <name val="Calibri"/>
      <family val="2"/>
      <scheme val="minor"/>
    </font>
    <font>
      <sz val="9"/>
      <color rgb="FFC00000"/>
      <name val="Calibri"/>
      <family val="2"/>
      <scheme val="minor"/>
    </font>
    <font>
      <b/>
      <i/>
      <sz val="11"/>
      <color theme="4" tint="-0.499984740745262"/>
      <name val="Calibri"/>
      <family val="2"/>
      <scheme val="minor"/>
    </font>
    <font>
      <b/>
      <sz val="9"/>
      <color theme="1"/>
      <name val="Calibri"/>
      <family val="2"/>
      <scheme val="minor"/>
    </font>
    <font>
      <b/>
      <sz val="10"/>
      <color theme="1"/>
      <name val="Calibri"/>
      <family val="2"/>
      <scheme val="minor"/>
    </font>
    <font>
      <b/>
      <sz val="11"/>
      <color theme="8" tint="-0.249977111117893"/>
      <name val="Calibri"/>
      <family val="2"/>
      <scheme val="minor"/>
    </font>
    <font>
      <b/>
      <sz val="14"/>
      <color theme="1"/>
      <name val="Calibri"/>
      <family val="2"/>
      <scheme val="minor"/>
    </font>
    <font>
      <b/>
      <sz val="14"/>
      <name val="Calibri"/>
      <family val="2"/>
      <scheme val="minor"/>
    </font>
    <font>
      <b/>
      <sz val="18"/>
      <color rgb="FF008000"/>
      <name val="Calibri"/>
      <family val="2"/>
      <scheme val="minor"/>
    </font>
    <font>
      <b/>
      <i/>
      <sz val="10"/>
      <color rgb="FFC00000"/>
      <name val="Calibri"/>
      <family val="2"/>
      <scheme val="minor"/>
    </font>
    <font>
      <b/>
      <i/>
      <sz val="10"/>
      <color theme="4" tint="-0.499984740745262"/>
      <name val="Calibri"/>
      <family val="2"/>
      <scheme val="minor"/>
    </font>
    <font>
      <b/>
      <sz val="12"/>
      <color theme="8" tint="-0.249977111117893"/>
      <name val="Calibri"/>
      <family val="2"/>
      <scheme val="minor"/>
    </font>
    <font>
      <sz val="12"/>
      <color indexed="9"/>
      <name val="Arial"/>
      <family val="2"/>
    </font>
    <font>
      <i/>
      <sz val="12"/>
      <color indexed="9"/>
      <name val="Arial"/>
      <family val="2"/>
    </font>
    <font>
      <sz val="10"/>
      <color indexed="9"/>
      <name val="Arial"/>
      <family val="2"/>
    </font>
    <font>
      <i/>
      <sz val="12"/>
      <color indexed="12"/>
      <name val="Arial"/>
      <family val="2"/>
    </font>
    <font>
      <u/>
      <sz val="10"/>
      <color indexed="12"/>
      <name val="Arial"/>
      <family val="2"/>
    </font>
    <font>
      <sz val="16"/>
      <color theme="1"/>
      <name val="Calibri"/>
      <family val="2"/>
      <scheme val="minor"/>
    </font>
    <font>
      <sz val="16"/>
      <name val="Calibri"/>
      <family val="2"/>
      <scheme val="minor"/>
    </font>
    <font>
      <i/>
      <sz val="7"/>
      <name val="Arial"/>
      <family val="2"/>
    </font>
    <font>
      <sz val="9"/>
      <color indexed="12"/>
      <name val="Arial"/>
      <family val="2"/>
    </font>
    <font>
      <sz val="9"/>
      <color indexed="10"/>
      <name val="Arial"/>
      <family val="2"/>
    </font>
    <font>
      <u/>
      <sz val="16"/>
      <color theme="10"/>
      <name val="Calibri"/>
      <family val="2"/>
      <scheme val="minor"/>
    </font>
    <font>
      <b/>
      <sz val="12"/>
      <name val="Tahoma"/>
      <family val="2"/>
    </font>
    <font>
      <b/>
      <u/>
      <sz val="12"/>
      <color indexed="12"/>
      <name val="Calibri"/>
      <family val="2"/>
      <scheme val="minor"/>
    </font>
    <font>
      <b/>
      <sz val="12"/>
      <color rgb="FF0070C0"/>
      <name val="Calibri"/>
      <family val="2"/>
      <scheme val="minor"/>
    </font>
    <font>
      <sz val="9"/>
      <name val="Arial"/>
      <family val="2"/>
    </font>
    <font>
      <sz val="12"/>
      <color rgb="FF333333"/>
      <name val="Segoe UI"/>
      <family val="2"/>
    </font>
    <font>
      <b/>
      <sz val="11"/>
      <color rgb="FFFF0000"/>
      <name val="Arial"/>
      <family val="2"/>
    </font>
    <font>
      <sz val="11"/>
      <color rgb="FF333333"/>
      <name val="Segoe UI"/>
      <family val="2"/>
    </font>
    <font>
      <b/>
      <sz val="11"/>
      <color rgb="FFFF0000"/>
      <name val="Segoe UI"/>
      <family val="2"/>
    </font>
    <font>
      <u/>
      <sz val="14"/>
      <color theme="10"/>
      <name val="Calibri"/>
      <family val="2"/>
      <scheme val="minor"/>
    </font>
    <font>
      <sz val="14"/>
      <color rgb="FF333333"/>
      <name val="Calibri"/>
      <family val="2"/>
      <scheme val="minor"/>
    </font>
    <font>
      <sz val="14"/>
      <color rgb="FF5FA900"/>
      <name val="Calibri"/>
      <family val="2"/>
      <scheme val="minor"/>
    </font>
    <font>
      <sz val="14"/>
      <color theme="1"/>
      <name val="Calibri"/>
      <family val="2"/>
      <scheme val="minor"/>
    </font>
    <font>
      <sz val="14"/>
      <name val="Calibri"/>
      <family val="2"/>
      <scheme val="minor"/>
    </font>
    <font>
      <b/>
      <sz val="14"/>
      <color theme="4" tint="-0.249977111117893"/>
      <name val="Calibri"/>
      <family val="2"/>
      <scheme val="minor"/>
    </font>
    <font>
      <sz val="11"/>
      <color rgb="FFC00000"/>
      <name val="Calibri"/>
      <family val="2"/>
      <scheme val="minor"/>
    </font>
    <font>
      <i/>
      <sz val="12"/>
      <name val="Calibri"/>
      <family val="2"/>
      <scheme val="minor"/>
    </font>
    <font>
      <sz val="12"/>
      <color theme="7" tint="-0.249977111117893"/>
      <name val="Calibri"/>
      <family val="2"/>
      <scheme val="minor"/>
    </font>
    <font>
      <sz val="8"/>
      <name val="Calibri"/>
      <family val="2"/>
      <scheme val="minor"/>
    </font>
    <font>
      <sz val="9"/>
      <color rgb="FF002060"/>
      <name val="Calibri"/>
      <family val="2"/>
      <scheme val="minor"/>
    </font>
    <font>
      <i/>
      <sz val="9"/>
      <name val="Calibri"/>
      <family val="2"/>
      <scheme val="minor"/>
    </font>
    <font>
      <sz val="12"/>
      <color rgb="FF002060"/>
      <name val="Calibri"/>
      <family val="2"/>
      <scheme val="minor"/>
    </font>
    <font>
      <b/>
      <sz val="12"/>
      <color theme="1" tint="0.34998626667073579"/>
      <name val="Calibri"/>
      <family val="2"/>
      <scheme val="minor"/>
    </font>
    <font>
      <b/>
      <sz val="12"/>
      <color theme="4" tint="-0.499984740745262"/>
      <name val="Calibri"/>
      <family val="2"/>
      <scheme val="minor"/>
    </font>
    <font>
      <b/>
      <i/>
      <sz val="12"/>
      <color theme="0" tint="-0.499984740745262"/>
      <name val="Calibri"/>
      <family val="2"/>
      <scheme val="minor"/>
    </font>
    <font>
      <b/>
      <sz val="14"/>
      <color rgb="FFFF0000"/>
      <name val="Calibri"/>
      <family val="2"/>
      <scheme val="minor"/>
    </font>
    <font>
      <b/>
      <sz val="14"/>
      <color rgb="FF7030A0"/>
      <name val="Calibri"/>
      <family val="2"/>
      <scheme val="minor"/>
    </font>
    <font>
      <b/>
      <sz val="14"/>
      <color rgb="FFFF0000"/>
      <name val="Wingdings 3"/>
      <family val="1"/>
      <charset val="2"/>
    </font>
    <font>
      <b/>
      <sz val="12"/>
      <color theme="4" tint="-0.249977111117893"/>
      <name val="Calibri"/>
      <family val="2"/>
      <scheme val="minor"/>
    </font>
    <font>
      <sz val="12"/>
      <color rgb="FFC00000"/>
      <name val="Calibri"/>
      <family val="2"/>
      <scheme val="minor"/>
    </font>
    <font>
      <b/>
      <sz val="14"/>
      <color rgb="FFC00000"/>
      <name val="Calibri"/>
      <family val="2"/>
      <scheme val="minor"/>
    </font>
    <font>
      <b/>
      <sz val="10"/>
      <color rgb="FF002060"/>
      <name val="Calibri"/>
      <family val="2"/>
      <scheme val="minor"/>
    </font>
    <font>
      <sz val="12"/>
      <color rgb="FFC00000"/>
      <name val="Wingdings 3"/>
      <family val="1"/>
      <charset val="2"/>
    </font>
    <font>
      <b/>
      <sz val="12"/>
      <color rgb="FF002060"/>
      <name val="Calibri"/>
      <family val="2"/>
      <scheme val="minor"/>
    </font>
    <font>
      <b/>
      <sz val="12"/>
      <color theme="9" tint="-0.499984740745262"/>
      <name val="Calibri"/>
      <family val="2"/>
      <scheme val="minor"/>
    </font>
    <font>
      <b/>
      <sz val="12"/>
      <color theme="5" tint="-0.249977111117893"/>
      <name val="Calibri"/>
      <family val="2"/>
      <scheme val="minor"/>
    </font>
    <font>
      <b/>
      <sz val="12"/>
      <color rgb="FFC00000"/>
      <name val="Calibri"/>
      <family val="2"/>
      <scheme val="minor"/>
    </font>
    <font>
      <b/>
      <sz val="14"/>
      <color rgb="FF002060"/>
      <name val="Calibri"/>
      <family val="2"/>
      <scheme val="minor"/>
    </font>
    <font>
      <b/>
      <sz val="14"/>
      <color theme="3"/>
      <name val="Calibri"/>
      <family val="2"/>
      <scheme val="minor"/>
    </font>
    <font>
      <sz val="11"/>
      <color theme="8" tint="-0.249977111117893"/>
      <name val="Calibri"/>
      <family val="2"/>
      <scheme val="minor"/>
    </font>
    <font>
      <sz val="10"/>
      <name val="Calibri"/>
      <family val="2"/>
      <scheme val="minor"/>
    </font>
    <font>
      <i/>
      <sz val="11"/>
      <name val="Calibri"/>
      <family val="2"/>
      <scheme val="minor"/>
    </font>
    <font>
      <b/>
      <sz val="8"/>
      <color theme="4" tint="-0.249977111117893"/>
      <name val="Calibri"/>
      <family val="2"/>
      <scheme val="minor"/>
    </font>
    <font>
      <b/>
      <sz val="8"/>
      <name val="Calibri"/>
      <family val="2"/>
      <scheme val="minor"/>
    </font>
    <font>
      <b/>
      <sz val="11"/>
      <name val="Calibri"/>
      <family val="2"/>
      <scheme val="minor"/>
    </font>
    <font>
      <b/>
      <sz val="16"/>
      <color theme="0"/>
      <name val="Calibri"/>
      <family val="2"/>
      <scheme val="minor"/>
    </font>
    <font>
      <b/>
      <sz val="9"/>
      <color rgb="FF7030A0"/>
      <name val="Calibri"/>
      <family val="2"/>
      <scheme val="minor"/>
    </font>
    <font>
      <sz val="11"/>
      <color rgb="FF252525"/>
      <name val="Arial"/>
      <family val="2"/>
    </font>
    <font>
      <u/>
      <sz val="11"/>
      <color theme="10"/>
      <name val="Arial"/>
      <family val="2"/>
    </font>
    <font>
      <b/>
      <u/>
      <sz val="12"/>
      <color theme="10"/>
      <name val="Calibri"/>
      <family val="2"/>
      <scheme val="minor"/>
    </font>
    <font>
      <sz val="18"/>
      <color rgb="FF000000"/>
      <name val="Georgia"/>
      <family val="1"/>
    </font>
    <font>
      <b/>
      <u/>
      <sz val="9"/>
      <color theme="10"/>
      <name val="Calibri"/>
      <family val="2"/>
      <scheme val="minor"/>
    </font>
    <font>
      <sz val="9"/>
      <color theme="1"/>
      <name val="Calibri"/>
      <family val="2"/>
      <scheme val="minor"/>
    </font>
    <font>
      <b/>
      <sz val="10"/>
      <color rgb="FF7030A0"/>
      <name val="Calibri"/>
      <family val="2"/>
      <scheme val="minor"/>
    </font>
    <font>
      <b/>
      <i/>
      <sz val="11"/>
      <color rgb="FFFF0000"/>
      <name val="Calibri"/>
      <family val="2"/>
      <scheme val="minor"/>
    </font>
    <font>
      <i/>
      <sz val="8"/>
      <color theme="0" tint="-0.499984740745262"/>
      <name val="Calibri"/>
      <family val="2"/>
      <scheme val="minor"/>
    </font>
    <font>
      <b/>
      <sz val="16"/>
      <name val="Calibri"/>
      <family val="2"/>
      <scheme val="minor"/>
    </font>
    <font>
      <b/>
      <sz val="16"/>
      <color rgb="FFC00000"/>
      <name val="Calibri"/>
      <family val="2"/>
      <scheme val="minor"/>
    </font>
    <font>
      <sz val="10"/>
      <color theme="5" tint="-0.249977111117893"/>
      <name val="Calibri"/>
      <family val="2"/>
      <scheme val="minor"/>
    </font>
    <font>
      <b/>
      <sz val="10"/>
      <color theme="8" tint="-0.249977111117893"/>
      <name val="Calibri"/>
      <family val="2"/>
      <scheme val="minor"/>
    </font>
    <font>
      <b/>
      <sz val="10"/>
      <color theme="9" tint="-0.249977111117893"/>
      <name val="Calibri"/>
      <family val="2"/>
      <scheme val="minor"/>
    </font>
    <font>
      <sz val="10"/>
      <color rgb="FF000000"/>
      <name val="Arial"/>
      <family val="2"/>
    </font>
    <font>
      <b/>
      <sz val="11"/>
      <color theme="0"/>
      <name val="Arial"/>
      <family val="2"/>
    </font>
    <font>
      <b/>
      <u/>
      <sz val="14"/>
      <color theme="10"/>
      <name val="Calibri"/>
      <family val="2"/>
      <scheme val="minor"/>
    </font>
    <font>
      <b/>
      <u/>
      <sz val="11"/>
      <color theme="10"/>
      <name val="Calibri"/>
      <family val="2"/>
      <scheme val="minor"/>
    </font>
    <font>
      <u/>
      <sz val="10"/>
      <color theme="10"/>
      <name val="Arial"/>
      <family val="2"/>
    </font>
    <font>
      <b/>
      <sz val="18"/>
      <name val="Calibri"/>
      <family val="2"/>
      <scheme val="minor"/>
    </font>
    <font>
      <sz val="8"/>
      <color indexed="53"/>
      <name val="Arial"/>
      <family val="2"/>
    </font>
    <font>
      <sz val="14"/>
      <name val="Times New Roman"/>
      <family val="1"/>
    </font>
    <font>
      <b/>
      <sz val="14"/>
      <color indexed="9"/>
      <name val="Arial"/>
      <family val="2"/>
    </font>
    <font>
      <b/>
      <sz val="16"/>
      <color indexed="8"/>
      <name val="Calibri"/>
      <family val="2"/>
    </font>
    <font>
      <b/>
      <sz val="18"/>
      <name val="Arial"/>
      <family val="2"/>
    </font>
    <font>
      <u/>
      <sz val="12"/>
      <color theme="10"/>
      <name val="Calibri"/>
      <family val="2"/>
      <scheme val="minor"/>
    </font>
    <font>
      <u/>
      <sz val="16"/>
      <color indexed="12"/>
      <name val="Arial"/>
      <family val="2"/>
    </font>
    <font>
      <sz val="16"/>
      <name val="Arial"/>
      <family val="2"/>
    </font>
    <font>
      <sz val="16"/>
      <name val="Wingdings 2"/>
      <family val="1"/>
      <charset val="2"/>
    </font>
    <font>
      <b/>
      <u/>
      <sz val="16"/>
      <color indexed="12"/>
      <name val="Arial"/>
      <family val="2"/>
    </font>
    <font>
      <sz val="22"/>
      <name val="Arial"/>
      <family val="2"/>
    </font>
    <font>
      <sz val="18"/>
      <name val="Arial"/>
      <family val="2"/>
    </font>
    <font>
      <sz val="10"/>
      <name val="MS Sans Serif"/>
    </font>
    <font>
      <b/>
      <sz val="20"/>
      <name val="Calibri"/>
      <family val="2"/>
      <scheme val="minor"/>
    </font>
    <font>
      <b/>
      <sz val="18"/>
      <name val="Verdana"/>
      <family val="2"/>
    </font>
    <font>
      <b/>
      <sz val="18"/>
      <color theme="0"/>
      <name val="Verdana"/>
      <family val="2"/>
    </font>
    <font>
      <b/>
      <sz val="16"/>
      <color rgb="FFFF0000"/>
      <name val="Wingdings 3"/>
      <family val="1"/>
      <charset val="2"/>
    </font>
    <font>
      <b/>
      <sz val="16"/>
      <color rgb="FFC00000"/>
      <name val="Wingdings 3"/>
      <family val="1"/>
      <charset val="2"/>
    </font>
    <font>
      <sz val="18"/>
      <color theme="7" tint="-0.249977111117893"/>
      <name val="Calibri"/>
      <family val="2"/>
      <scheme val="minor"/>
    </font>
    <font>
      <sz val="16"/>
      <color rgb="FF222222"/>
      <name val="Arial"/>
      <family val="2"/>
    </font>
    <font>
      <sz val="16"/>
      <color rgb="FF141414"/>
      <name val="Calibri"/>
      <family val="2"/>
      <scheme val="minor"/>
    </font>
    <font>
      <sz val="16"/>
      <color rgb="FFC00000"/>
      <name val="Arial"/>
      <family val="2"/>
    </font>
    <font>
      <b/>
      <sz val="16"/>
      <color theme="0"/>
      <name val="Arial"/>
      <family val="2"/>
    </font>
    <font>
      <b/>
      <u/>
      <sz val="16"/>
      <color indexed="12"/>
      <name val="Calibri"/>
      <family val="2"/>
      <scheme val="minor"/>
    </font>
    <font>
      <sz val="12"/>
      <color indexed="50"/>
      <name val="Calibri"/>
      <family val="2"/>
    </font>
    <font>
      <b/>
      <sz val="14"/>
      <color rgb="FF0070C0"/>
      <name val="Calibri"/>
      <family val="2"/>
    </font>
    <font>
      <b/>
      <sz val="22"/>
      <color rgb="FFC00000"/>
      <name val="Wingdings 3"/>
      <family val="1"/>
      <charset val="2"/>
    </font>
    <font>
      <sz val="20"/>
      <name val="Calibri"/>
      <family val="2"/>
    </font>
    <font>
      <i/>
      <sz val="11"/>
      <color theme="1"/>
      <name val="Calibri"/>
      <family val="2"/>
      <scheme val="minor"/>
    </font>
    <font>
      <b/>
      <sz val="14"/>
      <color rgb="FF0070C0"/>
      <name val="Calibri"/>
      <family val="2"/>
      <scheme val="minor"/>
    </font>
    <font>
      <b/>
      <sz val="11"/>
      <color rgb="FF0070C0"/>
      <name val="Calibri"/>
      <family val="2"/>
      <scheme val="minor"/>
    </font>
    <font>
      <i/>
      <sz val="10"/>
      <name val="Calibri"/>
      <family val="2"/>
      <scheme val="minor"/>
    </font>
    <font>
      <b/>
      <sz val="12"/>
      <color rgb="FF7030A0"/>
      <name val="Calibri"/>
      <family val="2"/>
      <scheme val="minor"/>
    </font>
    <font>
      <sz val="26"/>
      <name val="Arial"/>
      <family val="2"/>
    </font>
    <font>
      <sz val="11"/>
      <color theme="0"/>
      <name val="Calibri"/>
      <family val="2"/>
      <scheme val="minor"/>
    </font>
    <font>
      <b/>
      <u/>
      <sz val="28"/>
      <color theme="10"/>
      <name val="Calibri"/>
      <family val="2"/>
      <scheme val="minor"/>
    </font>
    <font>
      <b/>
      <sz val="20"/>
      <color theme="0"/>
      <name val="Calibri"/>
      <family val="2"/>
      <scheme val="minor"/>
    </font>
    <font>
      <b/>
      <sz val="22"/>
      <color rgb="FF92D050"/>
      <name val="Verdana"/>
      <family val="2"/>
    </font>
    <font>
      <sz val="22"/>
      <color theme="0"/>
      <name val="Verdana"/>
      <family val="2"/>
    </font>
    <font>
      <sz val="18"/>
      <color rgb="FF7030A0"/>
      <name val="Arial"/>
      <family val="2"/>
    </font>
    <font>
      <sz val="18"/>
      <color theme="0"/>
      <name val="Arial"/>
      <family val="2"/>
    </font>
    <font>
      <sz val="22"/>
      <color theme="1"/>
      <name val="Verdana"/>
      <family val="2"/>
    </font>
    <font>
      <b/>
      <sz val="22"/>
      <color rgb="FF92D050"/>
      <name val="Arial"/>
      <family val="2"/>
    </font>
    <font>
      <b/>
      <sz val="22"/>
      <color theme="0"/>
      <name val="Arial"/>
      <family val="2"/>
    </font>
    <font>
      <sz val="20"/>
      <color theme="0"/>
      <name val="Calibri"/>
      <family val="2"/>
      <scheme val="minor"/>
    </font>
    <font>
      <b/>
      <sz val="48"/>
      <color rgb="FFFFFF00"/>
      <name val="Calibri"/>
      <family val="2"/>
      <scheme val="minor"/>
    </font>
    <font>
      <sz val="12"/>
      <color rgb="FFFF0000"/>
      <name val="Calibri"/>
      <family val="2"/>
      <scheme val="minor"/>
    </font>
    <font>
      <sz val="14"/>
      <color rgb="FF222222"/>
      <name val="Arial"/>
      <family val="2"/>
    </font>
    <font>
      <b/>
      <sz val="16"/>
      <color rgb="FF0000FF"/>
      <name val="Calibri"/>
      <family val="2"/>
      <scheme val="minor"/>
    </font>
    <font>
      <sz val="16"/>
      <color theme="7" tint="-0.249977111117893"/>
      <name val="Calibri"/>
      <family val="2"/>
      <scheme val="minor"/>
    </font>
    <font>
      <sz val="10"/>
      <color rgb="FF222222"/>
      <name val="Arial"/>
      <family val="2"/>
    </font>
    <font>
      <b/>
      <sz val="11"/>
      <color rgb="FFC00000"/>
      <name val="Calibri"/>
      <family val="2"/>
      <scheme val="minor"/>
    </font>
    <font>
      <sz val="14"/>
      <color theme="1"/>
      <name val="Arial"/>
      <family val="2"/>
    </font>
    <font>
      <b/>
      <sz val="14"/>
      <color theme="1"/>
      <name val="Arial"/>
      <family val="2"/>
    </font>
    <font>
      <i/>
      <sz val="14"/>
      <name val="Calibri"/>
      <family val="2"/>
      <scheme val="minor"/>
    </font>
    <font>
      <sz val="18"/>
      <color theme="1"/>
      <name val="Calibri"/>
      <family val="2"/>
      <scheme val="minor"/>
    </font>
    <font>
      <b/>
      <sz val="16"/>
      <color rgb="FF339966"/>
      <name val="Arial"/>
      <family val="2"/>
    </font>
    <font>
      <sz val="24"/>
      <name val="Arial"/>
      <family val="2"/>
    </font>
    <font>
      <b/>
      <sz val="14"/>
      <color rgb="FF0000FF"/>
      <name val="Calibri"/>
      <family val="2"/>
      <scheme val="minor"/>
    </font>
    <font>
      <b/>
      <sz val="12"/>
      <color theme="5"/>
      <name val="Arial"/>
      <family val="2"/>
    </font>
    <font>
      <b/>
      <sz val="14"/>
      <color theme="5"/>
      <name val="Calibri"/>
      <family val="2"/>
      <scheme val="minor"/>
    </font>
    <font>
      <b/>
      <sz val="14"/>
      <color theme="9" tint="-0.249977111117893"/>
      <name val="Calibri"/>
      <family val="2"/>
      <scheme val="minor"/>
    </font>
    <font>
      <sz val="12"/>
      <color rgb="FF0000FF"/>
      <name val="Calibri"/>
      <family val="2"/>
      <scheme val="minor"/>
    </font>
    <font>
      <b/>
      <sz val="12"/>
      <color theme="5"/>
      <name val="Calibri"/>
      <family val="2"/>
      <scheme val="minor"/>
    </font>
    <font>
      <sz val="11"/>
      <color theme="1"/>
      <name val="Arial"/>
      <family val="2"/>
    </font>
    <font>
      <b/>
      <sz val="16"/>
      <color rgb="FF0070C0"/>
      <name val="Calibri"/>
      <family val="2"/>
      <scheme val="minor"/>
    </font>
    <font>
      <u/>
      <sz val="14"/>
      <color theme="10"/>
      <name val="Arial"/>
      <family val="2"/>
    </font>
    <font>
      <b/>
      <sz val="14"/>
      <color rgb="FFFF0000"/>
      <name val="Arial"/>
      <family val="2"/>
    </font>
    <font>
      <sz val="10"/>
      <name val="Times New Roman"/>
      <family val="1"/>
    </font>
    <font>
      <b/>
      <u/>
      <sz val="12"/>
      <color indexed="12"/>
      <name val="Arial"/>
      <family val="2"/>
    </font>
    <font>
      <b/>
      <sz val="11"/>
      <color rgb="FF0000FF"/>
      <name val="Arial"/>
      <family val="2"/>
    </font>
    <font>
      <sz val="10"/>
      <color rgb="FF0000FF"/>
      <name val="Arial"/>
      <family val="2"/>
    </font>
    <font>
      <b/>
      <sz val="10"/>
      <color indexed="16"/>
      <name val="Arial"/>
      <family val="2"/>
    </font>
    <font>
      <sz val="12"/>
      <color indexed="63"/>
      <name val="Trebuchet MS"/>
      <family val="2"/>
    </font>
    <font>
      <u/>
      <sz val="12"/>
      <color indexed="12"/>
      <name val="Arial"/>
      <family val="2"/>
    </font>
    <font>
      <b/>
      <u/>
      <sz val="12"/>
      <color indexed="60"/>
      <name val="Arial"/>
      <family val="2"/>
    </font>
    <font>
      <b/>
      <sz val="12"/>
      <color indexed="60"/>
      <name val="Arial"/>
      <family val="2"/>
    </font>
    <font>
      <sz val="10"/>
      <color rgb="FFC00000"/>
      <name val="Arial"/>
      <family val="2"/>
    </font>
    <font>
      <sz val="11"/>
      <color theme="7" tint="-0.249977111117893"/>
      <name val="Calibri"/>
      <family val="2"/>
      <scheme val="minor"/>
    </font>
    <font>
      <b/>
      <sz val="12"/>
      <color rgb="FF008000"/>
      <name val="Arial"/>
      <family val="2"/>
    </font>
    <font>
      <sz val="12"/>
      <color rgb="FF008000"/>
      <name val="Calibri"/>
      <family val="2"/>
      <scheme val="minor"/>
    </font>
    <font>
      <sz val="10"/>
      <color rgb="FFFF0000"/>
      <name val="Calibri"/>
      <family val="2"/>
      <scheme val="minor"/>
    </font>
    <font>
      <sz val="12"/>
      <color theme="0"/>
      <name val="Calibri"/>
      <family val="2"/>
      <scheme val="minor"/>
    </font>
    <font>
      <sz val="11"/>
      <color rgb="FF008000"/>
      <name val="Calibri"/>
      <family val="2"/>
      <scheme val="minor"/>
    </font>
    <font>
      <sz val="12"/>
      <color rgb="FF800000"/>
      <name val="Calibri"/>
      <family val="2"/>
      <scheme val="minor"/>
    </font>
    <font>
      <b/>
      <sz val="12"/>
      <color rgb="FF800000"/>
      <name val="Calibri"/>
      <family val="2"/>
      <scheme val="minor"/>
    </font>
    <font>
      <b/>
      <i/>
      <sz val="12"/>
      <name val="Calibri"/>
      <family val="2"/>
      <scheme val="minor"/>
    </font>
    <font>
      <i/>
      <sz val="12"/>
      <color theme="1"/>
      <name val="Calibri"/>
      <family val="2"/>
      <scheme val="minor"/>
    </font>
    <font>
      <sz val="12"/>
      <color rgb="FF0000FF"/>
      <name val="Calibri"/>
      <family val="2"/>
    </font>
    <font>
      <b/>
      <sz val="11"/>
      <color indexed="12"/>
      <name val="Calibri"/>
      <family val="2"/>
      <scheme val="minor"/>
    </font>
    <font>
      <b/>
      <sz val="10"/>
      <color indexed="10"/>
      <name val="Calibri"/>
      <family val="2"/>
      <scheme val="minor"/>
    </font>
    <font>
      <b/>
      <sz val="10"/>
      <color rgb="FF0000FF"/>
      <name val="Calibri"/>
      <family val="2"/>
      <scheme val="minor"/>
    </font>
    <font>
      <b/>
      <sz val="16"/>
      <color indexed="12"/>
      <name val="Arial"/>
      <family val="2"/>
    </font>
    <font>
      <b/>
      <i/>
      <sz val="14"/>
      <name val="Arial"/>
      <family val="2"/>
    </font>
    <font>
      <b/>
      <i/>
      <sz val="16"/>
      <name val="Arial"/>
      <family val="2"/>
    </font>
    <font>
      <b/>
      <sz val="10"/>
      <color indexed="60"/>
      <name val="Arial"/>
      <family val="2"/>
    </font>
    <font>
      <sz val="24"/>
      <color theme="0"/>
      <name val="Arial"/>
      <family val="2"/>
    </font>
    <font>
      <b/>
      <sz val="11"/>
      <color indexed="57"/>
      <name val="Arial"/>
      <family val="2"/>
    </font>
    <font>
      <sz val="8"/>
      <color theme="0"/>
      <name val="Calibri"/>
      <family val="2"/>
      <scheme val="minor"/>
    </font>
    <font>
      <sz val="20"/>
      <name val="Calibri"/>
      <family val="2"/>
      <scheme val="minor"/>
    </font>
    <font>
      <b/>
      <sz val="16"/>
      <color indexed="12"/>
      <name val="Calibri"/>
      <family val="2"/>
      <scheme val="minor"/>
    </font>
    <font>
      <b/>
      <i/>
      <sz val="14"/>
      <name val="Calibri"/>
      <family val="2"/>
      <scheme val="minor"/>
    </font>
    <font>
      <b/>
      <sz val="14"/>
      <color indexed="12"/>
      <name val="Calibri"/>
      <family val="2"/>
      <scheme val="minor"/>
    </font>
    <font>
      <b/>
      <sz val="14"/>
      <color indexed="10"/>
      <name val="Calibri"/>
      <family val="2"/>
      <scheme val="minor"/>
    </font>
    <font>
      <b/>
      <i/>
      <sz val="16"/>
      <name val="Calibri"/>
      <family val="2"/>
      <scheme val="minor"/>
    </font>
    <font>
      <sz val="24"/>
      <name val="Calibri"/>
      <family val="2"/>
      <scheme val="minor"/>
    </font>
    <font>
      <b/>
      <sz val="25"/>
      <name val="Calibri"/>
      <family val="2"/>
      <scheme val="minor"/>
    </font>
    <font>
      <b/>
      <sz val="24"/>
      <name val="Calibri"/>
      <family val="2"/>
      <scheme val="minor"/>
    </font>
    <font>
      <b/>
      <sz val="10"/>
      <name val="Calibri"/>
      <family val="2"/>
      <scheme val="minor"/>
    </font>
    <font>
      <b/>
      <sz val="2"/>
      <name val="Calibri"/>
      <family val="2"/>
      <scheme val="minor"/>
    </font>
    <font>
      <b/>
      <sz val="10"/>
      <color theme="9" tint="-0.499984740745262"/>
      <name val="Calibri"/>
      <family val="2"/>
      <scheme val="minor"/>
    </font>
    <font>
      <sz val="14"/>
      <color rgb="FFFF0000"/>
      <name val="Calibri"/>
      <family val="2"/>
      <scheme val="minor"/>
    </font>
    <font>
      <i/>
      <sz val="11"/>
      <color theme="9" tint="-0.499984740745262"/>
      <name val="Calibri"/>
      <family val="2"/>
      <scheme val="minor"/>
    </font>
    <font>
      <sz val="20"/>
      <color rgb="FF92D050"/>
      <name val="Calibri"/>
      <family val="2"/>
      <scheme val="minor"/>
    </font>
    <font>
      <sz val="10"/>
      <color indexed="10"/>
      <name val="Calibri"/>
      <family val="2"/>
      <scheme val="minor"/>
    </font>
    <font>
      <b/>
      <sz val="18"/>
      <color rgb="FF0000FF"/>
      <name val="Calibri"/>
      <family val="2"/>
      <scheme val="minor"/>
    </font>
    <font>
      <b/>
      <sz val="11"/>
      <color theme="9" tint="-0.249977111117893"/>
      <name val="Calibri"/>
      <family val="2"/>
      <scheme val="minor"/>
    </font>
    <font>
      <b/>
      <sz val="11"/>
      <color indexed="10"/>
      <name val="Calibri"/>
      <family val="2"/>
      <scheme val="minor"/>
    </font>
    <font>
      <b/>
      <sz val="14"/>
      <color indexed="17"/>
      <name val="Calibri"/>
      <family val="2"/>
      <scheme val="minor"/>
    </font>
    <font>
      <sz val="10"/>
      <color indexed="12"/>
      <name val="Calibri"/>
      <family val="2"/>
      <scheme val="minor"/>
    </font>
    <font>
      <b/>
      <i/>
      <sz val="11"/>
      <name val="Calibri"/>
      <family val="2"/>
      <scheme val="minor"/>
    </font>
    <font>
      <sz val="12"/>
      <color indexed="12"/>
      <name val="Calibri"/>
      <family val="2"/>
      <scheme val="minor"/>
    </font>
    <font>
      <b/>
      <sz val="11"/>
      <color indexed="9"/>
      <name val="Calibri"/>
      <family val="2"/>
      <scheme val="minor"/>
    </font>
    <font>
      <sz val="9"/>
      <color theme="0"/>
      <name val="Calibri"/>
      <family val="2"/>
      <scheme val="minor"/>
    </font>
    <font>
      <sz val="22"/>
      <name val="Calibri"/>
      <family val="2"/>
      <scheme val="minor"/>
    </font>
    <font>
      <sz val="18"/>
      <color theme="0"/>
      <name val="Calibri"/>
      <family val="2"/>
      <scheme val="minor"/>
    </font>
    <font>
      <b/>
      <sz val="10"/>
      <color rgb="FF0000FF"/>
      <name val="Arial Unicode MS"/>
      <family val="2"/>
    </font>
    <font>
      <sz val="18"/>
      <name val="Calibri"/>
      <family val="2"/>
      <scheme val="minor"/>
    </font>
    <font>
      <sz val="12"/>
      <color rgb="FFC00000"/>
      <name val="Arial"/>
      <family val="2"/>
    </font>
    <font>
      <sz val="12"/>
      <color rgb="FF0000FF"/>
      <name val="Arial"/>
      <family val="2"/>
    </font>
    <font>
      <sz val="12"/>
      <color theme="0"/>
      <name val="Arial"/>
      <family val="2"/>
    </font>
    <font>
      <b/>
      <sz val="12"/>
      <color rgb="FF548235"/>
      <name val="Calibri"/>
      <family val="2"/>
      <scheme val="minor"/>
    </font>
    <font>
      <b/>
      <sz val="12"/>
      <color rgb="FFB48500"/>
      <name val="Calibri"/>
      <family val="2"/>
      <scheme val="minor"/>
    </font>
    <font>
      <b/>
      <sz val="24"/>
      <color theme="0"/>
      <name val="Calibri"/>
      <family val="2"/>
      <scheme val="minor"/>
    </font>
    <font>
      <b/>
      <sz val="26"/>
      <name val="Calibri"/>
      <family val="2"/>
      <scheme val="minor"/>
    </font>
    <font>
      <sz val="12"/>
      <color rgb="FFED7D31"/>
      <name val="Wingdings 3"/>
      <family val="1"/>
      <charset val="2"/>
    </font>
    <font>
      <u/>
      <sz val="18"/>
      <color theme="10"/>
      <name val="Calibri"/>
      <family val="2"/>
      <scheme val="minor"/>
    </font>
    <font>
      <b/>
      <sz val="36"/>
      <color rgb="FFC00000"/>
      <name val="Calibri"/>
      <family val="2"/>
      <scheme val="minor"/>
    </font>
    <font>
      <b/>
      <sz val="36"/>
      <color theme="0" tint="-0.499984740745262"/>
      <name val="Calibri"/>
      <family val="2"/>
      <scheme val="minor"/>
    </font>
    <font>
      <b/>
      <sz val="12"/>
      <color theme="0" tint="-0.499984740745262"/>
      <name val="Calibri"/>
      <family val="2"/>
      <scheme val="minor"/>
    </font>
    <font>
      <b/>
      <sz val="14"/>
      <color rgb="FF6699FF"/>
      <name val="Calibri"/>
      <family val="2"/>
      <scheme val="minor"/>
    </font>
    <font>
      <b/>
      <sz val="12"/>
      <color theme="1" tint="0.499984740745262"/>
      <name val="Calibri"/>
      <family val="2"/>
      <scheme val="minor"/>
    </font>
    <font>
      <b/>
      <sz val="12"/>
      <color rgb="FF6699FF"/>
      <name val="Calibri"/>
      <family val="2"/>
      <scheme val="minor"/>
    </font>
    <font>
      <b/>
      <sz val="12"/>
      <color theme="7" tint="-0.249977111117893"/>
      <name val="Calibri"/>
      <family val="2"/>
      <scheme val="minor"/>
    </font>
    <font>
      <b/>
      <sz val="12"/>
      <color rgb="FF0000FF"/>
      <name val="Wingdings 3"/>
      <family val="1"/>
      <charset val="2"/>
    </font>
    <font>
      <b/>
      <sz val="12"/>
      <color rgb="FF70AD47"/>
      <name val="Wingdings 3"/>
      <family val="1"/>
      <charset val="2"/>
    </font>
    <font>
      <b/>
      <sz val="12"/>
      <name val="Wingdings 3"/>
      <family val="1"/>
      <charset val="2"/>
    </font>
    <font>
      <b/>
      <sz val="12"/>
      <color rgb="FFC00000"/>
      <name val="Wingdings 3"/>
      <family val="1"/>
      <charset val="2"/>
    </font>
    <font>
      <i/>
      <sz val="9"/>
      <color theme="1"/>
      <name val="Calibri"/>
      <family val="2"/>
      <scheme val="minor"/>
    </font>
    <font>
      <b/>
      <sz val="14"/>
      <color rgb="FF70AD47"/>
      <name val="Calibri"/>
      <family val="2"/>
      <scheme val="minor"/>
    </font>
    <font>
      <b/>
      <sz val="12"/>
      <color rgb="FFFFFFFF"/>
      <name val="Calibri"/>
      <family val="2"/>
      <scheme val="minor"/>
    </font>
    <font>
      <b/>
      <sz val="12"/>
      <color rgb="FF70AD47"/>
      <name val="Calibri"/>
      <family val="2"/>
      <scheme val="minor"/>
    </font>
    <font>
      <b/>
      <sz val="12"/>
      <color theme="4"/>
      <name val="Wingdings 3"/>
      <family val="1"/>
      <charset val="2"/>
    </font>
    <font>
      <sz val="12"/>
      <color rgb="FF6699FF"/>
      <name val="Calibri"/>
      <family val="2"/>
      <scheme val="minor"/>
    </font>
    <font>
      <b/>
      <sz val="13.5"/>
      <color theme="1"/>
      <name val="Calibri"/>
      <family val="2"/>
      <scheme val="minor"/>
    </font>
    <font>
      <b/>
      <sz val="18"/>
      <color theme="1"/>
      <name val="Calibri"/>
      <family val="2"/>
      <scheme val="minor"/>
    </font>
    <font>
      <i/>
      <sz val="13.5"/>
      <color theme="1"/>
      <name val="Calibri"/>
      <family val="2"/>
      <scheme val="minor"/>
    </font>
    <font>
      <sz val="10"/>
      <color theme="1"/>
      <name val="Arial Unicode MS"/>
      <family val="2"/>
    </font>
    <font>
      <sz val="14"/>
      <color theme="0"/>
      <name val="Calibri"/>
      <family val="2"/>
      <scheme val="minor"/>
    </font>
    <font>
      <b/>
      <sz val="12"/>
      <color theme="0" tint="-0.34998626667073579"/>
      <name val="Calibri"/>
      <family val="2"/>
      <scheme val="minor"/>
    </font>
    <font>
      <sz val="10"/>
      <color theme="5"/>
      <name val="Calibri"/>
      <family val="2"/>
    </font>
    <font>
      <sz val="12"/>
      <color theme="5"/>
      <name val="Calibri"/>
      <family val="2"/>
    </font>
    <font>
      <sz val="14"/>
      <color theme="5"/>
      <name val="Calibri"/>
      <family val="2"/>
    </font>
    <font>
      <b/>
      <sz val="28"/>
      <color theme="1"/>
      <name val="Calibri"/>
      <family val="2"/>
      <scheme val="minor"/>
    </font>
    <font>
      <b/>
      <sz val="18"/>
      <color theme="1"/>
      <name val="Arial"/>
      <family val="2"/>
    </font>
    <font>
      <b/>
      <sz val="18"/>
      <color theme="0"/>
      <name val="Arial"/>
      <family val="2"/>
    </font>
    <font>
      <b/>
      <sz val="14"/>
      <color rgb="FFC00000"/>
      <name val="Arial"/>
      <family val="2"/>
    </font>
    <font>
      <b/>
      <sz val="14"/>
      <color rgb="FFC00000"/>
      <name val="Wingdings 3"/>
      <family val="1"/>
      <charset val="2"/>
    </font>
    <font>
      <i/>
      <sz val="10"/>
      <color theme="1"/>
      <name val="Calibri"/>
      <family val="2"/>
      <scheme val="minor"/>
    </font>
    <font>
      <b/>
      <sz val="11"/>
      <color rgb="FF993300"/>
      <name val="Calibri"/>
      <family val="2"/>
      <scheme val="minor"/>
    </font>
    <font>
      <b/>
      <sz val="10"/>
      <color rgb="FF993300"/>
      <name val="Calibri"/>
      <family val="2"/>
      <scheme val="minor"/>
    </font>
    <font>
      <b/>
      <sz val="12"/>
      <color rgb="FF993300"/>
      <name val="Calibri"/>
      <family val="2"/>
      <scheme val="minor"/>
    </font>
    <font>
      <sz val="10"/>
      <color rgb="FF993300"/>
      <name val="Calibri"/>
      <family val="2"/>
      <scheme val="minor"/>
    </font>
    <font>
      <sz val="10"/>
      <color rgb="FFC00000"/>
      <name val="Calibri"/>
      <family val="2"/>
      <scheme val="minor"/>
    </font>
    <font>
      <sz val="10"/>
      <color theme="9" tint="-0.249977111117893"/>
      <name val="Calibri"/>
      <family val="2"/>
      <scheme val="minor"/>
    </font>
    <font>
      <sz val="10"/>
      <color rgb="FF0000FF"/>
      <name val="Calibri"/>
      <family val="2"/>
      <scheme val="minor"/>
    </font>
    <font>
      <sz val="10"/>
      <color rgb="FF7030A0"/>
      <name val="Calibri"/>
      <family val="2"/>
      <scheme val="minor"/>
    </font>
    <font>
      <b/>
      <sz val="14"/>
      <color theme="9" tint="-0.249977111117893"/>
      <name val="Arial"/>
      <family val="2"/>
    </font>
    <font>
      <b/>
      <sz val="20"/>
      <color theme="0"/>
      <name val="Arial"/>
      <family val="2"/>
    </font>
    <font>
      <b/>
      <sz val="26"/>
      <color theme="0"/>
      <name val="Calibri"/>
      <family val="2"/>
      <scheme val="minor"/>
    </font>
    <font>
      <sz val="20"/>
      <color theme="1"/>
      <name val="Calibri"/>
      <family val="2"/>
      <scheme val="minor"/>
    </font>
    <font>
      <sz val="22"/>
      <color theme="1"/>
      <name val="Calibri"/>
      <family val="2"/>
      <scheme val="minor"/>
    </font>
    <font>
      <sz val="14"/>
      <name val="Verdana"/>
      <family val="2"/>
    </font>
    <font>
      <sz val="11"/>
      <color indexed="8"/>
      <name val="Calibri"/>
      <family val="2"/>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12"/>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b/>
      <sz val="18"/>
      <color rgb="FFFF0000"/>
      <name val="Calibri"/>
      <family val="2"/>
      <scheme val="minor"/>
    </font>
    <font>
      <b/>
      <sz val="7"/>
      <name val="Calibri"/>
      <family val="2"/>
      <scheme val="minor"/>
    </font>
    <font>
      <b/>
      <sz val="18"/>
      <color rgb="FF339933"/>
      <name val="Calibri"/>
      <family val="2"/>
      <scheme val="minor"/>
    </font>
    <font>
      <b/>
      <sz val="14"/>
      <color theme="6" tint="-0.249977111117893"/>
      <name val="Calibri"/>
      <family val="2"/>
      <scheme val="minor"/>
    </font>
    <font>
      <sz val="10"/>
      <color rgb="FF00B050"/>
      <name val="Calibri"/>
      <family val="2"/>
      <scheme val="minor"/>
    </font>
    <font>
      <b/>
      <sz val="14"/>
      <color rgb="FF339933"/>
      <name val="Calibri"/>
      <family val="2"/>
      <scheme val="minor"/>
    </font>
    <font>
      <i/>
      <sz val="22"/>
      <color theme="0"/>
      <name val="Verdana"/>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b/>
      <sz val="22"/>
      <color theme="0"/>
      <name val="Calibri"/>
      <family val="2"/>
      <scheme val="minor"/>
    </font>
    <font>
      <b/>
      <sz val="22"/>
      <name val="Calibri"/>
      <family val="2"/>
      <scheme val="minor"/>
    </font>
    <font>
      <b/>
      <sz val="22"/>
      <color theme="1"/>
      <name val="Calibri"/>
      <family val="2"/>
      <scheme val="minor"/>
    </font>
    <font>
      <u/>
      <sz val="22"/>
      <color theme="0"/>
      <name val="Arial"/>
      <family val="2"/>
    </font>
    <font>
      <b/>
      <sz val="20"/>
      <color theme="9" tint="-0.249977111117893"/>
      <name val="Calibri"/>
      <family val="2"/>
      <scheme val="minor"/>
    </font>
    <font>
      <b/>
      <sz val="10"/>
      <color theme="0"/>
      <name val="Calibri"/>
      <family val="2"/>
      <scheme val="minor"/>
    </font>
    <font>
      <sz val="10"/>
      <color theme="6" tint="-0.249977111117893"/>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0"/>
      <color theme="0" tint="-0.499984740745262"/>
      <name val="Calibri"/>
      <family val="2"/>
      <scheme val="minor"/>
    </font>
    <font>
      <b/>
      <sz val="12"/>
      <color theme="6" tint="-0.499984740745262"/>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1"/>
      <color rgb="FF0066CC"/>
      <name val="Calibri"/>
      <family val="2"/>
      <scheme val="minor"/>
    </font>
    <font>
      <b/>
      <sz val="11"/>
      <color rgb="FF0066CC"/>
      <name val="Calibri"/>
      <family val="2"/>
      <scheme val="minor"/>
    </font>
    <font>
      <sz val="10"/>
      <color theme="0" tint="-0.34998626667073579"/>
      <name val="Calibri"/>
      <family val="2"/>
      <scheme val="minor"/>
    </font>
    <font>
      <sz val="24"/>
      <color theme="9" tint="-0.249977111117893"/>
      <name val="Wingdings 3"/>
      <family val="1"/>
      <charset val="2"/>
    </font>
    <font>
      <b/>
      <sz val="36"/>
      <color rgb="FFFFFF00"/>
      <name val="Arial"/>
      <family val="2"/>
    </font>
    <font>
      <b/>
      <sz val="22"/>
      <color theme="9"/>
      <name val="Arial"/>
      <family val="2"/>
    </font>
    <font>
      <b/>
      <sz val="26"/>
      <color rgb="FF92D050"/>
      <name val="Arial"/>
      <family val="2"/>
    </font>
    <font>
      <b/>
      <sz val="22"/>
      <color rgb="FFFFFF00"/>
      <name val="Arial"/>
      <family val="2"/>
    </font>
    <font>
      <b/>
      <u/>
      <sz val="22"/>
      <color theme="10"/>
      <name val="Arial"/>
      <family val="2"/>
    </font>
    <font>
      <b/>
      <sz val="20"/>
      <color rgb="FFFFFF00"/>
      <name val="Arial"/>
      <family val="2"/>
    </font>
    <font>
      <b/>
      <sz val="16"/>
      <color rgb="FF92D050"/>
      <name val="Arial"/>
      <family val="2"/>
    </font>
    <font>
      <u/>
      <sz val="24"/>
      <color rgb="FF92D050"/>
      <name val="Arial"/>
      <family val="2"/>
    </font>
    <font>
      <sz val="24"/>
      <color rgb="FF92D050"/>
      <name val="Arial"/>
      <family val="2"/>
    </font>
    <font>
      <sz val="16"/>
      <color indexed="12"/>
      <name val="Calibri"/>
      <family val="2"/>
      <scheme val="minor"/>
    </font>
    <font>
      <sz val="16"/>
      <color indexed="22"/>
      <name val="Calibri"/>
      <family val="2"/>
      <scheme val="minor"/>
    </font>
    <font>
      <b/>
      <sz val="24"/>
      <color rgb="FF4472C4"/>
      <name val="Calibri"/>
      <family val="2"/>
      <scheme val="minor"/>
    </font>
    <font>
      <b/>
      <i/>
      <sz val="16"/>
      <color theme="1" tint="4.9989318521683403E-2"/>
      <name val="Calibri"/>
      <family val="2"/>
      <scheme val="minor"/>
    </font>
    <font>
      <b/>
      <sz val="22"/>
      <color rgb="FFC00000"/>
      <name val="Calibri"/>
      <family val="2"/>
      <scheme val="minor"/>
    </font>
    <font>
      <b/>
      <sz val="16"/>
      <color rgb="FF4472C4"/>
      <name val="Calibri"/>
      <family val="2"/>
      <scheme val="minor"/>
    </font>
    <font>
      <b/>
      <sz val="18"/>
      <color rgb="FF800080"/>
      <name val="Calibri"/>
      <family val="2"/>
      <scheme val="minor"/>
    </font>
    <font>
      <b/>
      <sz val="18"/>
      <color rgb="FFC00000"/>
      <name val="Calibri"/>
      <family val="2"/>
      <scheme val="minor"/>
    </font>
    <font>
      <b/>
      <sz val="22"/>
      <color rgb="FF0070C0"/>
      <name val="Calibri"/>
      <family val="2"/>
      <scheme val="minor"/>
    </font>
    <font>
      <b/>
      <sz val="26"/>
      <color rgb="FF800080"/>
      <name val="Calibri"/>
      <family val="2"/>
      <scheme val="minor"/>
    </font>
    <font>
      <b/>
      <sz val="22"/>
      <color indexed="12"/>
      <name val="Calibri"/>
      <family val="2"/>
      <scheme val="minor"/>
    </font>
    <font>
      <b/>
      <sz val="20"/>
      <color indexed="10"/>
      <name val="Calibri"/>
      <family val="2"/>
      <scheme val="minor"/>
    </font>
    <font>
      <i/>
      <sz val="22"/>
      <name val="Calibri"/>
      <family val="2"/>
      <scheme val="minor"/>
    </font>
    <font>
      <b/>
      <sz val="18"/>
      <color indexed="12"/>
      <name val="Calibri"/>
      <family val="2"/>
      <scheme val="minor"/>
    </font>
    <font>
      <b/>
      <sz val="14"/>
      <color rgb="FF800080"/>
      <name val="Calibri"/>
      <family val="2"/>
      <scheme val="minor"/>
    </font>
    <font>
      <b/>
      <sz val="20"/>
      <color indexed="10"/>
      <name val="Calibri"/>
      <family val="2"/>
    </font>
    <font>
      <sz val="20"/>
      <color theme="4"/>
      <name val="Calibri"/>
      <family val="2"/>
      <scheme val="minor"/>
    </font>
    <font>
      <b/>
      <sz val="16"/>
      <color rgb="FF800080"/>
      <name val="Calibri"/>
      <family val="2"/>
      <scheme val="minor"/>
    </font>
    <font>
      <sz val="12"/>
      <color indexed="22"/>
      <name val="Calibri"/>
      <family val="2"/>
      <scheme val="minor"/>
    </font>
    <font>
      <sz val="12"/>
      <color theme="0" tint="-0.249977111117893"/>
      <name val="Calibri"/>
      <family val="2"/>
      <scheme val="minor"/>
    </font>
    <font>
      <sz val="16"/>
      <color rgb="FFFF0000"/>
      <name val="Calibri"/>
      <family val="2"/>
      <scheme val="minor"/>
    </font>
    <font>
      <b/>
      <sz val="16"/>
      <color theme="9" tint="-0.249977111117893"/>
      <name val="Calibri"/>
      <family val="2"/>
      <scheme val="minor"/>
    </font>
    <font>
      <b/>
      <u/>
      <sz val="14"/>
      <color theme="10"/>
      <name val="Arial"/>
      <family val="2"/>
    </font>
    <font>
      <b/>
      <u/>
      <sz val="20"/>
      <color theme="10"/>
      <name val="Calibri"/>
      <family val="2"/>
      <scheme val="minor"/>
    </font>
    <font>
      <b/>
      <sz val="24"/>
      <color rgb="FFFFFF00"/>
      <name val="Arial"/>
      <family val="2"/>
    </font>
    <font>
      <b/>
      <sz val="24"/>
      <color rgb="FF92D050"/>
      <name val="Arial"/>
      <family val="2"/>
    </font>
    <font>
      <b/>
      <sz val="24"/>
      <color theme="0"/>
      <name val="Arial"/>
      <family val="2"/>
    </font>
    <font>
      <sz val="22"/>
      <color rgb="FFFFFF00"/>
      <name val="Verdana"/>
      <family val="2"/>
    </font>
    <font>
      <b/>
      <sz val="18"/>
      <color theme="0"/>
      <name val="Calibri"/>
      <family val="2"/>
      <scheme val="minor"/>
    </font>
    <font>
      <sz val="10"/>
      <color theme="0" tint="-4.9989318521683403E-2"/>
      <name val="Arial"/>
      <family val="2"/>
    </font>
    <font>
      <i/>
      <sz val="14"/>
      <color theme="0"/>
      <name val="Calibri"/>
      <family val="2"/>
      <scheme val="minor"/>
    </font>
    <font>
      <sz val="14"/>
      <color theme="0"/>
      <name val="Arial"/>
      <family val="2"/>
    </font>
    <font>
      <sz val="28"/>
      <name val="Calibri"/>
      <family val="2"/>
      <scheme val="minor"/>
    </font>
    <font>
      <b/>
      <sz val="10"/>
      <color indexed="9"/>
      <name val="Calibri"/>
      <family val="2"/>
      <scheme val="minor"/>
    </font>
    <font>
      <b/>
      <sz val="28"/>
      <name val="Calibri"/>
      <family val="2"/>
      <scheme val="minor"/>
    </font>
    <font>
      <b/>
      <sz val="24"/>
      <color rgb="FF7030A0"/>
      <name val="Calibri"/>
      <family val="2"/>
      <scheme val="minor"/>
    </font>
    <font>
      <b/>
      <sz val="12"/>
      <color indexed="9"/>
      <name val="Calibri"/>
      <family val="2"/>
      <scheme val="minor"/>
    </font>
    <font>
      <b/>
      <sz val="36"/>
      <name val="Calibri"/>
      <family val="2"/>
      <scheme val="minor"/>
    </font>
    <font>
      <sz val="12"/>
      <color rgb="FF0066FF"/>
      <name val="Calibri"/>
      <family val="2"/>
      <scheme val="minor"/>
    </font>
    <font>
      <sz val="11"/>
      <color indexed="9"/>
      <name val="Calibri"/>
      <family val="2"/>
      <scheme val="minor"/>
    </font>
    <font>
      <b/>
      <sz val="12"/>
      <color indexed="60"/>
      <name val="Calibri"/>
      <family val="2"/>
      <scheme val="minor"/>
    </font>
    <font>
      <b/>
      <sz val="12"/>
      <color indexed="48"/>
      <name val="Calibri"/>
      <family val="2"/>
      <scheme val="minor"/>
    </font>
    <font>
      <b/>
      <sz val="12"/>
      <color rgb="FF0066FF"/>
      <name val="Calibri"/>
      <family val="2"/>
      <scheme val="minor"/>
    </font>
    <font>
      <b/>
      <sz val="14"/>
      <color rgb="FF008000"/>
      <name val="Calibri"/>
      <family val="2"/>
      <scheme val="minor"/>
    </font>
    <font>
      <sz val="10"/>
      <color indexed="57"/>
      <name val="Calibri"/>
      <family val="2"/>
      <scheme val="minor"/>
    </font>
    <font>
      <b/>
      <sz val="12"/>
      <color indexed="57"/>
      <name val="Calibri"/>
      <family val="2"/>
      <scheme val="minor"/>
    </font>
    <font>
      <sz val="14"/>
      <color rgb="FF0066FF"/>
      <name val="Calibri"/>
      <family val="2"/>
      <scheme val="minor"/>
    </font>
    <font>
      <sz val="18"/>
      <color rgb="FF0066FF"/>
      <name val="Calibri"/>
      <family val="2"/>
      <scheme val="minor"/>
    </font>
    <font>
      <sz val="36"/>
      <color theme="1"/>
      <name val="Calibri"/>
      <family val="2"/>
      <scheme val="minor"/>
    </font>
    <font>
      <b/>
      <sz val="28"/>
      <color indexed="16"/>
      <name val="Calibri"/>
      <family val="2"/>
      <scheme val="minor"/>
    </font>
    <font>
      <sz val="36"/>
      <color rgb="FFC00000"/>
      <name val="Calibri"/>
      <family val="2"/>
      <scheme val="minor"/>
    </font>
    <font>
      <sz val="48"/>
      <color rgb="FFC00000"/>
      <name val="Calibri"/>
      <family val="2"/>
      <scheme val="minor"/>
    </font>
    <font>
      <sz val="16"/>
      <color indexed="57"/>
      <name val="Calibri"/>
      <family val="2"/>
      <scheme val="minor"/>
    </font>
    <font>
      <b/>
      <sz val="20"/>
      <color indexed="57"/>
      <name val="Calibri"/>
      <family val="2"/>
      <scheme val="minor"/>
    </font>
    <font>
      <sz val="24"/>
      <color theme="1"/>
      <name val="Calibri"/>
      <family val="2"/>
      <scheme val="minor"/>
    </font>
    <font>
      <b/>
      <sz val="16"/>
      <color indexed="10"/>
      <name val="Calibri"/>
      <family val="2"/>
      <scheme val="minor"/>
    </font>
    <font>
      <b/>
      <sz val="16"/>
      <color indexed="17"/>
      <name val="Calibri"/>
      <family val="2"/>
      <scheme val="minor"/>
    </font>
    <font>
      <b/>
      <sz val="16"/>
      <color indexed="57"/>
      <name val="Calibri"/>
      <family val="2"/>
      <scheme val="minor"/>
    </font>
    <font>
      <b/>
      <sz val="22"/>
      <color indexed="57"/>
      <name val="Calibri"/>
      <family val="2"/>
      <scheme val="minor"/>
    </font>
    <font>
      <sz val="22"/>
      <color indexed="57"/>
      <name val="Calibri"/>
      <family val="2"/>
      <scheme val="minor"/>
    </font>
    <font>
      <b/>
      <sz val="26"/>
      <color rgb="FF92D050"/>
      <name val="Calibri"/>
      <family val="2"/>
      <scheme val="minor"/>
    </font>
    <font>
      <b/>
      <sz val="24"/>
      <color rgb="FF0000FF"/>
      <name val="Calibri"/>
      <family val="2"/>
      <scheme val="minor"/>
    </font>
    <font>
      <u/>
      <sz val="22"/>
      <color theme="10"/>
      <name val="Calibri"/>
      <family val="2"/>
      <scheme val="minor"/>
    </font>
    <font>
      <sz val="38"/>
      <color rgb="FF363636"/>
      <name val="Calibri"/>
      <family val="2"/>
      <scheme val="minor"/>
    </font>
    <font>
      <sz val="11"/>
      <color rgb="FF363636"/>
      <name val="Calibri"/>
      <family val="2"/>
      <scheme val="minor"/>
    </font>
    <font>
      <sz val="38"/>
      <color rgb="FF333333"/>
      <name val="Calibri"/>
      <family val="2"/>
      <scheme val="minor"/>
    </font>
    <font>
      <sz val="18"/>
      <color rgb="FF333333"/>
      <name val="Calibri"/>
      <family val="2"/>
      <scheme val="minor"/>
    </font>
    <font>
      <b/>
      <sz val="14"/>
      <color rgb="FF333333"/>
      <name val="Calibri"/>
      <family val="2"/>
      <scheme val="minor"/>
    </font>
    <font>
      <b/>
      <sz val="18"/>
      <color rgb="FF333333"/>
      <name val="Calibri"/>
      <family val="2"/>
      <scheme val="minor"/>
    </font>
    <font>
      <b/>
      <sz val="12"/>
      <color rgb="FF1A1A1A"/>
      <name val="Calibri"/>
      <family val="2"/>
      <scheme val="minor"/>
    </font>
    <font>
      <sz val="8"/>
      <color rgb="FF868686"/>
      <name val="Calibri"/>
      <family val="2"/>
      <scheme val="minor"/>
    </font>
    <font>
      <b/>
      <sz val="8"/>
      <color rgb="FF8A8A8A"/>
      <name val="Calibri"/>
      <family val="2"/>
      <scheme val="minor"/>
    </font>
    <font>
      <sz val="9"/>
      <color rgb="FF737373"/>
      <name val="Calibri"/>
      <family val="2"/>
      <scheme val="minor"/>
    </font>
    <font>
      <sz val="9"/>
      <color rgb="FF666666"/>
      <name val="Calibri"/>
      <family val="2"/>
      <scheme val="minor"/>
    </font>
    <font>
      <sz val="13"/>
      <color rgb="FF1A1A1A"/>
      <name val="Calibri"/>
      <family val="2"/>
      <scheme val="minor"/>
    </font>
    <font>
      <b/>
      <sz val="9"/>
      <color rgb="FF666666"/>
      <name val="Calibri"/>
      <family val="2"/>
      <scheme val="minor"/>
    </font>
    <font>
      <b/>
      <u/>
      <sz val="22"/>
      <color theme="10"/>
      <name val="Calibri"/>
      <family val="2"/>
      <scheme val="minor"/>
    </font>
    <font>
      <sz val="28"/>
      <color theme="1"/>
      <name val="Calibri"/>
      <family val="2"/>
      <scheme val="minor"/>
    </font>
    <font>
      <b/>
      <sz val="24"/>
      <color rgb="FFC00000"/>
      <name val="Calibri"/>
      <family val="2"/>
      <scheme val="minor"/>
    </font>
    <font>
      <b/>
      <sz val="26"/>
      <color rgb="FF7030A0"/>
      <name val="Calibri"/>
      <family val="2"/>
      <scheme val="minor"/>
    </font>
    <font>
      <b/>
      <sz val="36"/>
      <color rgb="FF92D050"/>
      <name val="Verdana"/>
      <family val="2"/>
    </font>
    <font>
      <b/>
      <u/>
      <sz val="24"/>
      <color rgb="FFC00000"/>
      <name val="Calibri"/>
      <family val="2"/>
      <scheme val="minor"/>
    </font>
    <font>
      <sz val="16"/>
      <color rgb="FFFF0000"/>
      <name val="Arial"/>
      <family val="2"/>
    </font>
    <font>
      <u/>
      <sz val="20"/>
      <color theme="10"/>
      <name val="Arial"/>
      <family val="2"/>
    </font>
    <font>
      <sz val="20"/>
      <name val="Arial"/>
      <family val="2"/>
    </font>
    <font>
      <sz val="20"/>
      <color rgb="FF254A75"/>
      <name val="Tahoma"/>
      <family val="2"/>
    </font>
    <font>
      <b/>
      <u/>
      <sz val="20"/>
      <color theme="4" tint="-0.249977111117893"/>
      <name val="Calibri"/>
      <family val="2"/>
      <scheme val="minor"/>
    </font>
    <font>
      <sz val="16"/>
      <color rgb="FFFF0000"/>
      <name val="Wingdings 3"/>
      <family val="1"/>
      <charset val="2"/>
    </font>
    <font>
      <b/>
      <sz val="16"/>
      <name val="Wingdings 3"/>
      <family val="1"/>
      <charset val="2"/>
    </font>
    <font>
      <b/>
      <sz val="22"/>
      <color indexed="9"/>
      <name val="Calibri"/>
      <family val="2"/>
      <scheme val="minor"/>
    </font>
    <font>
      <b/>
      <sz val="14"/>
      <color indexed="48"/>
      <name val="Calibri"/>
      <family val="2"/>
      <scheme val="minor"/>
    </font>
    <font>
      <sz val="11"/>
      <color theme="1"/>
      <name val="Calibri"/>
      <family val="2"/>
    </font>
    <font>
      <sz val="11"/>
      <color theme="0"/>
      <name val="Calibri"/>
      <family val="2"/>
    </font>
    <font>
      <sz val="22"/>
      <color rgb="FF3B3838"/>
      <name val="Segoe UI Light"/>
      <family val="2"/>
    </font>
    <font>
      <sz val="20"/>
      <color rgb="FF000000"/>
      <name val="Courier New"/>
      <family val="3"/>
    </font>
    <font>
      <sz val="26"/>
      <color theme="2" tint="-0.749992370372631"/>
      <name val="Calibri"/>
      <family val="2"/>
      <scheme val="minor"/>
    </font>
    <font>
      <sz val="12"/>
      <color theme="1" tint="0.249977111117893"/>
      <name val="Calibri"/>
      <family val="2"/>
      <scheme val="minor"/>
    </font>
    <font>
      <b/>
      <sz val="11"/>
      <color theme="0"/>
      <name val="Calibri"/>
      <family val="2"/>
    </font>
    <font>
      <sz val="11"/>
      <color rgb="FF404040"/>
      <name val="Calibri"/>
      <family val="2"/>
      <scheme val="minor"/>
    </font>
    <font>
      <sz val="10"/>
      <color theme="0"/>
      <name val="Calibri"/>
      <family val="2"/>
      <scheme val="minor"/>
    </font>
    <font>
      <b/>
      <sz val="11"/>
      <color theme="0"/>
      <name val="Calibri"/>
      <family val="2"/>
      <scheme val="minor"/>
    </font>
    <font>
      <b/>
      <sz val="11"/>
      <color theme="4"/>
      <name val="Segoe UI Black"/>
      <family val="2"/>
    </font>
    <font>
      <b/>
      <sz val="14"/>
      <color rgb="FF404040"/>
      <name val="Calibri"/>
      <family val="2"/>
      <scheme val="minor"/>
    </font>
    <font>
      <b/>
      <sz val="36"/>
      <color theme="0"/>
      <name val="Calibri"/>
      <family val="2"/>
      <scheme val="minor"/>
    </font>
    <font>
      <sz val="24"/>
      <color theme="0"/>
      <name val="Calibri"/>
      <family val="2"/>
      <scheme val="minor"/>
    </font>
    <font>
      <sz val="20"/>
      <color rgb="FFC00000"/>
      <name val="Calibri"/>
      <family val="2"/>
      <scheme val="minor"/>
    </font>
    <font>
      <b/>
      <sz val="14"/>
      <color rgb="FF0000FF"/>
      <name val="Arial"/>
      <family val="2"/>
    </font>
    <font>
      <sz val="8"/>
      <color theme="0" tint="-4.9989318521683403E-2"/>
      <name val="Calibri"/>
      <family val="2"/>
      <scheme val="minor"/>
    </font>
    <font>
      <sz val="12"/>
      <color rgb="FF34495E"/>
      <name val="Arial"/>
      <family val="2"/>
    </font>
    <font>
      <b/>
      <sz val="12"/>
      <color rgb="FF34495E"/>
      <name val="Arial"/>
      <family val="2"/>
    </font>
    <font>
      <i/>
      <sz val="12"/>
      <color rgb="FF34495E"/>
      <name val="Arial"/>
      <family val="2"/>
    </font>
    <font>
      <b/>
      <u/>
      <sz val="26"/>
      <color theme="10"/>
      <name val="Calibri"/>
      <family val="2"/>
      <scheme val="minor"/>
    </font>
    <font>
      <b/>
      <sz val="20"/>
      <color rgb="FFC00000"/>
      <name val="Calibri"/>
      <family val="2"/>
      <scheme val="minor"/>
    </font>
    <font>
      <b/>
      <sz val="14"/>
      <color indexed="43"/>
      <name val="Arial"/>
      <family val="2"/>
    </font>
    <font>
      <b/>
      <u/>
      <sz val="10"/>
      <name val="Arial"/>
      <family val="2"/>
    </font>
    <font>
      <b/>
      <sz val="14"/>
      <color indexed="12"/>
      <name val="Arial"/>
      <family val="2"/>
    </font>
    <font>
      <b/>
      <sz val="10"/>
      <color indexed="13"/>
      <name val="Arial"/>
      <family val="2"/>
    </font>
    <font>
      <b/>
      <sz val="8"/>
      <color indexed="81"/>
      <name val="Tahom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rgb="FFFF0000"/>
      <name val="Wingdings 3"/>
      <family val="1"/>
      <charset val="2"/>
    </font>
    <font>
      <sz val="12"/>
      <color rgb="FFFFFF00"/>
      <name val="Calibri"/>
      <family val="2"/>
      <scheme val="minor"/>
    </font>
    <font>
      <b/>
      <sz val="16"/>
      <color theme="0" tint="-4.9989318521683403E-2"/>
      <name val="Calibri"/>
      <family val="2"/>
      <scheme val="minor"/>
    </font>
    <font>
      <sz val="20"/>
      <color theme="0" tint="-4.9989318521683403E-2"/>
      <name val="Arial"/>
      <family val="2"/>
    </font>
    <font>
      <sz val="18"/>
      <color rgb="FF222222"/>
      <name val="Arial"/>
      <family val="2"/>
    </font>
    <font>
      <b/>
      <sz val="18"/>
      <color rgb="FFFFFF00"/>
      <name val="Calibri"/>
      <family val="2"/>
      <scheme val="minor"/>
    </font>
    <font>
      <i/>
      <sz val="18"/>
      <color theme="0"/>
      <name val="Calibri"/>
      <family val="2"/>
      <scheme val="minor"/>
    </font>
    <font>
      <sz val="16"/>
      <color theme="0"/>
      <name val="Calibri"/>
      <family val="2"/>
      <scheme val="minor"/>
    </font>
    <font>
      <b/>
      <sz val="18"/>
      <color indexed="9"/>
      <name val="Arial"/>
      <family val="2"/>
    </font>
    <font>
      <b/>
      <sz val="16"/>
      <color rgb="FFFFFF00"/>
      <name val="Calibri"/>
      <family val="2"/>
      <scheme val="minor"/>
    </font>
    <font>
      <b/>
      <sz val="14"/>
      <color indexed="30"/>
      <name val="Calibri"/>
      <family val="2"/>
    </font>
    <font>
      <sz val="14"/>
      <color rgb="FFFFFF00"/>
      <name val="Calibri"/>
      <family val="2"/>
      <scheme val="minor"/>
    </font>
    <font>
      <b/>
      <sz val="18"/>
      <color rgb="FFFF0000"/>
      <name val="Calibri"/>
      <family val="2"/>
    </font>
    <font>
      <b/>
      <sz val="18"/>
      <color theme="0" tint="-0.34998626667073579"/>
      <name val="Calibri"/>
      <family val="2"/>
    </font>
    <font>
      <u/>
      <sz val="14"/>
      <color indexed="12"/>
      <name val="Arial"/>
      <family val="2"/>
    </font>
    <font>
      <sz val="16"/>
      <color rgb="FFFFFF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sz val="10"/>
      <color rgb="FFFF0000"/>
      <name val="Arial"/>
      <family val="2"/>
    </font>
    <font>
      <b/>
      <sz val="10"/>
      <color theme="0"/>
      <name val="Calibri"/>
      <family val="2"/>
    </font>
    <font>
      <b/>
      <sz val="11"/>
      <color rgb="FF339966"/>
      <name val="Arial"/>
      <family val="2"/>
    </font>
    <font>
      <b/>
      <sz val="12"/>
      <color indexed="57"/>
      <name val="Calibri"/>
      <family val="2"/>
    </font>
    <font>
      <sz val="10"/>
      <color indexed="57"/>
      <name val="Calibri"/>
      <family val="2"/>
    </font>
    <font>
      <sz val="12"/>
      <color indexed="8"/>
      <name val="Arial"/>
      <family val="2"/>
    </font>
    <font>
      <b/>
      <sz val="12"/>
      <color rgb="FFC00000"/>
      <name val="Calibri"/>
      <family val="2"/>
    </font>
    <font>
      <sz val="10"/>
      <color rgb="FFC00000"/>
      <name val="Calibri"/>
      <family val="2"/>
    </font>
    <font>
      <sz val="12"/>
      <color theme="8" tint="-0.499984740745262"/>
      <name val="Calibri"/>
      <family val="2"/>
      <scheme val="minor"/>
    </font>
    <font>
      <sz val="14"/>
      <color rgb="FFFF0000"/>
      <name val="Wingdings 3"/>
      <family val="1"/>
      <charset val="2"/>
    </font>
    <font>
      <sz val="22"/>
      <color theme="0" tint="-0.499984740745262"/>
      <name val="Arial"/>
      <family val="2"/>
    </font>
    <font>
      <b/>
      <sz val="16"/>
      <color theme="0" tint="-0.499984740745262"/>
      <name val="Arial"/>
      <family val="2"/>
    </font>
    <font>
      <b/>
      <sz val="16"/>
      <color rgb="FFFF0000"/>
      <name val="Arial"/>
      <family val="2"/>
    </font>
    <font>
      <b/>
      <sz val="16"/>
      <color indexed="10"/>
      <name val="Arial"/>
      <family val="2"/>
    </font>
    <font>
      <sz val="22"/>
      <color indexed="9"/>
      <name val="Wingdings"/>
      <charset val="2"/>
    </font>
    <font>
      <sz val="22"/>
      <color theme="0" tint="-0.499984740745262"/>
      <name val="Wingdings"/>
      <charset val="2"/>
    </font>
    <font>
      <sz val="18"/>
      <color theme="0" tint="-0.499984740745262"/>
      <name val="Wingdings"/>
      <charset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1"/>
      <color rgb="FF7030A0"/>
      <name val="Calibri"/>
      <family val="2"/>
      <scheme val="minor"/>
    </font>
    <font>
      <b/>
      <sz val="14"/>
      <color theme="8" tint="-0.249977111117893"/>
      <name val="Calibri"/>
      <family val="2"/>
      <scheme val="minor"/>
    </font>
    <font>
      <b/>
      <sz val="12"/>
      <color rgb="FF0070C0"/>
      <name val="Arial"/>
      <family val="2"/>
    </font>
    <font>
      <b/>
      <u/>
      <sz val="15.5"/>
      <color rgb="FF20759D"/>
      <name val="Arial"/>
      <family val="2"/>
    </font>
    <font>
      <b/>
      <sz val="10"/>
      <color indexed="10"/>
      <name val="MS Sans Serif"/>
    </font>
    <font>
      <b/>
      <sz val="18"/>
      <color rgb="FF20759D"/>
      <name val="Arial"/>
      <family val="2"/>
    </font>
    <font>
      <b/>
      <sz val="16"/>
      <color rgb="FF0033CC"/>
      <name val="Calibri"/>
      <family val="2"/>
      <scheme val="minor"/>
    </font>
    <font>
      <b/>
      <sz val="14"/>
      <color theme="0"/>
      <name val="Calibri"/>
      <family val="2"/>
    </font>
    <font>
      <b/>
      <sz val="14"/>
      <color theme="1" tint="0.499984740745262"/>
      <name val="Calibri"/>
      <family val="2"/>
      <scheme val="minor"/>
    </font>
    <font>
      <sz val="12"/>
      <color rgb="FF0033CC"/>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sz val="36"/>
      <color rgb="FF00B050"/>
      <name val="Calibri"/>
      <family val="2"/>
      <scheme val="minor"/>
    </font>
    <font>
      <sz val="26"/>
      <color rgb="FF00B050"/>
      <name val="Calibri"/>
      <family val="2"/>
      <scheme val="minor"/>
    </font>
    <font>
      <u/>
      <sz val="10"/>
      <color indexed="12"/>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b/>
      <sz val="14"/>
      <color theme="0" tint="-4.9989318521683403E-2"/>
      <name val="Calibri"/>
      <family val="2"/>
      <scheme val="minor"/>
    </font>
    <font>
      <sz val="11"/>
      <color theme="0" tint="-4.9989318521683403E-2"/>
      <name val="Calibri"/>
      <family val="2"/>
      <scheme val="minor"/>
    </font>
    <font>
      <sz val="8"/>
      <color theme="0" tint="-0.14999847407452621"/>
      <name val="Calibri"/>
      <family val="2"/>
      <scheme val="minor"/>
    </font>
    <font>
      <sz val="11"/>
      <color theme="1"/>
      <name val="Segoe Print"/>
    </font>
    <font>
      <sz val="26"/>
      <color theme="7" tint="-0.249977111117893"/>
      <name val="Calibri"/>
      <family val="2"/>
      <scheme val="minor"/>
    </font>
    <font>
      <b/>
      <sz val="22"/>
      <color theme="9" tint="-0.249977111117893"/>
      <name val="Calibri"/>
      <family val="2"/>
      <scheme val="minor"/>
    </font>
    <font>
      <sz val="11"/>
      <color theme="4" tint="0.39997558519241921"/>
      <name val="Calibri"/>
      <family val="2"/>
      <scheme val="minor"/>
    </font>
    <font>
      <sz val="18"/>
      <color rgb="FF0070C0"/>
      <name val="Calibri"/>
      <family val="2"/>
      <scheme val="minor"/>
    </font>
    <font>
      <sz val="11"/>
      <color rgb="FF0070C0"/>
      <name val="Calibri"/>
      <family val="2"/>
      <scheme val="minor"/>
    </font>
    <font>
      <sz val="10"/>
      <color theme="9" tint="-0.499984740745262"/>
      <name val="Calibri"/>
      <family val="2"/>
      <scheme val="minor"/>
    </font>
    <font>
      <b/>
      <sz val="10"/>
      <color theme="5" tint="-0.249977111117893"/>
      <name val="Calibri"/>
      <family val="2"/>
      <scheme val="minor"/>
    </font>
    <font>
      <sz val="11"/>
      <color theme="10"/>
      <name val="Calibri"/>
      <family val="2"/>
      <scheme val="minor"/>
    </font>
    <font>
      <sz val="10"/>
      <color rgb="FF800000"/>
      <name val="Calibri"/>
      <family val="2"/>
      <scheme val="minor"/>
    </font>
    <font>
      <b/>
      <sz val="11"/>
      <color rgb="FF800000"/>
      <name val="Calibri"/>
      <family val="2"/>
      <scheme val="minor"/>
    </font>
    <font>
      <sz val="8"/>
      <color theme="0" tint="-0.499984740745262"/>
      <name val="Calibri"/>
      <family val="2"/>
      <scheme val="minor"/>
    </font>
    <font>
      <sz val="8"/>
      <color theme="0" tint="-0.249977111117893"/>
      <name val="Calibri"/>
      <family val="2"/>
      <scheme val="minor"/>
    </font>
    <font>
      <sz val="10"/>
      <color theme="1" tint="0.499984740745262"/>
      <name val="Calibri"/>
      <family val="2"/>
      <scheme val="minor"/>
    </font>
    <font>
      <b/>
      <sz val="11"/>
      <color theme="9" tint="-0.499984740745262"/>
      <name val="Calibri"/>
      <family val="2"/>
      <scheme val="minor"/>
    </font>
    <font>
      <sz val="10"/>
      <color theme="1" tint="0.34998626667073579"/>
      <name val="Calibri"/>
      <family val="2"/>
      <scheme val="minor"/>
    </font>
    <font>
      <sz val="11"/>
      <color theme="1" tint="0.34998626667073579"/>
      <name val="Calibri"/>
      <family val="2"/>
      <scheme val="minor"/>
    </font>
    <font>
      <sz val="11"/>
      <color theme="9" tint="-0.499984740745262"/>
      <name val="Calibri"/>
      <family val="2"/>
      <scheme val="minor"/>
    </font>
    <font>
      <sz val="11"/>
      <color theme="1" tint="0.499984740745262"/>
      <name val="Calibri"/>
      <family val="2"/>
      <scheme val="minor"/>
    </font>
    <font>
      <sz val="11"/>
      <color theme="9" tint="-0.249977111117893"/>
      <name val="Calibri"/>
      <family val="2"/>
      <scheme val="minor"/>
    </font>
    <font>
      <b/>
      <sz val="10"/>
      <color rgb="FFC00000"/>
      <name val="Calibri"/>
      <family val="2"/>
      <scheme val="minor"/>
    </font>
    <font>
      <sz val="8"/>
      <color theme="1"/>
      <name val="Calibri"/>
      <family val="2"/>
      <scheme val="minor"/>
    </font>
    <font>
      <sz val="12"/>
      <color theme="9" tint="-0.499984740745262"/>
      <name val="Calibri"/>
      <family val="2"/>
      <scheme val="minor"/>
    </font>
    <font>
      <b/>
      <sz val="12"/>
      <color theme="5" tint="-0.499984740745262"/>
      <name val="Calibri"/>
      <family val="2"/>
      <scheme val="minor"/>
    </font>
    <font>
      <b/>
      <sz val="18"/>
      <color rgb="FF92D050"/>
      <name val="Verdana"/>
      <family val="2"/>
    </font>
    <font>
      <b/>
      <sz val="26"/>
      <name val="Verdana"/>
      <family val="2"/>
    </font>
    <font>
      <sz val="22"/>
      <name val="Verdana"/>
      <family val="2"/>
    </font>
    <font>
      <b/>
      <sz val="22"/>
      <color theme="9" tint="-0.249977111117893"/>
      <name val="Verdana"/>
      <family val="2"/>
    </font>
    <font>
      <u/>
      <sz val="24"/>
      <color theme="10"/>
      <name val="Calibri"/>
      <family val="2"/>
      <scheme val="minor"/>
    </font>
    <font>
      <b/>
      <sz val="22"/>
      <color theme="1"/>
      <name val="Verdana"/>
      <family val="2"/>
    </font>
    <font>
      <sz val="24"/>
      <color theme="0" tint="-0.499984740745262"/>
      <name val="Calibri"/>
      <family val="2"/>
      <scheme val="minor"/>
    </font>
    <font>
      <b/>
      <sz val="16"/>
      <color rgb="FF7030A0"/>
      <name val="Calibri"/>
      <family val="2"/>
      <scheme val="minor"/>
    </font>
    <font>
      <sz val="11"/>
      <color theme="0" tint="-0.499984740745262"/>
      <name val="Calibri"/>
      <family val="2"/>
      <scheme val="minor"/>
    </font>
    <font>
      <sz val="16"/>
      <color indexed="8"/>
      <name val="Calibri"/>
      <family val="2"/>
      <scheme val="minor"/>
    </font>
  </fonts>
  <fills count="18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indexed="50"/>
        <bgColor indexed="64"/>
      </patternFill>
    </fill>
    <fill>
      <patternFill patternType="solid">
        <fgColor indexed="22"/>
        <bgColor indexed="64"/>
      </patternFill>
    </fill>
    <fill>
      <patternFill patternType="solid">
        <fgColor rgb="FF92D050"/>
        <bgColor indexed="64"/>
      </patternFill>
    </fill>
    <fill>
      <patternFill patternType="solid">
        <fgColor indexed="26"/>
        <bgColor indexed="64"/>
      </patternFill>
    </fill>
    <fill>
      <patternFill patternType="lightUp">
        <fgColor indexed="9"/>
        <bgColor indexed="50"/>
      </patternFill>
    </fill>
    <fill>
      <patternFill patternType="lightUp">
        <fgColor indexed="9"/>
        <bgColor rgb="FF92D050"/>
      </patternFill>
    </fill>
    <fill>
      <patternFill patternType="solid">
        <fgColor indexed="36"/>
        <bgColor indexed="50"/>
      </patternFill>
    </fill>
    <fill>
      <patternFill patternType="solid">
        <fgColor rgb="FFFFFFCC"/>
        <bgColor indexed="64"/>
      </patternFill>
    </fill>
    <fill>
      <patternFill patternType="solid">
        <fgColor rgb="FFFFFF99"/>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0" tint="-0.14996795556505021"/>
        <bgColor indexed="64"/>
      </patternFill>
    </fill>
    <fill>
      <patternFill patternType="solid">
        <fgColor indexed="43"/>
        <bgColor indexed="64"/>
      </patternFill>
    </fill>
    <fill>
      <patternFill patternType="solid">
        <fgColor indexed="53"/>
        <bgColor indexed="64"/>
      </patternFill>
    </fill>
    <fill>
      <patternFill patternType="solid">
        <fgColor theme="0" tint="-0.14993743705557422"/>
        <bgColor indexed="64"/>
      </patternFill>
    </fill>
    <fill>
      <patternFill patternType="solid">
        <fgColor theme="0" tint="-0.14999847407452621"/>
        <bgColor theme="0"/>
      </patternFill>
    </fill>
    <fill>
      <patternFill patternType="solid">
        <fgColor rgb="FFFF0000"/>
        <bgColor indexed="64"/>
      </patternFill>
    </fill>
    <fill>
      <patternFill patternType="solid">
        <fgColor rgb="FF7030A0"/>
        <bgColor indexed="64"/>
      </patternFill>
    </fill>
    <fill>
      <patternFill patternType="solid">
        <fgColor indexed="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FFFF66"/>
        <bgColor indexed="64"/>
      </patternFill>
    </fill>
    <fill>
      <patternFill patternType="solid">
        <fgColor theme="1" tint="0.499984740745262"/>
        <bgColor indexed="64"/>
      </patternFill>
    </fill>
    <fill>
      <patternFill patternType="solid">
        <fgColor theme="5"/>
        <bgColor indexed="64"/>
      </patternFill>
    </fill>
    <fill>
      <patternFill patternType="gray0625"/>
    </fill>
    <fill>
      <patternFill patternType="solid">
        <fgColor rgb="FF800080"/>
        <bgColor indexed="64"/>
      </patternFill>
    </fill>
    <fill>
      <patternFill patternType="solid">
        <fgColor theme="0" tint="-4.9989318521683403E-2"/>
        <bgColor indexed="64"/>
      </patternFill>
    </fill>
    <fill>
      <patternFill patternType="solid">
        <fgColor theme="0"/>
        <bgColor indexed="34"/>
      </patternFill>
    </fill>
    <fill>
      <patternFill patternType="solid">
        <fgColor theme="4" tint="0.79998168889431442"/>
        <bgColor indexed="64"/>
      </patternFill>
    </fill>
    <fill>
      <patternFill patternType="solid">
        <fgColor indexed="46"/>
        <bgColor indexed="64"/>
      </patternFill>
    </fill>
    <fill>
      <patternFill patternType="solid">
        <fgColor indexed="11"/>
        <bgColor indexed="64"/>
      </patternFill>
    </fill>
    <fill>
      <patternFill patternType="solid">
        <fgColor indexed="12"/>
        <bgColor indexed="64"/>
      </patternFill>
    </fill>
    <fill>
      <patternFill patternType="solid">
        <fgColor rgb="FFCCCCFF"/>
        <bgColor indexed="64"/>
      </patternFill>
    </fill>
    <fill>
      <patternFill patternType="solid">
        <fgColor rgb="FF0000FF"/>
        <bgColor indexed="64"/>
      </patternFill>
    </fill>
    <fill>
      <patternFill patternType="solid">
        <fgColor theme="9" tint="0.39997558519241921"/>
        <bgColor indexed="64"/>
      </patternFill>
    </fill>
    <fill>
      <patternFill patternType="solid">
        <fgColor rgb="FFCC00FF"/>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CCFFCC"/>
        <bgColor indexed="64"/>
      </patternFill>
    </fill>
    <fill>
      <patternFill patternType="solid">
        <fgColor rgb="FF4472C4"/>
        <bgColor indexed="64"/>
      </patternFill>
    </fill>
    <fill>
      <patternFill patternType="solid">
        <fgColor rgb="FFC00000"/>
        <bgColor indexed="64"/>
      </patternFill>
    </fill>
    <fill>
      <patternFill patternType="solid">
        <fgColor theme="1" tint="0.34998626667073579"/>
        <bgColor indexed="64"/>
      </patternFill>
    </fill>
    <fill>
      <patternFill patternType="solid">
        <fgColor rgb="FFFFCC99"/>
        <bgColor indexed="64"/>
      </patternFill>
    </fill>
    <fill>
      <patternFill patternType="solid">
        <fgColor indexed="23"/>
        <bgColor indexed="64"/>
      </patternFill>
    </fill>
    <fill>
      <patternFill patternType="solid">
        <fgColor theme="7"/>
        <bgColor indexed="64"/>
      </patternFill>
    </fill>
    <fill>
      <patternFill patternType="solid">
        <fgColor rgb="FFA9D08E"/>
        <bgColor indexed="64"/>
      </patternFill>
    </fill>
    <fill>
      <patternFill patternType="solid">
        <fgColor theme="5" tint="0.39997558519241921"/>
        <bgColor indexed="64"/>
      </patternFill>
    </fill>
    <fill>
      <patternFill patternType="solid">
        <fgColor rgb="FFFF6600"/>
        <bgColor indexed="64"/>
      </patternFill>
    </fill>
    <fill>
      <patternFill patternType="solid">
        <fgColor rgb="FFD9E1F2"/>
        <bgColor indexed="64"/>
      </patternFill>
    </fill>
    <fill>
      <patternFill patternType="solid">
        <fgColor theme="0"/>
        <bgColor theme="0"/>
      </patternFill>
    </fill>
    <fill>
      <patternFill patternType="solid">
        <fgColor rgb="FFFFFFCC"/>
        <bgColor theme="0"/>
      </patternFill>
    </fill>
    <fill>
      <patternFill patternType="solid">
        <fgColor rgb="FF808080"/>
        <bgColor indexed="64"/>
      </patternFill>
    </fill>
    <fill>
      <patternFill patternType="solid">
        <fgColor rgb="FFFFC000"/>
        <bgColor indexed="64"/>
      </patternFill>
    </fill>
    <fill>
      <patternFill patternType="solid">
        <fgColor rgb="FFFFD966"/>
        <bgColor indexed="64"/>
      </patternFill>
    </fill>
    <fill>
      <patternFill patternType="solid">
        <fgColor indexed="9"/>
        <bgColor indexed="9"/>
      </patternFill>
    </fill>
    <fill>
      <patternFill patternType="solid">
        <fgColor indexed="26"/>
        <bgColor indexed="9"/>
      </patternFill>
    </fill>
    <fill>
      <patternFill patternType="solid">
        <fgColor theme="0"/>
        <bgColor indexed="9"/>
      </patternFill>
    </fill>
    <fill>
      <patternFill patternType="solid">
        <fgColor rgb="FFFFFFCC"/>
        <bgColor indexed="9"/>
      </patternFill>
    </fill>
    <fill>
      <patternFill patternType="solid">
        <fgColor theme="0" tint="-4.9989318521683403E-2"/>
        <bgColor indexed="9"/>
      </patternFill>
    </fill>
    <fill>
      <patternFill patternType="solid">
        <fgColor theme="0" tint="-0.499984740745262"/>
        <bgColor indexed="64"/>
      </patternFill>
    </fill>
    <fill>
      <patternFill patternType="solid">
        <fgColor indexed="31"/>
        <bgColor indexed="64"/>
      </patternFill>
    </fill>
    <fill>
      <patternFill patternType="solid">
        <fgColor indexed="63"/>
        <bgColor indexed="64"/>
      </patternFill>
    </fill>
    <fill>
      <patternFill patternType="solid">
        <fgColor rgb="FFED7D31"/>
        <bgColor indexed="64"/>
      </patternFill>
    </fill>
    <fill>
      <patternFill patternType="solid">
        <fgColor rgb="FFBF8F00"/>
        <bgColor indexed="64"/>
      </patternFill>
    </fill>
    <fill>
      <patternFill patternType="solid">
        <fgColor rgb="FF70AD47"/>
        <bgColor indexed="64"/>
      </patternFill>
    </fill>
    <fill>
      <patternFill patternType="solid">
        <fgColor theme="9"/>
        <bgColor indexed="64"/>
      </patternFill>
    </fill>
    <fill>
      <patternFill patternType="solid">
        <fgColor rgb="FFFFFF00"/>
        <bgColor rgb="FF3DEB3D"/>
      </patternFill>
    </fill>
    <fill>
      <patternFill patternType="solid">
        <fgColor rgb="FFCCCCFF"/>
        <bgColor rgb="FF99CCFF"/>
      </patternFill>
    </fill>
    <fill>
      <patternFill patternType="solid">
        <fgColor theme="0" tint="-0.14999847407452621"/>
        <bgColor rgb="FF666666"/>
      </patternFill>
    </fill>
    <fill>
      <patternFill patternType="solid">
        <fgColor rgb="FFE6E6E6"/>
        <bgColor rgb="FFE6E6E6"/>
      </patternFill>
    </fill>
    <fill>
      <patternFill patternType="solid">
        <fgColor rgb="FFD7E7F5"/>
        <bgColor indexed="64"/>
      </patternFill>
    </fill>
    <fill>
      <patternFill patternType="solid">
        <fgColor rgb="FFBDD7EE"/>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rgb="FFCC99FF"/>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gray0625">
        <bgColor theme="0"/>
      </patternFill>
    </fill>
    <fill>
      <patternFill patternType="solid">
        <fgColor rgb="FF5B9BD5"/>
        <bgColor indexed="64"/>
      </patternFill>
    </fill>
    <fill>
      <patternFill patternType="solid">
        <fgColor rgb="FF66CCFF"/>
        <bgColor indexed="64"/>
      </patternFill>
    </fill>
    <fill>
      <patternFill patternType="solid">
        <fgColor rgb="FFF2F2F2"/>
        <bgColor indexed="64"/>
      </patternFill>
    </fill>
    <fill>
      <patternFill patternType="solid">
        <fgColor theme="4"/>
        <bgColor indexed="64"/>
      </patternFill>
    </fill>
    <fill>
      <patternFill patternType="solid">
        <fgColor rgb="FFEEECE1"/>
        <bgColor indexed="64"/>
      </patternFill>
    </fill>
    <fill>
      <patternFill patternType="solid">
        <fgColor theme="0"/>
        <bgColor indexed="50"/>
      </patternFill>
    </fill>
    <fill>
      <patternFill patternType="solid">
        <fgColor rgb="FFFFFFCC"/>
        <bgColor indexed="15"/>
      </patternFill>
    </fill>
    <fill>
      <patternFill patternType="solid">
        <fgColor rgb="FF00B0F0"/>
        <bgColor indexed="64"/>
      </patternFill>
    </fill>
    <fill>
      <patternFill patternType="solid">
        <fgColor theme="0"/>
        <bgColor indexed="15"/>
      </patternFill>
    </fill>
    <fill>
      <patternFill patternType="solid">
        <fgColor rgb="FFEEECE1"/>
        <bgColor indexed="9"/>
      </patternFill>
    </fill>
    <fill>
      <patternFill patternType="solid">
        <fgColor theme="2"/>
        <bgColor indexed="9"/>
      </patternFill>
    </fill>
    <fill>
      <patternFill patternType="solid">
        <fgColor theme="0" tint="-0.14999847407452621"/>
        <bgColor indexed="9"/>
      </patternFill>
    </fill>
    <fill>
      <patternFill patternType="gray0625">
        <fgColor theme="9" tint="0.79998168889431442"/>
        <bgColor rgb="FFE2EFDA"/>
      </patternFill>
    </fill>
    <fill>
      <patternFill patternType="gray0625">
        <fgColor theme="9" tint="0.79998168889431442"/>
        <bgColor rgb="FFDEFFBD"/>
      </patternFill>
    </fill>
    <fill>
      <patternFill patternType="gray0625">
        <fgColor theme="9" tint="0.79998168889431442"/>
        <bgColor rgb="FFFFFFCC"/>
      </patternFill>
    </fill>
    <fill>
      <patternFill patternType="solid">
        <fgColor theme="9" tint="0.79998168889431442"/>
        <bgColor indexed="9"/>
      </patternFill>
    </fill>
    <fill>
      <patternFill patternType="gray0625">
        <fgColor theme="9" tint="0.79998168889431442"/>
        <bgColor theme="0" tint="-4.9989318521683403E-2"/>
      </patternFill>
    </fill>
    <fill>
      <patternFill patternType="solid">
        <fgColor rgb="FFC00000"/>
        <bgColor theme="0"/>
      </patternFill>
    </fill>
    <fill>
      <patternFill patternType="gray0625">
        <fgColor theme="9" tint="0.79998168889431442"/>
        <bgColor theme="0" tint="-0.249977111117893"/>
      </patternFill>
    </fill>
    <fill>
      <patternFill patternType="solid">
        <fgColor rgb="FFDEFFBD"/>
        <bgColor indexed="64"/>
      </patternFill>
    </fill>
    <fill>
      <patternFill patternType="solid">
        <fgColor rgb="FFFF6600"/>
        <bgColor indexed="50"/>
      </patternFill>
    </fill>
    <fill>
      <patternFill patternType="gray0625">
        <fgColor theme="9" tint="0.79998168889431442"/>
        <bgColor theme="0"/>
      </patternFill>
    </fill>
    <fill>
      <patternFill patternType="solid">
        <fgColor theme="0" tint="-0.14999847407452621"/>
        <bgColor theme="0" tint="-0.14999847407452621"/>
      </patternFill>
    </fill>
    <fill>
      <patternFill patternType="solid">
        <fgColor theme="1"/>
        <bgColor indexed="64"/>
      </patternFill>
    </fill>
    <fill>
      <patternFill patternType="solid">
        <fgColor theme="9" tint="-0.499984740745262"/>
        <bgColor indexed="64"/>
      </patternFill>
    </fill>
    <fill>
      <patternFill patternType="solid">
        <fgColor rgb="FFFF66FF"/>
        <bgColor indexed="64"/>
      </patternFill>
    </fill>
    <fill>
      <patternFill patternType="solid">
        <fgColor theme="4" tint="0.59999389629810485"/>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indexed="65"/>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theme="8" tint="0.59999389629810485"/>
        <bgColor indexed="64"/>
      </patternFill>
    </fill>
    <fill>
      <patternFill patternType="solid">
        <fgColor rgb="FFA4DE00"/>
        <bgColor indexed="64"/>
      </patternFill>
    </fill>
    <fill>
      <patternFill patternType="solid">
        <fgColor rgb="FFF1E8F8"/>
        <bgColor indexed="64"/>
      </patternFill>
    </fill>
    <fill>
      <patternFill patternType="solid">
        <fgColor rgb="FFFFFFAF"/>
        <bgColor indexed="9"/>
      </patternFill>
    </fill>
    <fill>
      <patternFill patternType="solid">
        <fgColor rgb="FFFFFFAF"/>
        <bgColor indexed="64"/>
      </patternFill>
    </fill>
    <fill>
      <patternFill patternType="solid">
        <fgColor rgb="FFFFFFAF"/>
        <bgColor theme="0"/>
      </patternFill>
    </fill>
    <fill>
      <patternFill patternType="solid">
        <fgColor rgb="FFC65911"/>
        <bgColor indexed="64"/>
      </patternFill>
    </fill>
    <fill>
      <patternFill patternType="solid">
        <fgColor rgb="FF800000"/>
        <bgColor indexed="64"/>
      </patternFill>
    </fill>
  </fills>
  <borders count="621">
    <border>
      <left/>
      <right/>
      <top/>
      <bottom/>
      <diagonal/>
    </border>
    <border>
      <left/>
      <right style="mediumDashed">
        <color indexed="64"/>
      </right>
      <top/>
      <bottom style="mediumDashed">
        <color indexed="64"/>
      </bottom>
      <diagonal/>
    </border>
    <border>
      <left/>
      <right/>
      <top/>
      <bottom style="mediumDashed">
        <color indexed="64"/>
      </bottom>
      <diagonal/>
    </border>
    <border>
      <left style="mediumDashed">
        <color indexed="64"/>
      </left>
      <right/>
      <top/>
      <bottom style="mediumDashed">
        <color indexed="64"/>
      </bottom>
      <diagonal/>
    </border>
    <border>
      <left/>
      <right style="mediumDashed">
        <color indexed="64"/>
      </right>
      <top/>
      <bottom/>
      <diagonal/>
    </border>
    <border>
      <left style="mediumDashed">
        <color indexed="64"/>
      </left>
      <right/>
      <top/>
      <bottom/>
      <diagonal/>
    </border>
    <border>
      <left/>
      <right style="mediumDashed">
        <color indexed="64"/>
      </right>
      <top style="mediumDashed">
        <color indexed="64"/>
      </top>
      <bottom/>
      <diagonal/>
    </border>
    <border>
      <left/>
      <right/>
      <top style="mediumDashed">
        <color indexed="64"/>
      </top>
      <bottom/>
      <diagonal/>
    </border>
    <border>
      <left style="mediumDashed">
        <color indexed="64"/>
      </left>
      <right/>
      <top style="mediumDashed">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dashed">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bottom style="dashed">
        <color indexed="64"/>
      </bottom>
      <diagonal/>
    </border>
    <border>
      <left/>
      <right/>
      <top/>
      <bottom style="dashed">
        <color indexed="64"/>
      </bottom>
      <diagonal/>
    </border>
    <border>
      <left style="medium">
        <color indexed="64"/>
      </left>
      <right/>
      <top/>
      <bottom style="dashed">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hair">
        <color indexed="64"/>
      </left>
      <right style="hair">
        <color indexed="64"/>
      </right>
      <top/>
      <bottom/>
      <diagonal/>
    </border>
    <border>
      <left style="hair">
        <color indexed="12"/>
      </left>
      <right style="hair">
        <color indexed="12"/>
      </right>
      <top/>
      <bottom/>
      <diagonal/>
    </border>
    <border>
      <left style="hair">
        <color auto="1"/>
      </left>
      <right style="hair">
        <color auto="1"/>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hair">
        <color indexed="12"/>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hair">
        <color indexed="12"/>
      </right>
      <top/>
      <bottom/>
      <diagonal/>
    </border>
    <border>
      <left style="hair">
        <color rgb="FF0000FF"/>
      </left>
      <right style="hair">
        <color rgb="FF0000FF"/>
      </right>
      <top style="hair">
        <color rgb="FF0000FF"/>
      </top>
      <bottom style="hair">
        <color rgb="FF0000FF"/>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style="hair">
        <color rgb="FFFF0000"/>
      </left>
      <right style="hair">
        <color rgb="FFFF0000"/>
      </right>
      <top style="hair">
        <color rgb="FFFF0000"/>
      </top>
      <bottom style="hair">
        <color rgb="FFFF0000"/>
      </bottom>
      <diagonal/>
    </border>
    <border>
      <left style="medium">
        <color indexed="64"/>
      </left>
      <right style="hair">
        <color indexed="64"/>
      </right>
      <top/>
      <bottom/>
      <diagonal/>
    </border>
    <border>
      <left/>
      <right/>
      <top style="thin">
        <color indexed="10"/>
      </top>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dashDot">
        <color indexed="64"/>
      </top>
      <bottom/>
      <diagonal/>
    </border>
    <border>
      <left style="medium">
        <color indexed="64"/>
      </left>
      <right/>
      <top style="dashDot">
        <color indexed="64"/>
      </top>
      <bottom/>
      <diagonal/>
    </border>
    <border>
      <left style="medium">
        <color indexed="64"/>
      </left>
      <right/>
      <top style="thin">
        <color indexed="64"/>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medium">
        <color indexed="64"/>
      </top>
      <bottom style="hair">
        <color indexed="64"/>
      </bottom>
      <diagonal/>
    </border>
    <border>
      <left/>
      <right style="medium">
        <color auto="1"/>
      </right>
      <top style="thin">
        <color auto="1"/>
      </top>
      <bottom/>
      <diagonal/>
    </border>
    <border>
      <left/>
      <right style="thin">
        <color indexed="64"/>
      </right>
      <top style="dashDot">
        <color indexed="64"/>
      </top>
      <bottom/>
      <diagonal/>
    </border>
    <border>
      <left/>
      <right/>
      <top style="dashDot">
        <color indexed="64"/>
      </top>
      <bottom/>
      <diagonal/>
    </border>
    <border>
      <left style="thin">
        <color indexed="64"/>
      </left>
      <right/>
      <top style="dashDot">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hair">
        <color indexed="64"/>
      </left>
      <right style="medium">
        <color indexed="64"/>
      </right>
      <top/>
      <bottom/>
      <diagonal/>
    </border>
    <border>
      <left/>
      <right style="medium">
        <color indexed="64"/>
      </right>
      <top style="hair">
        <color indexed="10"/>
      </top>
      <bottom/>
      <diagonal/>
    </border>
    <border>
      <left/>
      <right/>
      <top style="hair">
        <color indexed="10"/>
      </top>
      <bottom/>
      <diagonal/>
    </border>
    <border>
      <left style="medium">
        <color indexed="64"/>
      </left>
      <right/>
      <top style="hair">
        <color indexed="10"/>
      </top>
      <bottom/>
      <diagonal/>
    </border>
    <border>
      <left/>
      <right style="medium">
        <color indexed="64"/>
      </right>
      <top/>
      <bottom style="hair">
        <color indexed="12"/>
      </bottom>
      <diagonal/>
    </border>
    <border>
      <left/>
      <right/>
      <top/>
      <bottom style="hair">
        <color indexed="12"/>
      </bottom>
      <diagonal/>
    </border>
    <border>
      <left style="medium">
        <color indexed="64"/>
      </left>
      <right/>
      <top/>
      <bottom style="hair">
        <color indexed="12"/>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right style="medium">
        <color auto="1"/>
      </right>
      <top style="thin">
        <color auto="1"/>
      </top>
      <bottom style="thin">
        <color auto="1"/>
      </bottom>
      <diagonal/>
    </border>
    <border>
      <left style="medium">
        <color auto="1"/>
      </left>
      <right/>
      <top style="thin">
        <color indexed="64"/>
      </top>
      <bottom style="thin">
        <color auto="1"/>
      </bottom>
      <diagonal/>
    </border>
    <border>
      <left style="thin">
        <color indexed="64"/>
      </left>
      <right style="medium">
        <color auto="1"/>
      </right>
      <top/>
      <bottom style="thin">
        <color auto="1"/>
      </bottom>
      <diagonal/>
    </border>
    <border>
      <left style="thin">
        <color indexed="64"/>
      </left>
      <right style="thin">
        <color auto="1"/>
      </right>
      <top/>
      <bottom style="thin">
        <color auto="1"/>
      </bottom>
      <diagonal/>
    </border>
    <border>
      <left style="medium">
        <color indexed="64"/>
      </left>
      <right style="thin">
        <color indexed="64"/>
      </right>
      <top/>
      <bottom style="thin">
        <color auto="1"/>
      </bottom>
      <diagonal/>
    </border>
    <border>
      <left/>
      <right style="medium">
        <color indexed="64"/>
      </right>
      <top style="mediumDashed">
        <color indexed="64"/>
      </top>
      <bottom style="hair">
        <color indexed="64"/>
      </bottom>
      <diagonal/>
    </border>
    <border>
      <left/>
      <right/>
      <top style="mediumDashed">
        <color indexed="64"/>
      </top>
      <bottom style="hair">
        <color indexed="64"/>
      </bottom>
      <diagonal/>
    </border>
    <border>
      <left style="medium">
        <color indexed="64"/>
      </left>
      <right/>
      <top style="mediumDashed">
        <color indexed="64"/>
      </top>
      <bottom style="hair">
        <color indexed="64"/>
      </bottom>
      <diagonal/>
    </border>
    <border>
      <left/>
      <right style="medium">
        <color indexed="64"/>
      </right>
      <top/>
      <bottom style="hair">
        <color indexed="64"/>
      </bottom>
      <diagonal/>
    </border>
    <border>
      <left/>
      <right/>
      <top/>
      <bottom style="hair">
        <color indexed="64"/>
      </bottom>
      <diagonal/>
    </border>
    <border>
      <left/>
      <right/>
      <top style="hair">
        <color auto="1"/>
      </top>
      <bottom/>
      <diagonal/>
    </border>
    <border>
      <left/>
      <right style="medium">
        <color indexed="64"/>
      </right>
      <top style="mediumDashed">
        <color indexed="64"/>
      </top>
      <bottom/>
      <diagonal/>
    </border>
    <border>
      <left style="medium">
        <color indexed="64"/>
      </left>
      <right/>
      <top style="mediumDashed">
        <color indexed="64"/>
      </top>
      <bottom/>
      <diagonal/>
    </border>
    <border>
      <left/>
      <right style="medium">
        <color indexed="64"/>
      </right>
      <top/>
      <bottom style="mediumDashed">
        <color indexed="64"/>
      </bottom>
      <diagonal/>
    </border>
    <border>
      <left style="medium">
        <color indexed="64"/>
      </left>
      <right/>
      <top/>
      <bottom style="mediumDashed">
        <color indexed="64"/>
      </bottom>
      <diagonal/>
    </border>
    <border>
      <left/>
      <right/>
      <top style="thick">
        <color auto="1"/>
      </top>
      <bottom/>
      <diagonal/>
    </border>
    <border>
      <left style="thin">
        <color indexed="64"/>
      </left>
      <right style="thin">
        <color auto="1"/>
      </right>
      <top/>
      <bottom/>
      <diagonal/>
    </border>
    <border>
      <left/>
      <right/>
      <top/>
      <bottom style="thick">
        <color indexed="64"/>
      </bottom>
      <diagonal/>
    </border>
    <border>
      <left/>
      <right style="hair">
        <color indexed="64"/>
      </right>
      <top style="hair">
        <color indexed="64"/>
      </top>
      <bottom style="medium">
        <color auto="1"/>
      </bottom>
      <diagonal/>
    </border>
    <border>
      <left style="hair">
        <color indexed="64"/>
      </left>
      <right/>
      <top/>
      <bottom style="medium">
        <color indexed="64"/>
      </bottom>
      <diagonal/>
    </border>
    <border>
      <left/>
      <right style="hair">
        <color auto="1"/>
      </right>
      <top/>
      <bottom style="medium">
        <color auto="1"/>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thin">
        <color auto="1"/>
      </left>
      <right/>
      <top style="medium">
        <color auto="1"/>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top style="dashDotDot">
        <color auto="1"/>
      </top>
      <bottom/>
      <diagonal/>
    </border>
    <border>
      <left/>
      <right style="hair">
        <color indexed="64"/>
      </right>
      <top/>
      <bottom style="hair">
        <color indexed="64"/>
      </bottom>
      <diagonal/>
    </border>
    <border>
      <left style="medium">
        <color indexed="64"/>
      </left>
      <right style="hair">
        <color indexed="64"/>
      </right>
      <top/>
      <bottom style="thin">
        <color indexed="64"/>
      </bottom>
      <diagonal/>
    </border>
    <border>
      <left style="hair">
        <color indexed="60"/>
      </left>
      <right style="hair">
        <color indexed="64"/>
      </right>
      <top/>
      <bottom style="hair">
        <color indexed="64"/>
      </bottom>
      <diagonal/>
    </border>
    <border>
      <left/>
      <right/>
      <top style="thin">
        <color indexed="64"/>
      </top>
      <bottom/>
      <diagonal/>
    </border>
    <border>
      <left/>
      <right style="medium">
        <color indexed="64"/>
      </right>
      <top style="thin">
        <color indexed="64"/>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double">
        <color indexed="10"/>
      </right>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medium">
        <color auto="1"/>
      </bottom>
      <diagonal/>
    </border>
    <border>
      <left style="medium">
        <color indexed="64"/>
      </left>
      <right style="hair">
        <color indexed="64"/>
      </right>
      <top style="hair">
        <color indexed="12"/>
      </top>
      <bottom/>
      <diagonal/>
    </border>
    <border>
      <left style="hair">
        <color indexed="64"/>
      </left>
      <right style="hair">
        <color indexed="64"/>
      </right>
      <top style="hair">
        <color indexed="12"/>
      </top>
      <bottom/>
      <diagonal/>
    </border>
    <border>
      <left style="hair">
        <color indexed="64"/>
      </left>
      <right style="medium">
        <color indexed="64"/>
      </right>
      <top style="hair">
        <color indexed="12"/>
      </top>
      <bottom/>
      <diagonal/>
    </border>
    <border>
      <left style="medium">
        <color indexed="64"/>
      </left>
      <right style="hair">
        <color indexed="64"/>
      </right>
      <top/>
      <bottom style="hair">
        <color indexed="10"/>
      </bottom>
      <diagonal/>
    </border>
    <border>
      <left style="hair">
        <color indexed="64"/>
      </left>
      <right style="hair">
        <color indexed="64"/>
      </right>
      <top/>
      <bottom style="hair">
        <color indexed="10"/>
      </bottom>
      <diagonal/>
    </border>
    <border>
      <left style="hair">
        <color indexed="64"/>
      </left>
      <right style="medium">
        <color indexed="64"/>
      </right>
      <top/>
      <bottom style="hair">
        <color indexed="10"/>
      </bottom>
      <diagonal/>
    </border>
    <border>
      <left/>
      <right/>
      <top/>
      <bottom style="hair">
        <color auto="1"/>
      </bottom>
      <diagonal/>
    </border>
    <border>
      <left/>
      <right style="hair">
        <color indexed="64"/>
      </right>
      <top style="hair">
        <color auto="1"/>
      </top>
      <bottom/>
      <diagonal/>
    </border>
    <border>
      <left/>
      <right/>
      <top style="hair">
        <color auto="1"/>
      </top>
      <bottom style="hair">
        <color indexed="64"/>
      </bottom>
      <diagonal/>
    </border>
    <border>
      <left style="medium">
        <color auto="1"/>
      </left>
      <right/>
      <top style="hair">
        <color auto="1"/>
      </top>
      <bottom/>
      <diagonal/>
    </border>
    <border>
      <left/>
      <right style="medium">
        <color auto="1"/>
      </right>
      <top style="hair">
        <color auto="1"/>
      </top>
      <bottom/>
      <diagonal/>
    </border>
    <border>
      <left style="medium">
        <color auto="1"/>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auto="1"/>
      </top>
      <bottom/>
      <diagonal/>
    </border>
    <border>
      <left/>
      <right style="thin">
        <color indexed="64"/>
      </right>
      <top/>
      <bottom style="hair">
        <color auto="1"/>
      </bottom>
      <diagonal/>
    </border>
    <border>
      <left/>
      <right style="thin">
        <color indexed="64"/>
      </right>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hair">
        <color indexed="64"/>
      </right>
      <top style="thin">
        <color auto="1"/>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thin">
        <color indexed="64"/>
      </top>
      <bottom/>
      <diagonal/>
    </border>
    <border>
      <left style="hair">
        <color indexed="64"/>
      </left>
      <right style="hair">
        <color indexed="64"/>
      </right>
      <top style="hair">
        <color auto="1"/>
      </top>
      <bottom/>
      <diagonal/>
    </border>
    <border>
      <left style="hair">
        <color indexed="64"/>
      </left>
      <right style="hair">
        <color indexed="64"/>
      </right>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auto="1"/>
      </top>
      <bottom/>
      <diagonal/>
    </border>
    <border>
      <left style="hair">
        <color indexed="64"/>
      </left>
      <right style="thin">
        <color indexed="64"/>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hair">
        <color indexed="64"/>
      </left>
      <right/>
      <top style="hair">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right style="thin">
        <color auto="1"/>
      </right>
      <top/>
      <bottom/>
      <diagonal/>
    </border>
    <border>
      <left style="thin">
        <color indexed="64"/>
      </left>
      <right style="hair">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auto="1"/>
      </left>
      <right style="hair">
        <color auto="1"/>
      </right>
      <top/>
      <bottom/>
      <diagonal/>
    </border>
    <border>
      <left style="hair">
        <color indexed="64"/>
      </left>
      <right style="medium">
        <color indexed="64"/>
      </right>
      <top/>
      <bottom/>
      <diagonal/>
    </border>
    <border>
      <left style="hair">
        <color indexed="64"/>
      </left>
      <right/>
      <top/>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auto="1"/>
      </bottom>
      <diagonal/>
    </border>
    <border>
      <left/>
      <right style="thick">
        <color indexed="9"/>
      </right>
      <top/>
      <bottom style="thin">
        <color auto="1"/>
      </bottom>
      <diagonal/>
    </border>
    <border>
      <left style="medium">
        <color indexed="64"/>
      </left>
      <right/>
      <top/>
      <bottom style="thin">
        <color indexed="64"/>
      </bottom>
      <diagonal/>
    </border>
    <border>
      <left/>
      <right/>
      <top style="thin">
        <color indexed="64"/>
      </top>
      <bottom/>
      <diagonal/>
    </border>
    <border>
      <left style="thick">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style="hair">
        <color indexed="64"/>
      </top>
      <bottom style="hair">
        <color indexed="64"/>
      </bottom>
      <diagonal/>
    </border>
    <border>
      <left style="thick">
        <color indexed="64"/>
      </left>
      <right/>
      <top/>
      <bottom style="thick">
        <color indexed="64"/>
      </bottom>
      <diagonal/>
    </border>
    <border>
      <left/>
      <right style="thick">
        <color indexed="64"/>
      </right>
      <top/>
      <bottom style="thick">
        <color indexed="64"/>
      </bottom>
      <diagonal/>
    </border>
    <border>
      <left/>
      <right style="thick">
        <color indexed="64"/>
      </right>
      <top/>
      <bottom style="hair">
        <color indexed="64"/>
      </bottom>
      <diagonal/>
    </border>
    <border>
      <left/>
      <right/>
      <top style="medium">
        <color indexed="64"/>
      </top>
      <bottom style="medium">
        <color indexed="64"/>
      </bottom>
      <diagonal/>
    </border>
    <border>
      <left style="medium">
        <color indexed="64"/>
      </left>
      <right/>
      <top style="hair">
        <color indexed="64"/>
      </top>
      <bottom style="thick">
        <color indexed="64"/>
      </bottom>
      <diagonal/>
    </border>
    <border>
      <left/>
      <right/>
      <top style="hair">
        <color indexed="64"/>
      </top>
      <bottom style="thick">
        <color indexed="64"/>
      </bottom>
      <diagonal/>
    </border>
    <border>
      <left/>
      <right style="thick">
        <color indexed="64"/>
      </right>
      <top style="hair">
        <color indexed="64"/>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top style="hair">
        <color indexed="64"/>
      </top>
      <bottom/>
      <diagonal/>
    </border>
    <border>
      <left style="medium">
        <color auto="1"/>
      </left>
      <right style="medium">
        <color rgb="FF000000"/>
      </right>
      <top style="medium">
        <color auto="1"/>
      </top>
      <bottom/>
      <diagonal/>
    </border>
    <border>
      <left style="medium">
        <color rgb="FF000000"/>
      </left>
      <right/>
      <top style="medium">
        <color auto="1"/>
      </top>
      <bottom/>
      <diagonal/>
    </border>
    <border>
      <left/>
      <right style="thin">
        <color rgb="FF000000"/>
      </right>
      <top style="medium">
        <color auto="1"/>
      </top>
      <bottom/>
      <diagonal/>
    </border>
    <border>
      <left style="thin">
        <color rgb="FF000000"/>
      </left>
      <right style="thin">
        <color rgb="FF000000"/>
      </right>
      <top style="medium">
        <color auto="1"/>
      </top>
      <bottom style="hair">
        <color rgb="FF000000"/>
      </bottom>
      <diagonal/>
    </border>
    <border>
      <left style="thin">
        <color rgb="FF000000"/>
      </left>
      <right style="medium">
        <color auto="1"/>
      </right>
      <top style="medium">
        <color auto="1"/>
      </top>
      <bottom style="hair">
        <color rgb="FF000000"/>
      </bottom>
      <diagonal/>
    </border>
    <border>
      <left style="medium">
        <color auto="1"/>
      </left>
      <right style="medium">
        <color rgb="FF000000"/>
      </right>
      <top/>
      <bottom/>
      <diagonal/>
    </border>
    <border>
      <left style="medium">
        <color rgb="FF000000"/>
      </left>
      <right/>
      <top/>
      <bottom/>
      <diagonal/>
    </border>
    <border>
      <left/>
      <right style="thin">
        <color rgb="FF000000"/>
      </right>
      <top/>
      <bottom/>
      <diagonal/>
    </border>
    <border>
      <left style="thin">
        <color rgb="FF000000"/>
      </left>
      <right style="thin">
        <color rgb="FF000000"/>
      </right>
      <top style="hair">
        <color rgb="FF000000"/>
      </top>
      <bottom style="hair">
        <color rgb="FF000000"/>
      </bottom>
      <diagonal/>
    </border>
    <border>
      <left style="thin">
        <color rgb="FF000000"/>
      </left>
      <right style="medium">
        <color auto="1"/>
      </right>
      <top style="hair">
        <color rgb="FF000000"/>
      </top>
      <bottom style="hair">
        <color rgb="FF000000"/>
      </bottom>
      <diagonal/>
    </border>
    <border>
      <left style="medium">
        <color auto="1"/>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style="medium">
        <color auto="1"/>
      </right>
      <top style="hair">
        <color rgb="FF000000"/>
      </top>
      <bottom style="medium">
        <color rgb="FF000000"/>
      </bottom>
      <diagonal/>
    </border>
    <border>
      <left style="medium">
        <color auto="1"/>
      </left>
      <right style="medium">
        <color rgb="FF000000"/>
      </right>
      <top style="medium">
        <color rgb="FF000000"/>
      </top>
      <bottom/>
      <diagonal/>
    </border>
    <border>
      <left style="medium">
        <color rgb="FF000000"/>
      </left>
      <right/>
      <top style="medium">
        <color rgb="FF000000"/>
      </top>
      <bottom style="hair">
        <color auto="1"/>
      </bottom>
      <diagonal/>
    </border>
    <border>
      <left/>
      <right/>
      <top style="medium">
        <color rgb="FF000000"/>
      </top>
      <bottom style="hair">
        <color auto="1"/>
      </bottom>
      <diagonal/>
    </border>
    <border>
      <left/>
      <right style="thin">
        <color rgb="FF000000"/>
      </right>
      <top style="medium">
        <color rgb="FF000000"/>
      </top>
      <bottom style="hair">
        <color auto="1"/>
      </bottom>
      <diagonal/>
    </border>
    <border>
      <left style="thin">
        <color rgb="FF000000"/>
      </left>
      <right style="thin">
        <color rgb="FF000000"/>
      </right>
      <top style="medium">
        <color rgb="FF000000"/>
      </top>
      <bottom style="hair">
        <color auto="1"/>
      </bottom>
      <diagonal/>
    </border>
    <border>
      <left style="thin">
        <color rgb="FF000000"/>
      </left>
      <right style="medium">
        <color auto="1"/>
      </right>
      <top style="medium">
        <color rgb="FF000000"/>
      </top>
      <bottom style="hair">
        <color auto="1"/>
      </bottom>
      <diagonal/>
    </border>
    <border>
      <left style="medium">
        <color rgb="FF000000"/>
      </left>
      <right/>
      <top style="hair">
        <color auto="1"/>
      </top>
      <bottom style="hair">
        <color auto="1"/>
      </bottom>
      <diagonal/>
    </border>
    <border>
      <left/>
      <right/>
      <top style="hair">
        <color indexed="64"/>
      </top>
      <bottom style="hair">
        <color indexed="64"/>
      </bottom>
      <diagonal/>
    </border>
    <border>
      <left/>
      <right style="thin">
        <color rgb="FF000000"/>
      </right>
      <top style="hair">
        <color auto="1"/>
      </top>
      <bottom style="hair">
        <color indexed="64"/>
      </bottom>
      <diagonal/>
    </border>
    <border>
      <left style="thin">
        <color rgb="FF000000"/>
      </left>
      <right style="thin">
        <color rgb="FF000000"/>
      </right>
      <top style="hair">
        <color auto="1"/>
      </top>
      <bottom style="hair">
        <color auto="1"/>
      </bottom>
      <diagonal/>
    </border>
    <border>
      <left style="thin">
        <color rgb="FF000000"/>
      </left>
      <right style="medium">
        <color auto="1"/>
      </right>
      <top style="hair">
        <color auto="1"/>
      </top>
      <bottom style="hair">
        <color auto="1"/>
      </bottom>
      <diagonal/>
    </border>
    <border>
      <left style="medium">
        <color auto="1"/>
      </left>
      <right style="medium">
        <color rgb="FF000000"/>
      </right>
      <top/>
      <bottom style="medium">
        <color auto="1"/>
      </bottom>
      <diagonal/>
    </border>
    <border>
      <left style="medium">
        <color rgb="FF000000"/>
      </left>
      <right/>
      <top style="hair">
        <color auto="1"/>
      </top>
      <bottom style="medium">
        <color rgb="FF000000"/>
      </bottom>
      <diagonal/>
    </border>
    <border>
      <left/>
      <right/>
      <top style="hair">
        <color auto="1"/>
      </top>
      <bottom style="medium">
        <color rgb="FF000000"/>
      </bottom>
      <diagonal/>
    </border>
    <border>
      <left/>
      <right style="thin">
        <color rgb="FF000000"/>
      </right>
      <top style="hair">
        <color auto="1"/>
      </top>
      <bottom style="medium">
        <color rgb="FF000000"/>
      </bottom>
      <diagonal/>
    </border>
    <border>
      <left style="thin">
        <color rgb="FF000000"/>
      </left>
      <right style="thin">
        <color rgb="FF000000"/>
      </right>
      <top style="hair">
        <color auto="1"/>
      </top>
      <bottom style="medium">
        <color rgb="FF000000"/>
      </bottom>
      <diagonal/>
    </border>
    <border>
      <left style="thin">
        <color rgb="FF000000"/>
      </left>
      <right style="medium">
        <color auto="1"/>
      </right>
      <top style="hair">
        <color auto="1"/>
      </top>
      <bottom style="medium">
        <color rgb="FF000000"/>
      </bottom>
      <diagonal/>
    </border>
    <border>
      <left style="medium">
        <color indexed="64"/>
      </left>
      <right/>
      <top style="hair">
        <color indexed="64"/>
      </top>
      <bottom style="hair">
        <color indexed="64"/>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medium">
        <color indexed="64"/>
      </right>
      <top style="thin">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thin">
        <color rgb="FF000000"/>
      </left>
      <right style="medium">
        <color indexed="64"/>
      </right>
      <top style="hair">
        <color rgb="FF000000"/>
      </top>
      <bottom style="thin">
        <color rgb="FF000000"/>
      </bottom>
      <diagonal/>
    </border>
    <border>
      <left style="thin">
        <color rgb="FF000000"/>
      </left>
      <right/>
      <top/>
      <bottom/>
      <diagonal/>
    </border>
    <border>
      <left style="thin">
        <color rgb="FF000000"/>
      </left>
      <right/>
      <top/>
      <bottom style="hair">
        <color rgb="FF000000"/>
      </bottom>
      <diagonal/>
    </border>
    <border>
      <left/>
      <right/>
      <top/>
      <bottom style="hair">
        <color rgb="FF000000"/>
      </bottom>
      <diagonal/>
    </border>
    <border>
      <left/>
      <right style="thin">
        <color rgb="FF000000"/>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thin">
        <color rgb="FF000000"/>
      </left>
      <right style="medium">
        <color auto="1"/>
      </right>
      <top style="medium">
        <color rgb="FF000000"/>
      </top>
      <bottom style="hair">
        <color rgb="FF000000"/>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style="mediumDashed">
        <color auto="1"/>
      </left>
      <right style="mediumDashed">
        <color auto="1"/>
      </right>
      <top/>
      <bottom style="mediumDashed">
        <color auto="1"/>
      </bottom>
      <diagonal/>
    </border>
    <border>
      <left style="mediumDashed">
        <color auto="1"/>
      </left>
      <right style="mediumDashed">
        <color auto="1"/>
      </right>
      <top/>
      <bottom/>
      <diagonal/>
    </border>
    <border>
      <left style="mediumDashed">
        <color auto="1"/>
      </left>
      <right style="mediumDashed">
        <color auto="1"/>
      </right>
      <top style="mediumDashed">
        <color auto="1"/>
      </top>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hair">
        <color auto="1"/>
      </right>
      <top style="hair">
        <color auto="1"/>
      </top>
      <bottom style="hair">
        <color auto="1"/>
      </bottom>
      <diagonal/>
    </border>
    <border>
      <left style="thin">
        <color auto="1"/>
      </left>
      <right/>
      <top/>
      <bottom style="thin">
        <color auto="1"/>
      </bottom>
      <diagonal/>
    </border>
    <border>
      <left style="thin">
        <color auto="1"/>
      </left>
      <right/>
      <top/>
      <bottom/>
      <diagonal/>
    </border>
    <border>
      <left/>
      <right/>
      <top/>
      <bottom style="mediumDashDot">
        <color indexed="64"/>
      </bottom>
      <diagonal/>
    </border>
    <border>
      <left style="mediumDashed">
        <color auto="1"/>
      </left>
      <right/>
      <top/>
      <bottom style="hair">
        <color auto="1"/>
      </bottom>
      <diagonal/>
    </border>
    <border>
      <left/>
      <right style="mediumDashed">
        <color auto="1"/>
      </right>
      <top/>
      <bottom style="hair">
        <color auto="1"/>
      </bottom>
      <diagonal/>
    </border>
    <border>
      <left style="thin">
        <color auto="1"/>
      </left>
      <right style="medium">
        <color auto="1"/>
      </right>
      <top style="thin">
        <color auto="1"/>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37"/>
      </top>
      <bottom/>
      <diagonal/>
    </border>
    <border>
      <left/>
      <right/>
      <top style="thin">
        <color indexed="37"/>
      </top>
      <bottom/>
      <diagonal/>
    </border>
    <border>
      <left/>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style="medium">
        <color indexed="64"/>
      </left>
      <right style="hair">
        <color indexed="64"/>
      </right>
      <top style="thin">
        <color auto="1"/>
      </top>
      <bottom/>
      <diagonal/>
    </border>
    <border>
      <left style="mediumDashed">
        <color indexed="64"/>
      </left>
      <right style="thin">
        <color auto="1"/>
      </right>
      <top/>
      <bottom/>
      <diagonal/>
    </border>
    <border>
      <left style="thin">
        <color auto="1"/>
      </left>
      <right style="thin">
        <color auto="1"/>
      </right>
      <top style="thin">
        <color auto="1"/>
      </top>
      <bottom style="thin">
        <color auto="1"/>
      </bottom>
      <diagonal/>
    </border>
    <border>
      <left style="mediumDashed">
        <color indexed="64"/>
      </left>
      <right style="thin">
        <color auto="1"/>
      </right>
      <top/>
      <bottom style="mediumDashed">
        <color indexed="64"/>
      </bottom>
      <diagonal/>
    </border>
    <border>
      <left/>
      <right style="thin">
        <color indexed="64"/>
      </right>
      <top style="thin">
        <color indexed="64"/>
      </top>
      <bottom/>
      <diagonal/>
    </border>
    <border>
      <left style="thin">
        <color auto="1"/>
      </left>
      <right/>
      <top style="hair">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style="hair">
        <color auto="1"/>
      </top>
      <bottom/>
      <diagonal/>
    </border>
    <border>
      <left style="thin">
        <color indexed="64"/>
      </left>
      <right style="thin">
        <color auto="1"/>
      </right>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diagonal/>
    </border>
    <border>
      <left style="thin">
        <color auto="1"/>
      </left>
      <right style="medium">
        <color auto="1"/>
      </right>
      <top style="thin">
        <color auto="1"/>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auto="1"/>
      </left>
      <right/>
      <top/>
      <bottom style="medium">
        <color rgb="FF000000"/>
      </bottom>
      <diagonal/>
    </border>
    <border>
      <left/>
      <right style="medium">
        <color rgb="FF000000"/>
      </right>
      <top/>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indexed="64"/>
      </left>
      <right style="thin">
        <color indexed="64"/>
      </right>
      <top style="medium">
        <color rgb="FF000000"/>
      </top>
      <bottom/>
      <diagonal/>
    </border>
    <border>
      <left style="thin">
        <color indexed="64"/>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top style="medium">
        <color rgb="FF000000"/>
      </top>
      <bottom/>
      <diagonal/>
    </border>
    <border>
      <left/>
      <right style="thin">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right style="thin">
        <color rgb="FF000000"/>
      </right>
      <top/>
      <bottom style="thin">
        <color indexed="64"/>
      </bottom>
      <diagonal/>
    </border>
    <border>
      <left style="thin">
        <color rgb="FF000000"/>
      </left>
      <right style="medium">
        <color auto="1"/>
      </right>
      <top/>
      <bottom style="thin">
        <color rgb="FF000000"/>
      </bottom>
      <diagonal/>
    </border>
    <border>
      <left/>
      <right style="medium">
        <color indexed="64"/>
      </right>
      <top/>
      <bottom style="thin">
        <color rgb="FF000000"/>
      </bottom>
      <diagonal/>
    </border>
    <border>
      <left style="medium">
        <color indexed="64"/>
      </left>
      <right style="medium">
        <color rgb="FF000000"/>
      </right>
      <top/>
      <bottom style="thin">
        <color rgb="FF000000"/>
      </bottom>
      <diagonal/>
    </border>
    <border>
      <left style="thin">
        <color rgb="FF000000"/>
      </left>
      <right style="medium">
        <color auto="1"/>
      </right>
      <top/>
      <bottom/>
      <diagonal/>
    </border>
    <border>
      <left style="medium">
        <color indexed="64"/>
      </left>
      <right style="medium">
        <color indexed="64"/>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indexed="64"/>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diagonal/>
    </border>
    <border>
      <left/>
      <right style="medium">
        <color rgb="FF000000"/>
      </right>
      <top style="thin">
        <color indexed="64"/>
      </top>
      <bottom style="thin">
        <color indexed="64"/>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style="thin">
        <color rgb="FF000000"/>
      </right>
      <top/>
      <bottom/>
      <diagonal/>
    </border>
    <border>
      <left style="thin">
        <color rgb="FF000000"/>
      </left>
      <right/>
      <top/>
      <bottom style="medium">
        <color rgb="FF000000"/>
      </bottom>
      <diagonal/>
    </border>
    <border>
      <left style="thin">
        <color indexed="64"/>
      </left>
      <right/>
      <top/>
      <bottom style="thin">
        <color rgb="FF000000"/>
      </bottom>
      <diagonal/>
    </border>
    <border>
      <left style="medium">
        <color rgb="FF000000"/>
      </left>
      <right style="thin">
        <color rgb="FF000000"/>
      </right>
      <top/>
      <bottom style="thin">
        <color indexed="64"/>
      </bottom>
      <diagonal/>
    </border>
    <border>
      <left style="medium">
        <color rgb="FF000000"/>
      </left>
      <right style="thin">
        <color rgb="FF000000"/>
      </right>
      <top style="thin">
        <color indexed="64"/>
      </top>
      <bottom/>
      <diagonal/>
    </border>
    <border>
      <left/>
      <right/>
      <top style="thin">
        <color indexed="64"/>
      </top>
      <bottom style="thin">
        <color rgb="FF000000"/>
      </bottom>
      <diagonal/>
    </border>
    <border>
      <left style="medium">
        <color auto="1"/>
      </left>
      <right style="thin">
        <color auto="1"/>
      </right>
      <top/>
      <bottom style="medium">
        <color auto="1"/>
      </bottom>
      <diagonal/>
    </border>
    <border>
      <left style="thin">
        <color rgb="FF000000"/>
      </left>
      <right/>
      <top/>
      <bottom style="medium">
        <color indexed="64"/>
      </bottom>
      <diagonal/>
    </border>
    <border>
      <left/>
      <right style="thin">
        <color rgb="FF000000"/>
      </right>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indexed="8"/>
      </right>
      <top/>
      <bottom/>
      <diagonal/>
    </border>
    <border>
      <left/>
      <right style="medium">
        <color indexed="8"/>
      </right>
      <top/>
      <bottom/>
      <diagonal/>
    </border>
    <border>
      <left style="medium">
        <color rgb="FF800000"/>
      </left>
      <right/>
      <top/>
      <bottom/>
      <diagonal/>
    </border>
    <border>
      <left/>
      <right/>
      <top/>
      <bottom style="medium">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right style="medium">
        <color auto="1"/>
      </right>
      <top/>
      <bottom style="thin">
        <color auto="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auto="1"/>
      </left>
      <right/>
      <top/>
      <bottom style="thin">
        <color auto="1"/>
      </bottom>
      <diagonal/>
    </border>
    <border>
      <left style="medium">
        <color rgb="FF0070C0"/>
      </left>
      <right/>
      <top/>
      <bottom/>
      <diagonal/>
    </border>
    <border>
      <left style="medium">
        <color rgb="FFC00000"/>
      </left>
      <right style="medium">
        <color rgb="FFC00000"/>
      </right>
      <top style="medium">
        <color rgb="FFC00000"/>
      </top>
      <bottom/>
      <diagonal/>
    </border>
    <border>
      <left style="medium">
        <color rgb="FFC00000"/>
      </left>
      <right style="medium">
        <color rgb="FFC00000"/>
      </right>
      <top/>
      <bottom style="medium">
        <color rgb="FFC00000"/>
      </bottom>
      <diagonal/>
    </border>
    <border>
      <left style="medium">
        <color rgb="FFC00000"/>
      </left>
      <right/>
      <top style="medium">
        <color rgb="FFC00000"/>
      </top>
      <bottom/>
      <diagonal/>
    </border>
    <border>
      <left style="medium">
        <color rgb="FF7030A0"/>
      </left>
      <right style="medium">
        <color rgb="FF7030A0"/>
      </right>
      <top style="medium">
        <color rgb="FF7030A0"/>
      </top>
      <bottom style="medium">
        <color rgb="FF7030A0"/>
      </bottom>
      <diagonal/>
    </border>
    <border>
      <left/>
      <right/>
      <top/>
      <bottom style="medium">
        <color rgb="FF7030A0"/>
      </bottom>
      <diagonal/>
    </border>
    <border>
      <left style="medium">
        <color rgb="FFC00000"/>
      </left>
      <right/>
      <top/>
      <bottom/>
      <diagonal/>
    </border>
    <border>
      <left style="medium">
        <color indexed="64"/>
      </left>
      <right style="thin">
        <color rgb="FF7030A0"/>
      </right>
      <top/>
      <bottom/>
      <diagonal/>
    </border>
    <border>
      <left style="thin">
        <color rgb="FF7030A0"/>
      </left>
      <right style="medium">
        <color indexed="64"/>
      </right>
      <top/>
      <bottom/>
      <diagonal/>
    </border>
    <border>
      <left style="medium">
        <color indexed="64"/>
      </left>
      <right style="thin">
        <color rgb="FF7030A0"/>
      </right>
      <top/>
      <bottom style="thin">
        <color auto="1"/>
      </bottom>
      <diagonal/>
    </border>
    <border>
      <left style="thin">
        <color rgb="FF7030A0"/>
      </left>
      <right style="medium">
        <color indexed="64"/>
      </right>
      <top/>
      <bottom style="thin">
        <color indexed="64"/>
      </bottom>
      <diagonal/>
    </border>
    <border>
      <left style="thin">
        <color auto="1"/>
      </left>
      <right style="medium">
        <color rgb="FF0070C0"/>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8"/>
      </left>
      <right/>
      <top/>
      <bottom/>
      <diagonal/>
    </border>
    <border>
      <left/>
      <right style="medium">
        <color indexed="53"/>
      </right>
      <top/>
      <bottom/>
      <diagonal/>
    </border>
    <border>
      <left style="medium">
        <color indexed="8"/>
      </left>
      <right/>
      <top style="medium">
        <color indexed="8"/>
      </top>
      <bottom/>
      <diagonal/>
    </border>
    <border>
      <left/>
      <right/>
      <top style="medium">
        <color indexed="8"/>
      </top>
      <bottom/>
      <diagonal/>
    </border>
    <border>
      <left/>
      <right style="medium">
        <color rgb="FFC00000"/>
      </right>
      <top style="medium">
        <color rgb="FFC00000"/>
      </top>
      <bottom/>
      <diagonal/>
    </border>
    <border>
      <left style="medium">
        <color rgb="FFC00000"/>
      </left>
      <right/>
      <top/>
      <bottom style="medium">
        <color rgb="FFC00000"/>
      </bottom>
      <diagonal/>
    </border>
    <border>
      <left/>
      <right style="medium">
        <color rgb="FFC00000"/>
      </right>
      <top/>
      <bottom style="medium">
        <color rgb="FFC00000"/>
      </bottom>
      <diagonal/>
    </border>
    <border>
      <left style="medium">
        <color auto="1"/>
      </left>
      <right/>
      <top/>
      <bottom/>
      <diagonal/>
    </border>
    <border>
      <left style="thick">
        <color rgb="FFC00000"/>
      </left>
      <right style="thick">
        <color rgb="FFC00000"/>
      </right>
      <top/>
      <bottom/>
      <diagonal/>
    </border>
    <border>
      <left style="medium">
        <color indexed="64"/>
      </left>
      <right/>
      <top/>
      <bottom style="thin">
        <color theme="9" tint="0.39991454817346722"/>
      </bottom>
      <diagonal/>
    </border>
    <border>
      <left/>
      <right/>
      <top/>
      <bottom style="thin">
        <color theme="9" tint="0.39991454817346722"/>
      </bottom>
      <diagonal/>
    </border>
    <border>
      <left style="thin">
        <color auto="1"/>
      </left>
      <right/>
      <top/>
      <bottom style="thin">
        <color theme="9" tint="0.39991454817346722"/>
      </bottom>
      <diagonal/>
    </border>
    <border>
      <left/>
      <right style="thin">
        <color auto="1"/>
      </right>
      <top/>
      <bottom style="thin">
        <color theme="9" tint="0.39991454817346722"/>
      </bottom>
      <diagonal/>
    </border>
    <border>
      <left style="thick">
        <color rgb="FFC00000"/>
      </left>
      <right style="thick">
        <color rgb="FFC00000"/>
      </right>
      <top style="hair">
        <color indexed="64"/>
      </top>
      <bottom style="hair">
        <color indexed="64"/>
      </bottom>
      <diagonal/>
    </border>
    <border>
      <left style="medium">
        <color auto="1"/>
      </left>
      <right/>
      <top style="thin">
        <color theme="9" tint="0.39991454817346722"/>
      </top>
      <bottom style="thin">
        <color theme="9" tint="0.39991454817346722"/>
      </bottom>
      <diagonal/>
    </border>
    <border>
      <left style="thin">
        <color auto="1"/>
      </left>
      <right/>
      <top style="thin">
        <color theme="9" tint="0.39991454817346722"/>
      </top>
      <bottom style="thin">
        <color theme="9" tint="0.39991454817346722"/>
      </bottom>
      <diagonal/>
    </border>
    <border>
      <left/>
      <right style="thin">
        <color auto="1"/>
      </right>
      <top style="thin">
        <color theme="9" tint="0.39991454817346722"/>
      </top>
      <bottom style="thin">
        <color theme="9" tint="0.39991454817346722"/>
      </bottom>
      <diagonal/>
    </border>
    <border>
      <left/>
      <right style="medium">
        <color indexed="64"/>
      </right>
      <top style="thin">
        <color theme="9" tint="0.39991454817346722"/>
      </top>
      <bottom style="thin">
        <color theme="9" tint="0.39991454817346722"/>
      </bottom>
      <diagonal/>
    </border>
    <border>
      <left style="medium">
        <color rgb="FFC00000"/>
      </left>
      <right style="medium">
        <color rgb="FFC00000"/>
      </right>
      <top/>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indexed="64"/>
      </left>
      <right style="thin">
        <color indexed="64"/>
      </right>
      <top/>
      <bottom style="medium">
        <color auto="1"/>
      </bottom>
      <diagonal/>
    </border>
    <border>
      <left/>
      <right style="thin">
        <color auto="1"/>
      </right>
      <top style="thin">
        <color theme="9" tint="0.39991454817346722"/>
      </top>
      <bottom style="medium">
        <color auto="1"/>
      </bottom>
      <diagonal/>
    </border>
    <border>
      <left style="medium">
        <color auto="1"/>
      </left>
      <right/>
      <top style="thin">
        <color theme="9" tint="0.39991454817346722"/>
      </top>
      <bottom style="medium">
        <color auto="1"/>
      </bottom>
      <diagonal/>
    </border>
    <border>
      <left/>
      <right/>
      <top style="thin">
        <color theme="9" tint="0.39991454817346722"/>
      </top>
      <bottom style="medium">
        <color auto="1"/>
      </bottom>
      <diagonal/>
    </border>
    <border>
      <left style="thin">
        <color auto="1"/>
      </left>
      <right/>
      <top style="thin">
        <color theme="9" tint="0.39991454817346722"/>
      </top>
      <bottom style="medium">
        <color auto="1"/>
      </bottom>
      <diagonal/>
    </border>
    <border>
      <left/>
      <right style="medium">
        <color indexed="64"/>
      </right>
      <top style="thin">
        <color theme="9" tint="0.39991454817346722"/>
      </top>
      <bottom style="medium">
        <color auto="1"/>
      </bottom>
      <diagonal/>
    </border>
    <border>
      <left style="medium">
        <color indexed="64"/>
      </left>
      <right style="hair">
        <color indexed="64"/>
      </right>
      <top/>
      <bottom style="medium">
        <color auto="1"/>
      </bottom>
      <diagonal/>
    </border>
    <border>
      <left/>
      <right style="medium">
        <color rgb="FFC00000"/>
      </right>
      <top/>
      <bottom/>
      <diagonal/>
    </border>
    <border>
      <left/>
      <right/>
      <top/>
      <bottom style="medium">
        <color rgb="FFDFDFDF"/>
      </bottom>
      <diagonal/>
    </border>
    <border>
      <left style="thin">
        <color rgb="FF000000"/>
      </left>
      <right style="thin">
        <color rgb="FF000000"/>
      </right>
      <top style="hair">
        <color auto="1"/>
      </top>
      <bottom style="thin">
        <color rgb="FF000000"/>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medium">
        <color indexed="8"/>
      </top>
      <bottom style="hair">
        <color indexed="64"/>
      </bottom>
      <diagonal/>
    </border>
    <border>
      <left style="hair">
        <color indexed="64"/>
      </left>
      <right/>
      <top style="medium">
        <color indexed="8"/>
      </top>
      <bottom/>
      <diagonal/>
    </border>
    <border>
      <left style="thin">
        <color indexed="64"/>
      </left>
      <right style="medium">
        <color auto="1"/>
      </right>
      <top/>
      <bottom/>
      <diagonal/>
    </border>
    <border>
      <left style="thin">
        <color indexed="64"/>
      </left>
      <right style="medium">
        <color auto="1"/>
      </right>
      <top style="hair">
        <color indexed="64"/>
      </top>
      <bottom/>
      <diagonal/>
    </border>
    <border>
      <left style="thick">
        <color rgb="FFF4B183"/>
      </left>
      <right style="thick">
        <color rgb="FFF4B183"/>
      </right>
      <top style="thick">
        <color rgb="FFF4B183"/>
      </top>
      <bottom style="thick">
        <color rgb="FFF4B18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B2B2B2"/>
      </top>
      <bottom style="thin">
        <color rgb="FFB2B2B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ck">
        <color rgb="FFF4B183"/>
      </right>
      <top style="thick">
        <color rgb="FFF4B183"/>
      </top>
      <bottom style="thick">
        <color rgb="FFF4B183"/>
      </bottom>
      <diagonal/>
    </border>
    <border>
      <left/>
      <right/>
      <top/>
      <bottom style="thin">
        <color theme="0" tint="-0.499984740745262"/>
      </bottom>
      <diagonal/>
    </border>
    <border>
      <left/>
      <right/>
      <top/>
      <bottom style="thin">
        <color rgb="FFB2B2B2"/>
      </bottom>
      <diagonal/>
    </border>
    <border>
      <left/>
      <right/>
      <top style="medium">
        <color theme="1"/>
      </top>
      <bottom/>
      <diagonal/>
    </border>
    <border>
      <left/>
      <right/>
      <top/>
      <bottom style="medium">
        <color theme="1"/>
      </bottom>
      <diagonal/>
    </border>
    <border>
      <left/>
      <right style="thin">
        <color indexed="64"/>
      </right>
      <top style="hair">
        <color indexed="64"/>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indexed="29"/>
      </left>
      <right/>
      <top style="medium">
        <color indexed="29"/>
      </top>
      <bottom/>
      <diagonal/>
    </border>
    <border>
      <left/>
      <right style="thick">
        <color indexed="10"/>
      </right>
      <top style="medium">
        <color indexed="29"/>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ck">
        <color rgb="FFF4B18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29"/>
      </left>
      <right/>
      <top style="thin">
        <color indexed="29"/>
      </top>
      <bottom style="thick">
        <color indexed="10"/>
      </bottom>
      <diagonal/>
    </border>
    <border>
      <left/>
      <right style="thick">
        <color indexed="10"/>
      </right>
      <top style="thin">
        <color indexed="29"/>
      </top>
      <bottom style="thick">
        <color indexed="1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auto="1"/>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rgb="FFFF0000"/>
      </left>
      <right style="medium">
        <color indexed="64"/>
      </right>
      <top style="hair">
        <color rgb="FFFF0000"/>
      </top>
      <bottom style="hair">
        <color rgb="FFFF0000"/>
      </bottom>
      <diagonal/>
    </border>
    <border>
      <left style="hair">
        <color indexed="12"/>
      </left>
      <right style="hair">
        <color indexed="12"/>
      </right>
      <top style="hair">
        <color indexed="12"/>
      </top>
      <bottom style="hair">
        <color indexed="12"/>
      </bottom>
      <diagonal/>
    </border>
    <border>
      <left/>
      <right/>
      <top style="hair">
        <color indexed="12"/>
      </top>
      <bottom/>
      <diagonal/>
    </border>
    <border>
      <left style="hair">
        <color indexed="12"/>
      </left>
      <right style="hair">
        <color indexed="12"/>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medium">
        <color indexed="8"/>
      </left>
      <right style="medium">
        <color indexed="8"/>
      </right>
      <top style="medium">
        <color indexed="8"/>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64"/>
      </right>
      <top/>
      <bottom style="medium">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style="thin">
        <color indexed="8"/>
      </left>
      <right/>
      <top/>
      <bottom style="thin">
        <color indexed="8"/>
      </bottom>
      <diagonal/>
    </border>
    <border>
      <left style="thin">
        <color auto="1"/>
      </left>
      <right/>
      <top style="thin">
        <color auto="1"/>
      </top>
      <bottom/>
      <diagonal/>
    </border>
    <border>
      <left/>
      <right style="medium">
        <color auto="1"/>
      </right>
      <top/>
      <bottom style="medium">
        <color auto="1"/>
      </bottom>
      <diagonal/>
    </border>
    <border>
      <left/>
      <right style="medium">
        <color indexed="64"/>
      </right>
      <top/>
      <bottom style="hair">
        <color indexed="64"/>
      </bottom>
      <diagonal/>
    </border>
    <border>
      <left/>
      <right/>
      <top style="thin">
        <color indexed="64"/>
      </top>
      <bottom/>
      <diagonal/>
    </border>
    <border>
      <left/>
      <right style="thin">
        <color auto="1"/>
      </right>
      <top/>
      <bottom style="thin">
        <color auto="1"/>
      </bottom>
      <diagonal/>
    </border>
    <border>
      <left/>
      <right/>
      <top/>
      <bottom style="thin">
        <color auto="1"/>
      </bottom>
      <diagonal/>
    </border>
    <border>
      <left style="medium">
        <color indexed="64"/>
      </left>
      <right style="medium">
        <color indexed="64"/>
      </right>
      <top style="thin">
        <color indexed="64"/>
      </top>
      <bottom/>
      <diagonal/>
    </border>
    <border>
      <left style="medium">
        <color indexed="64"/>
      </left>
      <right style="medium">
        <color rgb="FF7030A0"/>
      </right>
      <top style="medium">
        <color rgb="FF7030A0"/>
      </top>
      <bottom style="medium">
        <color rgb="FF7030A0"/>
      </bottom>
      <diagonal/>
    </border>
    <border>
      <left/>
      <right style="medium">
        <color indexed="64"/>
      </right>
      <top/>
      <bottom style="medium">
        <color rgb="FF7030A0"/>
      </bottom>
      <diagonal/>
    </border>
    <border>
      <left style="medium">
        <color auto="1"/>
      </left>
      <right style="medium">
        <color auto="1"/>
      </right>
      <top/>
      <bottom style="medium">
        <color auto="1"/>
      </bottom>
      <diagonal/>
    </border>
    <border>
      <left/>
      <right style="thick">
        <color indexed="64"/>
      </right>
      <top style="thin">
        <color indexed="64"/>
      </top>
      <bottom/>
      <diagonal/>
    </border>
    <border>
      <left/>
      <right/>
      <top style="medium">
        <color indexed="64"/>
      </top>
      <bottom/>
      <diagonal/>
    </border>
    <border>
      <left style="thick">
        <color indexed="64"/>
      </left>
      <right/>
      <top style="dashDot">
        <color indexed="64"/>
      </top>
      <bottom/>
      <diagonal/>
    </border>
    <border>
      <left/>
      <right style="thick">
        <color indexed="64"/>
      </right>
      <top style="dashDot">
        <color indexed="64"/>
      </top>
      <bottom/>
      <diagonal/>
    </border>
    <border>
      <left style="thin">
        <color indexed="64"/>
      </left>
      <right/>
      <top/>
      <bottom style="dashDot">
        <color indexed="64"/>
      </bottom>
      <diagonal/>
    </border>
    <border>
      <left style="medium">
        <color indexed="64"/>
      </left>
      <right style="thin">
        <color auto="1"/>
      </right>
      <top style="medium">
        <color indexed="64"/>
      </top>
      <bottom/>
      <diagonal/>
    </border>
    <border>
      <left style="thin">
        <color auto="1"/>
      </left>
      <right/>
      <top style="medium">
        <color auto="1"/>
      </top>
      <bottom/>
      <diagonal/>
    </border>
    <border>
      <left/>
      <right style="medium">
        <color auto="1"/>
      </right>
      <top style="medium">
        <color auto="1"/>
      </top>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style="medium">
        <color indexed="64"/>
      </right>
      <top/>
      <bottom style="thin">
        <color auto="1"/>
      </bottom>
      <diagonal/>
    </border>
    <border>
      <left/>
      <right style="medium">
        <color indexed="64"/>
      </right>
      <top/>
      <bottom style="hair">
        <color theme="0" tint="-0.24994659260841701"/>
      </bottom>
      <diagonal/>
    </border>
    <border>
      <left/>
      <right style="medium">
        <color indexed="64"/>
      </right>
      <top style="hair">
        <color theme="0" tint="-0.24994659260841701"/>
      </top>
      <bottom style="hair">
        <color theme="0" tint="-0.24994659260841701"/>
      </bottom>
      <diagonal/>
    </border>
    <border>
      <left style="medium">
        <color indexed="64"/>
      </left>
      <right/>
      <top style="medium">
        <color indexed="64"/>
      </top>
      <bottom/>
      <diagonal/>
    </border>
    <border>
      <left/>
      <right style="medium">
        <color indexed="64"/>
      </right>
      <top style="hair">
        <color theme="0" tint="-0.24994659260841701"/>
      </top>
      <bottom/>
      <diagonal/>
    </border>
  </borders>
  <cellStyleXfs count="79">
    <xf numFmtId="0" fontId="0" fillId="0" borderId="0"/>
    <xf numFmtId="0" fontId="12" fillId="0" borderId="0"/>
    <xf numFmtId="0" fontId="13" fillId="0" borderId="0"/>
    <xf numFmtId="0" fontId="20" fillId="0" borderId="0" applyNumberFormat="0" applyFill="0" applyBorder="0" applyAlignment="0" applyProtection="0"/>
    <xf numFmtId="0" fontId="21" fillId="0" borderId="0"/>
    <xf numFmtId="0" fontId="13" fillId="0" borderId="0"/>
    <xf numFmtId="0" fontId="64" fillId="0" borderId="0"/>
    <xf numFmtId="0" fontId="21" fillId="0" borderId="0"/>
    <xf numFmtId="0" fontId="13" fillId="0" borderId="0"/>
    <xf numFmtId="0" fontId="21" fillId="0" borderId="0"/>
    <xf numFmtId="0" fontId="64" fillId="0" borderId="0"/>
    <xf numFmtId="0" fontId="147" fillId="0" borderId="0" applyNumberFormat="0" applyFill="0" applyBorder="0" applyAlignment="0" applyProtection="0">
      <alignment vertical="top"/>
      <protection locked="0"/>
    </xf>
    <xf numFmtId="0" fontId="13" fillId="0" borderId="0"/>
    <xf numFmtId="0" fontId="147" fillId="0" borderId="0" applyNumberFormat="0" applyFill="0" applyBorder="0" applyAlignment="0" applyProtection="0"/>
    <xf numFmtId="0" fontId="20" fillId="0" borderId="0" applyNumberFormat="0" applyFill="0" applyBorder="0" applyAlignment="0" applyProtection="0"/>
    <xf numFmtId="0" fontId="220" fillId="0" borderId="0"/>
    <xf numFmtId="0" fontId="13" fillId="0" borderId="0"/>
    <xf numFmtId="0" fontId="225" fillId="0" borderId="0" applyNumberFormat="0" applyFill="0" applyBorder="0" applyAlignment="0" applyProtection="0"/>
    <xf numFmtId="0" fontId="232" fillId="0" borderId="0"/>
    <xf numFmtId="0" fontId="218" fillId="0" borderId="0" applyNumberFormat="0" applyFill="0" applyBorder="0" applyAlignment="0" applyProtection="0"/>
    <xf numFmtId="0" fontId="147" fillId="0" borderId="0" applyNumberFormat="0" applyFill="0" applyBorder="0" applyAlignment="0" applyProtection="0"/>
    <xf numFmtId="0" fontId="232" fillId="0" borderId="0"/>
    <xf numFmtId="0" fontId="288" fillId="0" borderId="0"/>
    <xf numFmtId="0" fontId="64" fillId="0" borderId="0"/>
    <xf numFmtId="0" fontId="12" fillId="0" borderId="0"/>
    <xf numFmtId="0" fontId="13" fillId="0" borderId="0"/>
    <xf numFmtId="0" fontId="403" fillId="0" borderId="0"/>
    <xf numFmtId="0" fontId="147" fillId="0" borderId="0" applyNumberFormat="0" applyFill="0" applyBorder="0" applyAlignment="0" applyProtection="0">
      <alignment vertical="top"/>
      <protection locked="0"/>
    </xf>
    <xf numFmtId="0" fontId="13" fillId="0" borderId="0"/>
    <xf numFmtId="0" fontId="13" fillId="0" borderId="0"/>
    <xf numFmtId="0" fontId="9" fillId="0" borderId="0"/>
    <xf numFmtId="0" fontId="13" fillId="0" borderId="0"/>
    <xf numFmtId="0" fontId="232" fillId="0" borderId="0"/>
    <xf numFmtId="0" fontId="13" fillId="0" borderId="0"/>
    <xf numFmtId="0" fontId="13" fillId="0" borderId="0"/>
    <xf numFmtId="0" fontId="20" fillId="0" borderId="0" applyNumberFormat="0" applyFill="0" applyBorder="0" applyAlignment="0" applyProtection="0"/>
    <xf numFmtId="0" fontId="12" fillId="0" borderId="0"/>
    <xf numFmtId="0" fontId="13" fillId="0" borderId="0"/>
    <xf numFmtId="0" fontId="13" fillId="0" borderId="0"/>
    <xf numFmtId="0" fontId="218" fillId="0" borderId="0" applyNumberFormat="0" applyFill="0" applyBorder="0" applyAlignment="0" applyProtection="0"/>
    <xf numFmtId="0" fontId="147" fillId="0" borderId="0" applyNumberFormat="0" applyFill="0" applyBorder="0" applyAlignment="0" applyProtection="0">
      <alignment vertical="top"/>
      <protection locked="0"/>
    </xf>
    <xf numFmtId="0" fontId="12" fillId="0" borderId="0"/>
    <xf numFmtId="0" fontId="218" fillId="0" borderId="0" applyNumberFormat="0" applyFill="0" applyBorder="0" applyAlignment="0" applyProtection="0"/>
    <xf numFmtId="0" fontId="147" fillId="0" borderId="0" applyNumberFormat="0" applyFill="0" applyBorder="0" applyAlignment="0" applyProtection="0">
      <alignment vertical="top"/>
      <protection locked="0"/>
    </xf>
    <xf numFmtId="0" fontId="147" fillId="0" borderId="0" applyNumberFormat="0" applyFill="0" applyBorder="0" applyAlignment="0" applyProtection="0"/>
    <xf numFmtId="0" fontId="13" fillId="0" borderId="0"/>
    <xf numFmtId="0" fontId="9" fillId="0" borderId="0"/>
    <xf numFmtId="0" fontId="9" fillId="0" borderId="0"/>
    <xf numFmtId="0" fontId="595" fillId="0" borderId="0"/>
    <xf numFmtId="0" fontId="254" fillId="96" borderId="0" applyNumberFormat="0" applyBorder="0" applyProtection="0"/>
    <xf numFmtId="0" fontId="12" fillId="33" borderId="468"/>
    <xf numFmtId="0" fontId="12" fillId="33" borderId="0"/>
    <xf numFmtId="0" fontId="12" fillId="14" borderId="463"/>
    <xf numFmtId="0" fontId="12" fillId="33" borderId="0"/>
    <xf numFmtId="0" fontId="12" fillId="33" borderId="468"/>
    <xf numFmtId="0" fontId="129" fillId="0" borderId="0" applyNumberFormat="0" applyFill="0" applyBorder="0" applyAlignment="0" applyProtection="0"/>
    <xf numFmtId="0" fontId="254" fillId="0" borderId="0"/>
    <xf numFmtId="0" fontId="12" fillId="0" borderId="0"/>
    <xf numFmtId="0" fontId="12" fillId="33" borderId="0"/>
    <xf numFmtId="0" fontId="12" fillId="14" borderId="463"/>
    <xf numFmtId="0" fontId="12" fillId="0" borderId="0"/>
    <xf numFmtId="0" fontId="12" fillId="14" borderId="463"/>
    <xf numFmtId="164" fontId="13" fillId="0" borderId="0" applyFont="0" applyFill="0" applyBorder="0" applyAlignment="0" applyProtection="0"/>
    <xf numFmtId="0" fontId="8" fillId="14" borderId="463"/>
    <xf numFmtId="0" fontId="8" fillId="33" borderId="0"/>
    <xf numFmtId="0" fontId="8" fillId="33" borderId="468"/>
    <xf numFmtId="0" fontId="7" fillId="0" borderId="0"/>
    <xf numFmtId="0" fontId="7" fillId="0" borderId="0"/>
    <xf numFmtId="0" fontId="232" fillId="0" borderId="0"/>
    <xf numFmtId="0" fontId="6" fillId="0" borderId="0"/>
    <xf numFmtId="0" fontId="218" fillId="0" borderId="0" applyNumberFormat="0" applyFill="0" applyBorder="0" applyAlignment="0" applyProtection="0"/>
    <xf numFmtId="0" fontId="147" fillId="0" borderId="0" applyNumberFormat="0" applyFill="0" applyBorder="0" applyAlignment="0" applyProtection="0"/>
    <xf numFmtId="0" fontId="6" fillId="0" borderId="0"/>
    <xf numFmtId="0" fontId="5" fillId="0" borderId="0"/>
    <xf numFmtId="0" fontId="5" fillId="0" borderId="0"/>
    <xf numFmtId="0" fontId="3" fillId="0" borderId="0"/>
    <xf numFmtId="0" fontId="3" fillId="0" borderId="0"/>
    <xf numFmtId="0" fontId="2" fillId="0" borderId="0"/>
    <xf numFmtId="0" fontId="1" fillId="0" borderId="0"/>
  </cellStyleXfs>
  <cellXfs count="7272">
    <xf numFmtId="0" fontId="0" fillId="0" borderId="0" xfId="0"/>
    <xf numFmtId="0" fontId="12" fillId="0" borderId="0" xfId="1"/>
    <xf numFmtId="0" fontId="12" fillId="2" borderId="0" xfId="1" applyFill="1"/>
    <xf numFmtId="0" fontId="13" fillId="2" borderId="0" xfId="2" applyFill="1" applyProtection="1">
      <protection hidden="1"/>
    </xf>
    <xf numFmtId="0" fontId="12" fillId="3" borderId="0" xfId="1" applyFill="1"/>
    <xf numFmtId="0" fontId="13" fillId="3" borderId="0" xfId="2" applyFill="1" applyProtection="1">
      <protection hidden="1"/>
    </xf>
    <xf numFmtId="0" fontId="14" fillId="3" borderId="0" xfId="2" applyFont="1" applyFill="1" applyAlignment="1" applyProtection="1">
      <alignment vertical="center"/>
      <protection hidden="1"/>
    </xf>
    <xf numFmtId="0" fontId="15" fillId="2" borderId="0" xfId="2" applyFont="1" applyFill="1" applyAlignment="1" applyProtection="1">
      <alignment horizontal="left" vertical="center"/>
      <protection hidden="1"/>
    </xf>
    <xf numFmtId="0" fontId="13" fillId="4" borderId="0" xfId="2" applyFill="1" applyProtection="1">
      <protection hidden="1"/>
    </xf>
    <xf numFmtId="0" fontId="12" fillId="4" borderId="0" xfId="1" applyFill="1"/>
    <xf numFmtId="165" fontId="23" fillId="8" borderId="13" xfId="5" applyNumberFormat="1" applyFont="1" applyFill="1" applyBorder="1" applyAlignment="1">
      <alignment horizontal="left" vertical="center"/>
    </xf>
    <xf numFmtId="165" fontId="23" fillId="8" borderId="16" xfId="5" applyNumberFormat="1" applyFont="1" applyFill="1" applyBorder="1" applyAlignment="1">
      <alignment vertical="center"/>
    </xf>
    <xf numFmtId="166" fontId="25" fillId="4" borderId="12" xfId="5" applyNumberFormat="1" applyFont="1" applyFill="1" applyBorder="1" applyAlignment="1">
      <alignment vertical="center"/>
    </xf>
    <xf numFmtId="166" fontId="26" fillId="4" borderId="0" xfId="5" applyNumberFormat="1" applyFont="1" applyFill="1" applyAlignment="1">
      <alignment horizontal="center" vertical="center"/>
    </xf>
    <xf numFmtId="0" fontId="27" fillId="2" borderId="13" xfId="4" applyFont="1" applyFill="1" applyBorder="1" applyAlignment="1">
      <alignment horizontal="right" vertical="center"/>
    </xf>
    <xf numFmtId="0" fontId="29" fillId="4" borderId="12" xfId="2" applyFont="1" applyFill="1" applyBorder="1" applyAlignment="1">
      <alignment vertical="center"/>
    </xf>
    <xf numFmtId="0" fontId="29" fillId="4" borderId="0" xfId="2" applyFont="1" applyFill="1" applyAlignment="1">
      <alignment vertical="center"/>
    </xf>
    <xf numFmtId="0" fontId="30" fillId="4" borderId="25" xfId="2" applyFont="1" applyFill="1" applyBorder="1" applyAlignment="1">
      <alignment vertical="center"/>
    </xf>
    <xf numFmtId="0" fontId="31" fillId="4" borderId="13" xfId="2" applyFont="1" applyFill="1" applyBorder="1" applyAlignment="1">
      <alignment horizontal="center" vertical="center"/>
    </xf>
    <xf numFmtId="0" fontId="12" fillId="4" borderId="26" xfId="1" applyFill="1" applyBorder="1"/>
    <xf numFmtId="0" fontId="12" fillId="4" borderId="27" xfId="1" applyFill="1" applyBorder="1"/>
    <xf numFmtId="166" fontId="26" fillId="4" borderId="0" xfId="5" applyNumberFormat="1" applyFont="1" applyFill="1" applyAlignment="1">
      <alignment horizontal="left" vertical="center"/>
    </xf>
    <xf numFmtId="0" fontId="32" fillId="4" borderId="28" xfId="2" applyFont="1" applyFill="1" applyBorder="1" applyAlignment="1">
      <alignment horizontal="center" vertical="center"/>
    </xf>
    <xf numFmtId="0" fontId="12" fillId="4" borderId="12" xfId="1" applyFill="1" applyBorder="1"/>
    <xf numFmtId="0" fontId="33" fillId="4" borderId="0" xfId="1" applyFont="1" applyFill="1" applyAlignment="1">
      <alignment horizontal="left" vertical="center"/>
    </xf>
    <xf numFmtId="0" fontId="34" fillId="2" borderId="0" xfId="1" applyFont="1" applyFill="1" applyAlignment="1">
      <alignment horizontal="center" vertical="center"/>
    </xf>
    <xf numFmtId="0" fontId="35" fillId="4" borderId="29" xfId="1" applyFont="1" applyFill="1" applyBorder="1" applyAlignment="1">
      <alignment horizontal="center" vertical="center"/>
    </xf>
    <xf numFmtId="0" fontId="33" fillId="4" borderId="0" xfId="1" applyFont="1" applyFill="1" applyAlignment="1">
      <alignment horizontal="right" vertical="center"/>
    </xf>
    <xf numFmtId="0" fontId="12" fillId="4" borderId="13" xfId="1" applyFill="1" applyBorder="1"/>
    <xf numFmtId="167" fontId="34" fillId="4" borderId="30" xfId="4" applyNumberFormat="1" applyFont="1" applyFill="1" applyBorder="1" applyAlignment="1">
      <alignment horizontal="center" vertical="center"/>
    </xf>
    <xf numFmtId="0" fontId="12" fillId="4" borderId="0" xfId="1" applyFill="1" applyAlignment="1">
      <alignment horizontal="left"/>
    </xf>
    <xf numFmtId="0" fontId="32" fillId="4" borderId="0" xfId="2" applyFont="1" applyFill="1" applyAlignment="1">
      <alignment horizontal="left" vertical="center"/>
    </xf>
    <xf numFmtId="168" fontId="36" fillId="9" borderId="0" xfId="1" applyNumberFormat="1" applyFont="1" applyFill="1" applyAlignment="1" applyProtection="1">
      <alignment horizontal="center" vertical="center"/>
      <protection locked="0"/>
    </xf>
    <xf numFmtId="0" fontId="33" fillId="0" borderId="0" xfId="1" applyFont="1" applyAlignment="1">
      <alignment horizontal="right" vertical="center"/>
    </xf>
    <xf numFmtId="0" fontId="12" fillId="0" borderId="13" xfId="1" applyBorder="1"/>
    <xf numFmtId="0" fontId="12" fillId="4" borderId="31" xfId="1" applyFill="1" applyBorder="1" applyAlignment="1">
      <alignment horizontal="center" vertical="center"/>
    </xf>
    <xf numFmtId="2" fontId="25" fillId="4" borderId="32" xfId="5" applyNumberFormat="1" applyFont="1" applyFill="1" applyBorder="1" applyAlignment="1">
      <alignment horizontal="center" vertical="center"/>
    </xf>
    <xf numFmtId="0" fontId="37" fillId="9" borderId="33" xfId="4" applyFont="1" applyFill="1" applyBorder="1" applyAlignment="1">
      <alignment horizontal="center" vertical="center"/>
    </xf>
    <xf numFmtId="0" fontId="38" fillId="4" borderId="0" xfId="1" applyFont="1" applyFill="1" applyAlignment="1">
      <alignment horizontal="right" vertical="center"/>
    </xf>
    <xf numFmtId="0" fontId="35" fillId="4" borderId="0" xfId="1" applyFont="1" applyFill="1" applyAlignment="1">
      <alignment horizontal="right" vertical="center"/>
    </xf>
    <xf numFmtId="0" fontId="35" fillId="4" borderId="0" xfId="1" applyFont="1" applyFill="1" applyAlignment="1">
      <alignment vertical="center"/>
    </xf>
    <xf numFmtId="0" fontId="35" fillId="4" borderId="13" xfId="1" applyFont="1" applyFill="1" applyBorder="1" applyAlignment="1">
      <alignment vertical="center"/>
    </xf>
    <xf numFmtId="0" fontId="34" fillId="2" borderId="0" xfId="1" applyFont="1" applyFill="1" applyAlignment="1">
      <alignment horizontal="left" vertical="center"/>
    </xf>
    <xf numFmtId="1" fontId="40" fillId="4" borderId="0" xfId="5" applyNumberFormat="1" applyFont="1" applyFill="1" applyAlignment="1">
      <alignment horizontal="center" vertical="center"/>
    </xf>
    <xf numFmtId="0" fontId="41" fillId="4" borderId="0" xfId="2" applyFont="1" applyFill="1" applyAlignment="1" applyProtection="1">
      <alignment horizontal="left" vertical="center"/>
      <protection hidden="1"/>
    </xf>
    <xf numFmtId="0" fontId="42" fillId="4" borderId="13" xfId="2" applyFont="1" applyFill="1" applyBorder="1" applyAlignment="1">
      <alignment horizontal="center" vertical="center"/>
    </xf>
    <xf numFmtId="1" fontId="40" fillId="4" borderId="31" xfId="5" applyNumberFormat="1" applyFont="1" applyFill="1" applyBorder="1" applyAlignment="1">
      <alignment horizontal="center" vertical="center"/>
    </xf>
    <xf numFmtId="169" fontId="12" fillId="4" borderId="0" xfId="1" applyNumberFormat="1" applyFill="1" applyAlignment="1">
      <alignment horizontal="center" vertical="center"/>
    </xf>
    <xf numFmtId="165" fontId="43" fillId="9" borderId="34" xfId="5" applyNumberFormat="1" applyFont="1" applyFill="1" applyBorder="1" applyAlignment="1">
      <alignment horizontal="center" vertical="center"/>
    </xf>
    <xf numFmtId="0" fontId="44" fillId="4" borderId="0" xfId="1" applyFont="1" applyFill="1" applyAlignment="1">
      <alignment horizontal="right" vertical="center"/>
    </xf>
    <xf numFmtId="0" fontId="45" fillId="4" borderId="32" xfId="4" applyFont="1" applyFill="1" applyBorder="1" applyAlignment="1">
      <alignment horizontal="center" vertical="center"/>
    </xf>
    <xf numFmtId="0" fontId="45" fillId="4" borderId="32" xfId="1" applyFont="1" applyFill="1" applyBorder="1" applyAlignment="1" applyProtection="1">
      <alignment horizontal="center" vertical="center"/>
      <protection locked="0"/>
    </xf>
    <xf numFmtId="0" fontId="46" fillId="4" borderId="0" xfId="1" applyFont="1" applyFill="1" applyAlignment="1">
      <alignment horizontal="right"/>
    </xf>
    <xf numFmtId="0" fontId="35" fillId="0" borderId="0" xfId="1" applyFont="1" applyAlignment="1">
      <alignment horizontal="right"/>
    </xf>
    <xf numFmtId="0" fontId="35" fillId="4" borderId="0" xfId="1" applyFont="1" applyFill="1" applyAlignment="1">
      <alignment vertical="center" wrapText="1"/>
    </xf>
    <xf numFmtId="0" fontId="35" fillId="4" borderId="13" xfId="1" applyFont="1" applyFill="1" applyBorder="1" applyAlignment="1">
      <alignment vertical="center" wrapText="1"/>
    </xf>
    <xf numFmtId="0" fontId="32" fillId="4" borderId="13" xfId="2" applyFont="1" applyFill="1" applyBorder="1" applyAlignment="1">
      <alignment horizontal="center" vertical="center"/>
    </xf>
    <xf numFmtId="0" fontId="52" fillId="4" borderId="25" xfId="2" applyFont="1" applyFill="1" applyBorder="1" applyAlignment="1">
      <alignment vertical="center"/>
    </xf>
    <xf numFmtId="0" fontId="48" fillId="4" borderId="13" xfId="2" applyFont="1" applyFill="1" applyBorder="1" applyAlignment="1">
      <alignment horizontal="center" vertical="center"/>
    </xf>
    <xf numFmtId="0" fontId="12" fillId="4" borderId="26" xfId="1" applyFill="1" applyBorder="1" applyAlignment="1">
      <alignment vertical="center"/>
    </xf>
    <xf numFmtId="0" fontId="12" fillId="4" borderId="27" xfId="1" applyFill="1" applyBorder="1" applyAlignment="1">
      <alignment vertical="center"/>
    </xf>
    <xf numFmtId="0" fontId="12" fillId="4" borderId="28" xfId="1" applyFill="1" applyBorder="1" applyAlignment="1">
      <alignment vertical="center"/>
    </xf>
    <xf numFmtId="0" fontId="12" fillId="4" borderId="12" xfId="1" applyFill="1" applyBorder="1" applyAlignment="1">
      <alignment vertical="center"/>
    </xf>
    <xf numFmtId="0" fontId="35" fillId="4" borderId="31" xfId="1" applyFont="1" applyFill="1" applyBorder="1" applyAlignment="1">
      <alignment horizontal="center" vertical="center"/>
    </xf>
    <xf numFmtId="0" fontId="12" fillId="4" borderId="0" xfId="1" applyFill="1" applyAlignment="1">
      <alignment vertical="center"/>
    </xf>
    <xf numFmtId="0" fontId="12" fillId="4" borderId="13" xfId="1" applyFill="1" applyBorder="1" applyAlignment="1">
      <alignment vertical="center"/>
    </xf>
    <xf numFmtId="167" fontId="34" fillId="4" borderId="0" xfId="1" applyNumberFormat="1" applyFont="1" applyFill="1" applyAlignment="1">
      <alignment horizontal="center" vertical="center"/>
    </xf>
    <xf numFmtId="0" fontId="12" fillId="4" borderId="0" xfId="1" applyFill="1" applyAlignment="1">
      <alignment horizontal="left" vertical="center"/>
    </xf>
    <xf numFmtId="0" fontId="12" fillId="0" borderId="0" xfId="1" applyAlignment="1">
      <alignment vertical="center"/>
    </xf>
    <xf numFmtId="0" fontId="12" fillId="0" borderId="13" xfId="1" applyBorder="1" applyAlignment="1">
      <alignment vertical="center"/>
    </xf>
    <xf numFmtId="2" fontId="26" fillId="4" borderId="30" xfId="4" applyNumberFormat="1" applyFont="1" applyFill="1" applyBorder="1" applyAlignment="1">
      <alignment horizontal="center" vertical="center"/>
    </xf>
    <xf numFmtId="2" fontId="53" fillId="4" borderId="31" xfId="5" applyNumberFormat="1" applyFont="1" applyFill="1" applyBorder="1" applyAlignment="1">
      <alignment horizontal="center" vertical="center"/>
    </xf>
    <xf numFmtId="169" fontId="54" fillId="9" borderId="33" xfId="5" applyNumberFormat="1" applyFont="1" applyFill="1" applyBorder="1" applyAlignment="1">
      <alignment horizontal="center" vertical="center"/>
    </xf>
    <xf numFmtId="0" fontId="45" fillId="4" borderId="38" xfId="4" applyFont="1" applyFill="1" applyBorder="1" applyAlignment="1">
      <alignment horizontal="center" vertical="center"/>
    </xf>
    <xf numFmtId="0" fontId="45" fillId="4" borderId="38" xfId="1" applyFont="1" applyFill="1" applyBorder="1" applyAlignment="1" applyProtection="1">
      <alignment horizontal="center" vertical="center"/>
      <protection locked="0"/>
    </xf>
    <xf numFmtId="0" fontId="45" fillId="4" borderId="0" xfId="4" applyFont="1" applyFill="1" applyAlignment="1">
      <alignment horizontal="center" vertical="center"/>
    </xf>
    <xf numFmtId="0" fontId="46" fillId="4" borderId="0" xfId="1" applyFont="1" applyFill="1" applyAlignment="1">
      <alignment horizontal="right" vertical="center"/>
    </xf>
    <xf numFmtId="0" fontId="35" fillId="0" borderId="0" xfId="1" applyFont="1" applyAlignment="1">
      <alignment horizontal="right" vertical="center"/>
    </xf>
    <xf numFmtId="0" fontId="13" fillId="2" borderId="39" xfId="2" applyFill="1" applyBorder="1" applyProtection="1">
      <protection hidden="1"/>
    </xf>
    <xf numFmtId="0" fontId="13" fillId="2" borderId="27" xfId="2" applyFill="1" applyBorder="1" applyProtection="1">
      <protection hidden="1"/>
    </xf>
    <xf numFmtId="0" fontId="13" fillId="2" borderId="40" xfId="2" applyFill="1" applyBorder="1" applyProtection="1">
      <protection hidden="1"/>
    </xf>
    <xf numFmtId="0" fontId="55" fillId="2" borderId="41" xfId="1" applyFont="1" applyFill="1" applyBorder="1" applyAlignment="1">
      <alignment horizontal="left" vertical="center"/>
    </xf>
    <xf numFmtId="0" fontId="55" fillId="2" borderId="0" xfId="1" applyFont="1" applyFill="1" applyAlignment="1">
      <alignment horizontal="left" vertical="center"/>
    </xf>
    <xf numFmtId="0" fontId="56" fillId="2" borderId="0" xfId="1" applyFont="1" applyFill="1" applyAlignment="1">
      <alignment horizontal="left" vertical="center"/>
    </xf>
    <xf numFmtId="0" fontId="57" fillId="2" borderId="0" xfId="1" applyFont="1" applyFill="1" applyAlignment="1">
      <alignment horizontal="left" vertical="center"/>
    </xf>
    <xf numFmtId="0" fontId="55" fillId="2" borderId="42" xfId="1" applyFont="1" applyFill="1" applyBorder="1" applyAlignment="1">
      <alignment horizontal="left" vertical="center"/>
    </xf>
    <xf numFmtId="0" fontId="58" fillId="2" borderId="0" xfId="2" applyFont="1" applyFill="1" applyAlignment="1">
      <alignment horizontal="center" vertical="center"/>
    </xf>
    <xf numFmtId="0" fontId="59" fillId="2" borderId="0" xfId="1" applyFont="1" applyFill="1" applyAlignment="1">
      <alignment horizontal="left" vertical="center"/>
    </xf>
    <xf numFmtId="0" fontId="60" fillId="2" borderId="0" xfId="1" applyFont="1" applyFill="1" applyAlignment="1">
      <alignment horizontal="left" vertical="center"/>
    </xf>
    <xf numFmtId="170" fontId="60" fillId="2" borderId="0" xfId="4" applyNumberFormat="1" applyFont="1" applyFill="1" applyAlignment="1">
      <alignment horizontal="centerContinuous" vertical="center"/>
    </xf>
    <xf numFmtId="171" fontId="60" fillId="2" borderId="0" xfId="4" applyNumberFormat="1" applyFont="1" applyFill="1" applyAlignment="1">
      <alignment horizontal="centerContinuous" vertical="center"/>
    </xf>
    <xf numFmtId="0" fontId="12" fillId="2" borderId="41" xfId="1" applyFill="1" applyBorder="1"/>
    <xf numFmtId="170" fontId="34" fillId="2" borderId="0" xfId="4" applyNumberFormat="1" applyFont="1" applyFill="1" applyAlignment="1">
      <alignment horizontal="centerContinuous" vertical="center"/>
    </xf>
    <xf numFmtId="170" fontId="15" fillId="2" borderId="0" xfId="4" applyNumberFormat="1" applyFont="1" applyFill="1" applyAlignment="1">
      <alignment horizontal="centerContinuous" vertical="center"/>
    </xf>
    <xf numFmtId="169" fontId="34" fillId="2" borderId="43" xfId="4" applyNumberFormat="1" applyFont="1" applyFill="1" applyBorder="1" applyAlignment="1">
      <alignment horizontal="center" vertical="center"/>
    </xf>
    <xf numFmtId="169" fontId="34" fillId="2" borderId="30" xfId="4" applyNumberFormat="1" applyFont="1" applyFill="1" applyBorder="1" applyAlignment="1">
      <alignment horizontal="center" vertical="center"/>
    </xf>
    <xf numFmtId="0" fontId="34" fillId="2" borderId="0" xfId="1" applyFont="1" applyFill="1" applyAlignment="1">
      <alignment horizontal="right" vertical="center"/>
    </xf>
    <xf numFmtId="0" fontId="45" fillId="2" borderId="0" xfId="1" applyFont="1" applyFill="1" applyAlignment="1">
      <alignment horizontal="left" vertical="center"/>
    </xf>
    <xf numFmtId="170" fontId="45" fillId="2" borderId="0" xfId="4" applyNumberFormat="1" applyFont="1" applyFill="1" applyAlignment="1">
      <alignment horizontal="centerContinuous" vertical="center"/>
    </xf>
    <xf numFmtId="169" fontId="45" fillId="2" borderId="43" xfId="4" applyNumberFormat="1" applyFont="1" applyFill="1" applyBorder="1" applyAlignment="1">
      <alignment horizontal="center" vertical="center"/>
    </xf>
    <xf numFmtId="169" fontId="45" fillId="2" borderId="30" xfId="4" applyNumberFormat="1" applyFont="1" applyFill="1" applyBorder="1" applyAlignment="1">
      <alignment horizontal="center" vertical="center"/>
    </xf>
    <xf numFmtId="0" fontId="45" fillId="2" borderId="0" xfId="1" applyFont="1" applyFill="1" applyAlignment="1">
      <alignment horizontal="right" vertical="center"/>
    </xf>
    <xf numFmtId="0" fontId="34" fillId="2" borderId="38" xfId="4" applyFont="1" applyFill="1" applyBorder="1" applyAlignment="1">
      <alignment horizontal="center" vertical="center"/>
    </xf>
    <xf numFmtId="0" fontId="34" fillId="2" borderId="38" xfId="1" applyFont="1" applyFill="1" applyBorder="1" applyAlignment="1" applyProtection="1">
      <alignment horizontal="center" vertical="center"/>
      <protection locked="0"/>
    </xf>
    <xf numFmtId="0" fontId="34" fillId="2" borderId="0" xfId="4" applyFont="1" applyFill="1" applyAlignment="1">
      <alignment horizontal="center" vertical="center"/>
    </xf>
    <xf numFmtId="0" fontId="34" fillId="2" borderId="0" xfId="4" applyFont="1" applyFill="1" applyAlignment="1">
      <alignment horizontal="right" vertical="center"/>
    </xf>
    <xf numFmtId="0" fontId="58" fillId="2" borderId="0" xfId="2" applyFont="1" applyFill="1" applyAlignment="1">
      <alignment horizontal="left" vertical="center"/>
    </xf>
    <xf numFmtId="168" fontId="36" fillId="9" borderId="44" xfId="1" applyNumberFormat="1" applyFont="1" applyFill="1" applyBorder="1" applyAlignment="1" applyProtection="1">
      <alignment horizontal="center" vertical="center"/>
      <protection locked="0"/>
    </xf>
    <xf numFmtId="0" fontId="61" fillId="2" borderId="0" xfId="1" applyFont="1" applyFill="1" applyAlignment="1">
      <alignment horizontal="center" vertical="center"/>
    </xf>
    <xf numFmtId="169" fontId="62" fillId="9" borderId="45" xfId="4" applyNumberFormat="1" applyFont="1" applyFill="1" applyBorder="1" applyAlignment="1">
      <alignment horizontal="center" vertical="center"/>
    </xf>
    <xf numFmtId="169" fontId="36" fillId="9" borderId="45" xfId="4" applyNumberFormat="1" applyFont="1" applyFill="1" applyBorder="1" applyAlignment="1">
      <alignment horizontal="center" vertical="center"/>
    </xf>
    <xf numFmtId="0" fontId="36" fillId="2" borderId="0" xfId="1" applyFont="1" applyFill="1" applyAlignment="1">
      <alignment horizontal="right" vertical="center"/>
    </xf>
    <xf numFmtId="0" fontId="12" fillId="0" borderId="46" xfId="1" applyBorder="1"/>
    <xf numFmtId="2" fontId="45" fillId="2" borderId="0" xfId="1" applyNumberFormat="1" applyFont="1" applyFill="1" applyAlignment="1">
      <alignment horizontal="left" vertical="center"/>
    </xf>
    <xf numFmtId="0" fontId="47" fillId="9" borderId="45" xfId="4" applyFont="1" applyFill="1" applyBorder="1" applyAlignment="1">
      <alignment horizontal="center" vertical="center"/>
    </xf>
    <xf numFmtId="0" fontId="47" fillId="2" borderId="0" xfId="1" applyFont="1" applyFill="1" applyAlignment="1">
      <alignment horizontal="right" vertical="center"/>
    </xf>
    <xf numFmtId="0" fontId="27" fillId="2" borderId="41" xfId="4" applyFont="1" applyFill="1" applyBorder="1" applyAlignment="1" applyProtection="1">
      <alignment horizontal="center" vertical="center"/>
      <protection locked="0"/>
    </xf>
    <xf numFmtId="0" fontId="27" fillId="2" borderId="0" xfId="4" applyFont="1" applyFill="1" applyAlignment="1" applyProtection="1">
      <alignment horizontal="center" vertical="center"/>
      <protection locked="0"/>
    </xf>
    <xf numFmtId="0" fontId="27" fillId="2" borderId="42" xfId="4" applyFont="1" applyFill="1" applyBorder="1" applyAlignment="1" applyProtection="1">
      <alignment horizontal="center" vertical="center"/>
      <protection locked="0"/>
    </xf>
    <xf numFmtId="0" fontId="12" fillId="2" borderId="39" xfId="1" applyFill="1" applyBorder="1"/>
    <xf numFmtId="0" fontId="12" fillId="2" borderId="27" xfId="1" applyFill="1" applyBorder="1"/>
    <xf numFmtId="0" fontId="13" fillId="0" borderId="0" xfId="2" applyProtection="1">
      <protection hidden="1"/>
    </xf>
    <xf numFmtId="0" fontId="12" fillId="2" borderId="9" xfId="1" applyFill="1" applyBorder="1"/>
    <xf numFmtId="0" fontId="12" fillId="2" borderId="10" xfId="1" applyFill="1" applyBorder="1"/>
    <xf numFmtId="174" fontId="64" fillId="2" borderId="10" xfId="1" applyNumberFormat="1" applyFont="1" applyFill="1" applyBorder="1" applyAlignment="1" applyProtection="1">
      <alignment horizontal="center" vertical="center" wrapText="1"/>
      <protection locked="0"/>
    </xf>
    <xf numFmtId="0" fontId="69" fillId="2" borderId="10" xfId="1" applyFont="1" applyFill="1" applyBorder="1" applyAlignment="1">
      <alignment horizontal="center" vertical="center"/>
    </xf>
    <xf numFmtId="0" fontId="13" fillId="2" borderId="10" xfId="2" applyFill="1" applyBorder="1" applyProtection="1">
      <protection hidden="1"/>
    </xf>
    <xf numFmtId="174" fontId="79" fillId="2" borderId="10" xfId="1" applyNumberFormat="1" applyFont="1" applyFill="1" applyBorder="1" applyAlignment="1">
      <alignment vertical="center"/>
    </xf>
    <xf numFmtId="174" fontId="79" fillId="2" borderId="11" xfId="1" applyNumberFormat="1" applyFont="1" applyFill="1" applyBorder="1" applyAlignment="1">
      <alignment vertical="center"/>
    </xf>
    <xf numFmtId="174" fontId="79" fillId="2" borderId="13" xfId="1" applyNumberFormat="1" applyFont="1" applyFill="1" applyBorder="1" applyAlignment="1">
      <alignment vertical="center"/>
    </xf>
    <xf numFmtId="0" fontId="72" fillId="2" borderId="13" xfId="1" applyFont="1" applyFill="1" applyBorder="1" applyAlignment="1">
      <alignment horizontal="center" vertical="center"/>
    </xf>
    <xf numFmtId="0" fontId="12" fillId="2" borderId="12" xfId="1" applyFill="1" applyBorder="1"/>
    <xf numFmtId="0" fontId="85" fillId="9" borderId="53" xfId="4" applyFont="1" applyFill="1" applyBorder="1" applyAlignment="1">
      <alignment horizontal="center" vertical="center"/>
    </xf>
    <xf numFmtId="175" fontId="34" fillId="2" borderId="12" xfId="4" applyNumberFormat="1" applyFont="1" applyFill="1" applyBorder="1" applyAlignment="1">
      <alignment vertical="center"/>
    </xf>
    <xf numFmtId="0" fontId="86" fillId="2" borderId="12" xfId="7" applyFont="1" applyFill="1" applyBorder="1" applyAlignment="1">
      <alignment horizontal="center" vertical="center"/>
    </xf>
    <xf numFmtId="0" fontId="12" fillId="2" borderId="27" xfId="1" applyFill="1" applyBorder="1" applyAlignment="1">
      <alignment vertical="center"/>
    </xf>
    <xf numFmtId="9" fontId="12" fillId="2" borderId="27" xfId="1" applyNumberFormat="1" applyFill="1" applyBorder="1" applyAlignment="1">
      <alignment vertical="center"/>
    </xf>
    <xf numFmtId="0" fontId="13" fillId="2" borderId="41" xfId="2" applyFill="1" applyBorder="1" applyProtection="1">
      <protection hidden="1"/>
    </xf>
    <xf numFmtId="0" fontId="12" fillId="2" borderId="0" xfId="1" applyFill="1" applyAlignment="1">
      <alignment vertical="center"/>
    </xf>
    <xf numFmtId="0" fontId="13" fillId="2" borderId="0" xfId="2" applyFill="1" applyAlignment="1">
      <alignment horizontal="centerContinuous" vertical="center"/>
    </xf>
    <xf numFmtId="0" fontId="97" fillId="2" borderId="0" xfId="1" applyFont="1" applyFill="1"/>
    <xf numFmtId="0" fontId="98" fillId="2" borderId="0" xfId="3" applyFont="1" applyFill="1"/>
    <xf numFmtId="0" fontId="99" fillId="2" borderId="0" xfId="1" applyFont="1" applyFill="1"/>
    <xf numFmtId="0" fontId="100" fillId="2" borderId="0" xfId="1" applyFont="1" applyFill="1"/>
    <xf numFmtId="180" fontId="101" fillId="2" borderId="0" xfId="1" applyNumberFormat="1" applyFont="1" applyFill="1" applyAlignment="1" applyProtection="1">
      <alignment horizontal="center" vertical="center"/>
      <protection locked="0"/>
    </xf>
    <xf numFmtId="0" fontId="99" fillId="2" borderId="0" xfId="1" applyFont="1" applyFill="1" applyAlignment="1">
      <alignment vertical="center"/>
    </xf>
    <xf numFmtId="181" fontId="101" fillId="5" borderId="12" xfId="1" applyNumberFormat="1" applyFont="1" applyFill="1" applyBorder="1" applyAlignment="1" applyProtection="1">
      <alignment horizontal="center" vertical="center"/>
      <protection locked="0"/>
    </xf>
    <xf numFmtId="182" fontId="92" fillId="9" borderId="54" xfId="1" applyNumberFormat="1" applyFont="1" applyFill="1" applyBorder="1" applyAlignment="1">
      <alignment horizontal="center" vertical="center"/>
    </xf>
    <xf numFmtId="181" fontId="101" fillId="5" borderId="55" xfId="1" applyNumberFormat="1" applyFont="1" applyFill="1" applyBorder="1" applyAlignment="1" applyProtection="1">
      <alignment horizontal="center" vertical="center"/>
      <protection locked="0"/>
    </xf>
    <xf numFmtId="183" fontId="13" fillId="21" borderId="12" xfId="1" applyNumberFormat="1" applyFont="1" applyFill="1" applyBorder="1" applyAlignment="1">
      <alignment horizontal="centerContinuous" vertical="center" wrapText="1"/>
    </xf>
    <xf numFmtId="9" fontId="102" fillId="18" borderId="56" xfId="1" applyNumberFormat="1" applyFont="1" applyFill="1" applyBorder="1" applyAlignment="1">
      <alignment horizontal="center" vertical="center"/>
    </xf>
    <xf numFmtId="9" fontId="69" fillId="18" borderId="54" xfId="1" applyNumberFormat="1" applyFont="1" applyFill="1" applyBorder="1" applyAlignment="1">
      <alignment horizontal="center" vertical="center"/>
    </xf>
    <xf numFmtId="2" fontId="69" fillId="5" borderId="58" xfId="1" applyNumberFormat="1" applyFont="1" applyFill="1" applyBorder="1" applyAlignment="1">
      <alignment horizontal="center" vertical="center"/>
    </xf>
    <xf numFmtId="2" fontId="14" fillId="22" borderId="59" xfId="1" applyNumberFormat="1" applyFont="1" applyFill="1" applyBorder="1" applyAlignment="1" applyProtection="1">
      <alignment horizontal="center" vertical="center" wrapText="1"/>
      <protection locked="0"/>
    </xf>
    <xf numFmtId="180" fontId="101" fillId="2" borderId="9" xfId="1" applyNumberFormat="1" applyFont="1" applyFill="1" applyBorder="1" applyAlignment="1" applyProtection="1">
      <alignment horizontal="center" vertical="center"/>
      <protection locked="0"/>
    </xf>
    <xf numFmtId="2" fontId="101" fillId="4" borderId="11" xfId="1" applyNumberFormat="1" applyFont="1" applyFill="1" applyBorder="1" applyAlignment="1" applyProtection="1">
      <alignment horizontal="center" vertical="center"/>
      <protection locked="0"/>
    </xf>
    <xf numFmtId="180" fontId="101" fillId="2" borderId="12" xfId="1" applyNumberFormat="1" applyFont="1" applyFill="1" applyBorder="1" applyAlignment="1" applyProtection="1">
      <alignment horizontal="center" vertical="center"/>
      <protection locked="0"/>
    </xf>
    <xf numFmtId="0" fontId="101" fillId="4" borderId="13" xfId="1" applyFont="1" applyFill="1" applyBorder="1" applyAlignment="1" applyProtection="1">
      <alignment horizontal="right" vertical="center"/>
      <protection locked="0"/>
    </xf>
    <xf numFmtId="179" fontId="107" fillId="9" borderId="12" xfId="1" applyNumberFormat="1" applyFont="1" applyFill="1" applyBorder="1" applyAlignment="1" applyProtection="1">
      <alignment horizontal="center" vertical="center"/>
      <protection locked="0"/>
    </xf>
    <xf numFmtId="0" fontId="108" fillId="4" borderId="13" xfId="1" applyFont="1" applyFill="1" applyBorder="1" applyAlignment="1" applyProtection="1">
      <alignment horizontal="right" vertical="center"/>
      <protection locked="0"/>
    </xf>
    <xf numFmtId="184" fontId="109" fillId="9" borderId="12" xfId="1" applyNumberFormat="1" applyFont="1" applyFill="1" applyBorder="1" applyAlignment="1" applyProtection="1">
      <alignment horizontal="center" vertical="center"/>
      <protection locked="0"/>
    </xf>
    <xf numFmtId="0" fontId="110" fillId="4" borderId="13" xfId="1" applyFont="1" applyFill="1" applyBorder="1" applyAlignment="1" applyProtection="1">
      <alignment horizontal="right" vertical="center"/>
      <protection locked="0"/>
    </xf>
    <xf numFmtId="167" fontId="78" fillId="4" borderId="11" xfId="1" applyNumberFormat="1" applyFont="1" applyFill="1" applyBorder="1" applyAlignment="1" applyProtection="1">
      <alignment horizontal="center" vertical="center"/>
      <protection locked="0"/>
    </xf>
    <xf numFmtId="180" fontId="101" fillId="2" borderId="50" xfId="1" applyNumberFormat="1" applyFont="1" applyFill="1" applyBorder="1" applyAlignment="1" applyProtection="1">
      <alignment horizontal="center" vertical="center"/>
      <protection locked="0"/>
    </xf>
    <xf numFmtId="167" fontId="101" fillId="4" borderId="52" xfId="1" applyNumberFormat="1" applyFont="1" applyFill="1" applyBorder="1" applyAlignment="1" applyProtection="1">
      <alignment horizontal="center" vertical="center"/>
      <protection locked="0"/>
    </xf>
    <xf numFmtId="181" fontId="101" fillId="2" borderId="9" xfId="1" applyNumberFormat="1" applyFont="1" applyFill="1" applyBorder="1" applyAlignment="1" applyProtection="1">
      <alignment horizontal="center" vertical="center"/>
      <protection locked="0"/>
    </xf>
    <xf numFmtId="0" fontId="101" fillId="4" borderId="11" xfId="1" applyFont="1" applyFill="1" applyBorder="1" applyAlignment="1" applyProtection="1">
      <alignment horizontal="right" vertical="center"/>
      <protection locked="0"/>
    </xf>
    <xf numFmtId="2" fontId="101" fillId="4" borderId="12" xfId="1" applyNumberFormat="1" applyFont="1" applyFill="1" applyBorder="1" applyAlignment="1" applyProtection="1">
      <alignment horizontal="center" vertical="center"/>
      <protection locked="0"/>
    </xf>
    <xf numFmtId="0" fontId="12" fillId="2" borderId="13" xfId="1" applyFill="1" applyBorder="1"/>
    <xf numFmtId="179" fontId="111" fillId="9" borderId="12" xfId="1" applyNumberFormat="1" applyFont="1" applyFill="1" applyBorder="1" applyAlignment="1" applyProtection="1">
      <alignment horizontal="center" vertical="center"/>
      <protection locked="0"/>
    </xf>
    <xf numFmtId="0" fontId="112" fillId="4" borderId="13" xfId="1" applyFont="1" applyFill="1" applyBorder="1" applyAlignment="1" applyProtection="1">
      <alignment horizontal="right" vertical="center"/>
      <protection locked="0"/>
    </xf>
    <xf numFmtId="184" fontId="61" fillId="9" borderId="12" xfId="1" applyNumberFormat="1" applyFont="1" applyFill="1" applyBorder="1" applyAlignment="1" applyProtection="1">
      <alignment horizontal="center" vertical="center"/>
      <protection locked="0"/>
    </xf>
    <xf numFmtId="0" fontId="113" fillId="4" borderId="13" xfId="1" applyFont="1" applyFill="1" applyBorder="1" applyAlignment="1" applyProtection="1">
      <alignment horizontal="right" vertical="center"/>
      <protection locked="0"/>
    </xf>
    <xf numFmtId="0" fontId="12" fillId="2" borderId="0" xfId="1" applyFill="1" applyAlignment="1">
      <alignment horizontal="right"/>
    </xf>
    <xf numFmtId="167" fontId="78" fillId="4" borderId="12" xfId="1" applyNumberFormat="1" applyFont="1" applyFill="1" applyBorder="1" applyAlignment="1" applyProtection="1">
      <alignment horizontal="center" vertical="center"/>
      <protection locked="0"/>
    </xf>
    <xf numFmtId="0" fontId="78" fillId="4" borderId="13" xfId="1" applyFont="1" applyFill="1" applyBorder="1" applyAlignment="1" applyProtection="1">
      <alignment horizontal="right" vertical="center"/>
      <protection locked="0"/>
    </xf>
    <xf numFmtId="180" fontId="78" fillId="2" borderId="12" xfId="1" applyNumberFormat="1" applyFont="1" applyFill="1" applyBorder="1" applyAlignment="1" applyProtection="1">
      <alignment horizontal="center" vertical="center"/>
      <protection locked="0"/>
    </xf>
    <xf numFmtId="179" fontId="100" fillId="9" borderId="12" xfId="1" applyNumberFormat="1" applyFont="1" applyFill="1" applyBorder="1" applyAlignment="1" applyProtection="1">
      <alignment horizontal="center" vertical="center"/>
      <protection locked="0"/>
    </xf>
    <xf numFmtId="0" fontId="114" fillId="4" borderId="13" xfId="1" applyFont="1" applyFill="1" applyBorder="1" applyAlignment="1" applyProtection="1">
      <alignment horizontal="right" vertical="center"/>
      <protection locked="0"/>
    </xf>
    <xf numFmtId="184" fontId="92" fillId="9" borderId="12" xfId="1" applyNumberFormat="1" applyFont="1" applyFill="1" applyBorder="1" applyAlignment="1" applyProtection="1">
      <alignment horizontal="center" vertical="center"/>
      <protection locked="0"/>
    </xf>
    <xf numFmtId="184" fontId="36" fillId="9" borderId="12" xfId="1" applyNumberFormat="1" applyFont="1" applyFill="1" applyBorder="1" applyAlignment="1" applyProtection="1">
      <alignment horizontal="center" vertical="center"/>
      <protection locked="0"/>
    </xf>
    <xf numFmtId="0" fontId="115" fillId="4" borderId="13" xfId="1" applyFont="1" applyFill="1" applyBorder="1" applyAlignment="1" applyProtection="1">
      <alignment horizontal="right" vertical="center"/>
      <protection locked="0"/>
    </xf>
    <xf numFmtId="0" fontId="20" fillId="2" borderId="0" xfId="3" applyFill="1" applyAlignment="1">
      <alignment horizontal="left" vertical="center"/>
    </xf>
    <xf numFmtId="0" fontId="34" fillId="2" borderId="0" xfId="2" applyFont="1" applyFill="1" applyAlignment="1">
      <alignment horizontal="left" vertical="center"/>
    </xf>
    <xf numFmtId="0" fontId="9" fillId="2" borderId="0" xfId="1" applyFont="1" applyFill="1"/>
    <xf numFmtId="0" fontId="49" fillId="2" borderId="0" xfId="2" applyFont="1" applyFill="1" applyAlignment="1">
      <alignment horizontal="center" vertical="center"/>
    </xf>
    <xf numFmtId="0" fontId="49" fillId="2" borderId="0" xfId="2" applyFont="1" applyFill="1" applyAlignment="1">
      <alignment horizontal="centerContinuous" vertical="center"/>
    </xf>
    <xf numFmtId="0" fontId="16" fillId="2" borderId="0" xfId="1" applyFont="1" applyFill="1"/>
    <xf numFmtId="0" fontId="119" fillId="2" borderId="0" xfId="2" applyFont="1" applyFill="1" applyProtection="1">
      <protection hidden="1"/>
    </xf>
    <xf numFmtId="0" fontId="120" fillId="23" borderId="0" xfId="2" applyFont="1" applyFill="1" applyAlignment="1">
      <alignment horizontal="center" vertical="center"/>
    </xf>
    <xf numFmtId="0" fontId="120" fillId="23" borderId="0" xfId="2" applyFont="1" applyFill="1" applyAlignment="1">
      <alignment horizontal="centerContinuous" vertical="center"/>
    </xf>
    <xf numFmtId="0" fontId="72" fillId="23" borderId="0" xfId="2" applyFont="1" applyFill="1" applyAlignment="1">
      <alignment horizontal="left" vertical="center"/>
    </xf>
    <xf numFmtId="170" fontId="78" fillId="4" borderId="39" xfId="1" applyNumberFormat="1" applyFont="1" applyFill="1" applyBorder="1" applyAlignment="1" applyProtection="1">
      <alignment horizontal="center" vertical="center"/>
      <protection locked="0"/>
    </xf>
    <xf numFmtId="0" fontId="78" fillId="4" borderId="40" xfId="1" applyFont="1" applyFill="1" applyBorder="1" applyAlignment="1" applyProtection="1">
      <alignment horizontal="right" vertical="center"/>
      <protection locked="0"/>
    </xf>
    <xf numFmtId="182" fontId="78" fillId="4" borderId="39" xfId="1" applyNumberFormat="1" applyFont="1" applyFill="1" applyBorder="1" applyAlignment="1" applyProtection="1">
      <alignment horizontal="center" vertical="center"/>
      <protection locked="0"/>
    </xf>
    <xf numFmtId="171" fontId="78" fillId="4" borderId="39" xfId="1" applyNumberFormat="1" applyFont="1" applyFill="1" applyBorder="1" applyAlignment="1" applyProtection="1">
      <alignment horizontal="center" vertical="center"/>
      <protection locked="0"/>
    </xf>
    <xf numFmtId="170" fontId="78" fillId="4" borderId="41" xfId="1" applyNumberFormat="1" applyFont="1" applyFill="1" applyBorder="1" applyAlignment="1" applyProtection="1">
      <alignment horizontal="center" vertical="center"/>
      <protection locked="0"/>
    </xf>
    <xf numFmtId="0" fontId="78" fillId="4" borderId="42" xfId="1" applyFont="1" applyFill="1" applyBorder="1" applyAlignment="1" applyProtection="1">
      <alignment horizontal="right" vertical="center"/>
      <protection locked="0"/>
    </xf>
    <xf numFmtId="185" fontId="78" fillId="4" borderId="41" xfId="1" applyNumberFormat="1" applyFont="1" applyFill="1" applyBorder="1" applyAlignment="1" applyProtection="1">
      <alignment horizontal="center" vertical="center"/>
      <protection locked="0"/>
    </xf>
    <xf numFmtId="179" fontId="100" fillId="9" borderId="41" xfId="1" applyNumberFormat="1" applyFont="1" applyFill="1" applyBorder="1" applyAlignment="1" applyProtection="1">
      <alignment horizontal="center" vertical="center"/>
      <protection locked="0"/>
    </xf>
    <xf numFmtId="0" fontId="114" fillId="4" borderId="0" xfId="1" applyFont="1" applyFill="1" applyAlignment="1" applyProtection="1">
      <alignment horizontal="right" vertical="center"/>
      <protection locked="0"/>
    </xf>
    <xf numFmtId="170" fontId="100" fillId="9" borderId="41" xfId="1" applyNumberFormat="1" applyFont="1" applyFill="1" applyBorder="1" applyAlignment="1" applyProtection="1">
      <alignment horizontal="center" vertical="center"/>
      <protection locked="0"/>
    </xf>
    <xf numFmtId="0" fontId="114" fillId="4" borderId="42" xfId="1" applyFont="1" applyFill="1" applyBorder="1" applyAlignment="1" applyProtection="1">
      <alignment horizontal="right" vertical="center"/>
      <protection locked="0"/>
    </xf>
    <xf numFmtId="185" fontId="47" fillId="13" borderId="41" xfId="1" applyNumberFormat="1" applyFont="1" applyFill="1" applyBorder="1" applyAlignment="1" applyProtection="1">
      <alignment horizontal="center" vertical="center"/>
      <protection locked="0"/>
    </xf>
    <xf numFmtId="170" fontId="62" fillId="9" borderId="41" xfId="1" applyNumberFormat="1" applyFont="1" applyFill="1" applyBorder="1" applyAlignment="1" applyProtection="1">
      <alignment horizontal="center" vertical="center"/>
      <protection locked="0"/>
    </xf>
    <xf numFmtId="0" fontId="121" fillId="4" borderId="48" xfId="1" applyFont="1" applyFill="1" applyBorder="1" applyAlignment="1" applyProtection="1">
      <alignment horizontal="right" vertical="center"/>
      <protection locked="0"/>
    </xf>
    <xf numFmtId="170" fontId="62" fillId="9" borderId="47" xfId="1" applyNumberFormat="1" applyFont="1" applyFill="1" applyBorder="1" applyAlignment="1" applyProtection="1">
      <alignment horizontal="center" vertical="center"/>
      <protection locked="0"/>
    </xf>
    <xf numFmtId="0" fontId="121" fillId="4" borderId="42" xfId="1" applyFont="1" applyFill="1" applyBorder="1" applyAlignment="1" applyProtection="1">
      <alignment horizontal="right" vertical="center"/>
      <protection locked="0"/>
    </xf>
    <xf numFmtId="185" fontId="36" fillId="9" borderId="47" xfId="1" applyNumberFormat="1" applyFont="1" applyFill="1" applyBorder="1" applyAlignment="1" applyProtection="1">
      <alignment horizontal="center" vertical="center"/>
      <protection locked="0"/>
    </xf>
    <xf numFmtId="0" fontId="121" fillId="4" borderId="49" xfId="1" applyFont="1" applyFill="1" applyBorder="1" applyAlignment="1" applyProtection="1">
      <alignment horizontal="right" vertical="center"/>
      <protection locked="0"/>
    </xf>
    <xf numFmtId="185" fontId="36" fillId="9" borderId="41" xfId="1" applyNumberFormat="1" applyFont="1" applyFill="1" applyBorder="1" applyAlignment="1" applyProtection="1">
      <alignment horizontal="center" vertical="center"/>
      <protection locked="0"/>
    </xf>
    <xf numFmtId="174" fontId="78" fillId="4" borderId="39" xfId="1" applyNumberFormat="1" applyFont="1" applyFill="1" applyBorder="1" applyAlignment="1" applyProtection="1">
      <alignment horizontal="center" vertical="center"/>
      <protection locked="0"/>
    </xf>
    <xf numFmtId="171" fontId="78" fillId="4" borderId="41" xfId="1" applyNumberFormat="1" applyFont="1" applyFill="1" applyBorder="1" applyAlignment="1" applyProtection="1">
      <alignment horizontal="center" vertical="center"/>
      <protection locked="0"/>
    </xf>
    <xf numFmtId="179" fontId="36" fillId="9" borderId="41" xfId="1" applyNumberFormat="1" applyFont="1" applyFill="1" applyBorder="1" applyAlignment="1" applyProtection="1">
      <alignment horizontal="center" vertical="center"/>
      <protection locked="0"/>
    </xf>
    <xf numFmtId="0" fontId="115" fillId="4" borderId="42" xfId="1" applyFont="1" applyFill="1" applyBorder="1" applyAlignment="1" applyProtection="1">
      <alignment horizontal="right" vertical="center"/>
      <protection locked="0"/>
    </xf>
    <xf numFmtId="170" fontId="36" fillId="9" borderId="41" xfId="1" applyNumberFormat="1" applyFont="1" applyFill="1" applyBorder="1" applyAlignment="1" applyProtection="1">
      <alignment horizontal="center" vertical="center"/>
      <protection locked="0"/>
    </xf>
    <xf numFmtId="0" fontId="115" fillId="2" borderId="0" xfId="1" applyFont="1" applyFill="1" applyAlignment="1" applyProtection="1">
      <alignment horizontal="right" vertical="center"/>
      <protection locked="0"/>
    </xf>
    <xf numFmtId="170" fontId="47" fillId="9" borderId="41" xfId="1" applyNumberFormat="1" applyFont="1" applyFill="1" applyBorder="1" applyAlignment="1" applyProtection="1">
      <alignment horizontal="center" vertical="center"/>
      <protection locked="0"/>
    </xf>
    <xf numFmtId="0" fontId="122" fillId="4" borderId="42" xfId="1" applyFont="1" applyFill="1" applyBorder="1" applyAlignment="1" applyProtection="1">
      <alignment horizontal="right" vertical="center"/>
      <protection locked="0"/>
    </xf>
    <xf numFmtId="0" fontId="122" fillId="2" borderId="0" xfId="1" applyFont="1" applyFill="1" applyAlignment="1" applyProtection="1">
      <alignment horizontal="right" vertical="center"/>
      <protection locked="0"/>
    </xf>
    <xf numFmtId="0" fontId="34" fillId="8" borderId="23" xfId="9" applyFont="1" applyFill="1" applyBorder="1" applyAlignment="1" applyProtection="1">
      <alignment horizontal="right" vertical="center"/>
      <protection locked="0"/>
    </xf>
    <xf numFmtId="0" fontId="34" fillId="8" borderId="25" xfId="9" applyFont="1" applyFill="1" applyBorder="1" applyAlignment="1" applyProtection="1">
      <alignment horizontal="centerContinuous" vertical="center"/>
      <protection locked="0"/>
    </xf>
    <xf numFmtId="0" fontId="15" fillId="8" borderId="24" xfId="9" applyFont="1" applyFill="1" applyBorder="1" applyAlignment="1" applyProtection="1">
      <alignment horizontal="left" vertical="center"/>
      <protection locked="0"/>
    </xf>
    <xf numFmtId="0" fontId="123" fillId="0" borderId="0" xfId="1" applyFont="1" applyAlignment="1">
      <alignment vertical="center"/>
    </xf>
    <xf numFmtId="0" fontId="123" fillId="0" borderId="0" xfId="1" applyFont="1" applyAlignment="1">
      <alignment horizontal="center" vertical="center"/>
    </xf>
    <xf numFmtId="0" fontId="123" fillId="2" borderId="0" xfId="1" applyFont="1" applyFill="1" applyAlignment="1">
      <alignment vertical="center"/>
    </xf>
    <xf numFmtId="186" fontId="14" fillId="2" borderId="26" xfId="1" applyNumberFormat="1" applyFont="1" applyFill="1" applyBorder="1" applyAlignment="1" applyProtection="1">
      <alignment horizontal="center" vertical="center"/>
      <protection locked="0"/>
    </xf>
    <xf numFmtId="0" fontId="14" fillId="2" borderId="27" xfId="1" applyFont="1" applyFill="1" applyBorder="1" applyAlignment="1" applyProtection="1">
      <alignment horizontal="right" vertical="center"/>
      <protection locked="0"/>
    </xf>
    <xf numFmtId="187" fontId="14" fillId="2" borderId="39" xfId="1" applyNumberFormat="1" applyFont="1" applyFill="1" applyBorder="1" applyAlignment="1" applyProtection="1">
      <alignment horizontal="center" vertical="center"/>
      <protection locked="0"/>
    </xf>
    <xf numFmtId="0" fontId="13" fillId="2" borderId="27" xfId="1" applyFont="1" applyFill="1" applyBorder="1" applyAlignment="1" applyProtection="1">
      <alignment horizontal="right" vertical="center"/>
      <protection locked="0"/>
    </xf>
    <xf numFmtId="186" fontId="14" fillId="2" borderId="39" xfId="1" applyNumberFormat="1" applyFont="1" applyFill="1" applyBorder="1" applyAlignment="1" applyProtection="1">
      <alignment horizontal="center" vertical="center"/>
      <protection locked="0"/>
    </xf>
    <xf numFmtId="0" fontId="14" fillId="2" borderId="28" xfId="1" applyFont="1" applyFill="1" applyBorder="1" applyAlignment="1" applyProtection="1">
      <alignment horizontal="left" vertical="center"/>
      <protection locked="0"/>
    </xf>
    <xf numFmtId="187" fontId="14" fillId="2" borderId="12" xfId="1" applyNumberFormat="1" applyFont="1" applyFill="1" applyBorder="1" applyAlignment="1" applyProtection="1">
      <alignment horizontal="center" vertical="center"/>
      <protection locked="0"/>
    </xf>
    <xf numFmtId="0" fontId="13" fillId="2" borderId="0" xfId="1" applyFont="1" applyFill="1" applyAlignment="1" applyProtection="1">
      <alignment horizontal="right" vertical="center"/>
      <protection locked="0"/>
    </xf>
    <xf numFmtId="187" fontId="14" fillId="2" borderId="41" xfId="1" applyNumberFormat="1" applyFont="1" applyFill="1" applyBorder="1" applyAlignment="1" applyProtection="1">
      <alignment horizontal="center" vertical="center"/>
      <protection locked="0"/>
    </xf>
    <xf numFmtId="0" fontId="45" fillId="2" borderId="0" xfId="1" applyFont="1" applyFill="1" applyAlignment="1" applyProtection="1">
      <alignment horizontal="right" vertical="center"/>
      <protection locked="0"/>
    </xf>
    <xf numFmtId="0" fontId="45" fillId="2" borderId="13" xfId="1" applyFont="1" applyFill="1" applyBorder="1" applyAlignment="1" applyProtection="1">
      <alignment horizontal="left" vertical="center"/>
      <protection locked="0"/>
    </xf>
    <xf numFmtId="187" fontId="109" fillId="9" borderId="12" xfId="1" applyNumberFormat="1" applyFont="1" applyFill="1" applyBorder="1" applyAlignment="1" applyProtection="1">
      <alignment horizontal="center" vertical="center"/>
      <protection locked="0"/>
    </xf>
    <xf numFmtId="0" fontId="124" fillId="2" borderId="0" xfId="1" applyFont="1" applyFill="1" applyAlignment="1" applyProtection="1">
      <alignment horizontal="right" vertical="center" wrapText="1"/>
      <protection locked="0"/>
    </xf>
    <xf numFmtId="179" fontId="70" fillId="9" borderId="41" xfId="1" applyNumberFormat="1" applyFont="1" applyFill="1" applyBorder="1" applyAlignment="1" applyProtection="1">
      <alignment horizontal="center" vertical="center"/>
      <protection locked="0"/>
    </xf>
    <xf numFmtId="187" fontId="109" fillId="9" borderId="41" xfId="1" applyNumberFormat="1" applyFont="1" applyFill="1" applyBorder="1" applyAlignment="1" applyProtection="1">
      <alignment horizontal="center" vertical="center"/>
      <protection locked="0"/>
    </xf>
    <xf numFmtId="0" fontId="92" fillId="2" borderId="0" xfId="1" applyFont="1" applyFill="1" applyAlignment="1" applyProtection="1">
      <alignment horizontal="right" vertical="center"/>
      <protection locked="0"/>
    </xf>
    <xf numFmtId="0" fontId="92" fillId="2" borderId="13" xfId="1" applyFont="1" applyFill="1" applyBorder="1" applyAlignment="1" applyProtection="1">
      <alignment horizontal="left" vertical="center"/>
      <protection locked="0"/>
    </xf>
    <xf numFmtId="187" fontId="125" fillId="9" borderId="41" xfId="1" applyNumberFormat="1" applyFont="1" applyFill="1" applyBorder="1" applyAlignment="1" applyProtection="1">
      <alignment horizontal="center" vertical="center"/>
      <protection locked="0"/>
    </xf>
    <xf numFmtId="0" fontId="85" fillId="2" borderId="0" xfId="1" applyFont="1" applyFill="1" applyAlignment="1" applyProtection="1">
      <alignment horizontal="right" vertical="center"/>
      <protection locked="0"/>
    </xf>
    <xf numFmtId="0" fontId="85" fillId="2" borderId="13" xfId="1" applyFont="1" applyFill="1" applyBorder="1" applyAlignment="1" applyProtection="1">
      <alignment horizontal="left" vertical="center"/>
      <protection locked="0"/>
    </xf>
    <xf numFmtId="186" fontId="14" fillId="5" borderId="65" xfId="1" applyNumberFormat="1" applyFont="1" applyFill="1" applyBorder="1" applyAlignment="1" applyProtection="1">
      <alignment horizontal="center" vertical="center"/>
      <protection locked="0"/>
    </xf>
    <xf numFmtId="0" fontId="14" fillId="5" borderId="66" xfId="1" applyFont="1" applyFill="1" applyBorder="1" applyAlignment="1" applyProtection="1">
      <alignment horizontal="right" vertical="center"/>
      <protection locked="0"/>
    </xf>
    <xf numFmtId="0" fontId="13" fillId="5" borderId="66" xfId="2" applyFill="1" applyBorder="1" applyProtection="1">
      <protection hidden="1"/>
    </xf>
    <xf numFmtId="186" fontId="14" fillId="5" borderId="66" xfId="1" applyNumberFormat="1" applyFont="1" applyFill="1" applyBorder="1" applyAlignment="1" applyProtection="1">
      <alignment horizontal="center" vertical="center"/>
      <protection locked="0"/>
    </xf>
    <xf numFmtId="187" fontId="14" fillId="5" borderId="66" xfId="1" applyNumberFormat="1" applyFont="1" applyFill="1" applyBorder="1" applyAlignment="1" applyProtection="1">
      <alignment horizontal="center" vertical="center"/>
      <protection locked="0"/>
    </xf>
    <xf numFmtId="0" fontId="13" fillId="5" borderId="66" xfId="1" applyFont="1" applyFill="1" applyBorder="1" applyAlignment="1" applyProtection="1">
      <alignment horizontal="right" vertical="center"/>
      <protection locked="0"/>
    </xf>
    <xf numFmtId="0" fontId="13" fillId="5" borderId="67" xfId="1" applyFont="1" applyFill="1" applyBorder="1" applyAlignment="1" applyProtection="1">
      <alignment horizontal="left" vertical="center"/>
      <protection locked="0"/>
    </xf>
    <xf numFmtId="186" fontId="14" fillId="2" borderId="12" xfId="1" applyNumberFormat="1" applyFont="1" applyFill="1" applyBorder="1" applyAlignment="1" applyProtection="1">
      <alignment horizontal="center" vertical="center"/>
      <protection locked="0"/>
    </xf>
    <xf numFmtId="0" fontId="14" fillId="2" borderId="0" xfId="1" applyFont="1" applyFill="1" applyAlignment="1" applyProtection="1">
      <alignment horizontal="right" vertical="center"/>
      <protection locked="0"/>
    </xf>
    <xf numFmtId="186" fontId="14" fillId="2" borderId="41" xfId="1" applyNumberFormat="1" applyFont="1" applyFill="1" applyBorder="1" applyAlignment="1" applyProtection="1">
      <alignment horizontal="center" vertical="center"/>
      <protection locked="0"/>
    </xf>
    <xf numFmtId="0" fontId="13" fillId="2" borderId="68" xfId="1" applyFont="1" applyFill="1" applyBorder="1" applyAlignment="1" applyProtection="1">
      <alignment horizontal="left" vertical="center"/>
      <protection locked="0"/>
    </xf>
    <xf numFmtId="187" fontId="125" fillId="9" borderId="12" xfId="1" applyNumberFormat="1" applyFont="1" applyFill="1" applyBorder="1" applyAlignment="1" applyProtection="1">
      <alignment horizontal="center" vertical="center"/>
      <protection locked="0"/>
    </xf>
    <xf numFmtId="0" fontId="124" fillId="2" borderId="0" xfId="1" applyFont="1" applyFill="1" applyAlignment="1" applyProtection="1">
      <alignment horizontal="right" vertical="center"/>
      <protection locked="0"/>
    </xf>
    <xf numFmtId="186" fontId="109" fillId="9" borderId="41" xfId="1" applyNumberFormat="1" applyFont="1" applyFill="1" applyBorder="1" applyAlignment="1" applyProtection="1">
      <alignment horizontal="center" vertical="center"/>
      <protection locked="0"/>
    </xf>
    <xf numFmtId="0" fontId="124" fillId="2" borderId="13" xfId="1" applyFont="1" applyFill="1" applyBorder="1" applyAlignment="1" applyProtection="1">
      <alignment horizontal="left" vertical="center"/>
      <protection locked="0"/>
    </xf>
    <xf numFmtId="0" fontId="85" fillId="2" borderId="21" xfId="1" applyFont="1" applyFill="1" applyBorder="1" applyAlignment="1" applyProtection="1">
      <alignment horizontal="right" vertical="center"/>
      <protection locked="0"/>
    </xf>
    <xf numFmtId="0" fontId="34" fillId="25" borderId="60" xfId="4" applyFont="1" applyFill="1" applyBorder="1" applyAlignment="1" applyProtection="1">
      <alignment horizontal="right" vertical="center"/>
      <protection locked="0"/>
    </xf>
    <xf numFmtId="0" fontId="34" fillId="25" borderId="61" xfId="4" applyFont="1" applyFill="1" applyBorder="1" applyAlignment="1" applyProtection="1">
      <alignment horizontal="centerContinuous" vertical="center"/>
      <protection locked="0"/>
    </xf>
    <xf numFmtId="0" fontId="34" fillId="25" borderId="69" xfId="4" applyFont="1" applyFill="1" applyBorder="1" applyAlignment="1" applyProtection="1">
      <alignment horizontal="centerContinuous" vertical="center"/>
      <protection locked="0"/>
    </xf>
    <xf numFmtId="0" fontId="21" fillId="2" borderId="0" xfId="4" applyFill="1" applyAlignment="1">
      <alignment vertical="center"/>
    </xf>
    <xf numFmtId="0" fontId="34" fillId="2" borderId="0" xfId="1" applyFont="1" applyFill="1"/>
    <xf numFmtId="0" fontId="127" fillId="2" borderId="12" xfId="2" applyFont="1" applyFill="1" applyBorder="1" applyAlignment="1">
      <alignment vertical="center"/>
    </xf>
    <xf numFmtId="0" fontId="126" fillId="2" borderId="0" xfId="1" applyFont="1" applyFill="1" applyAlignment="1" applyProtection="1">
      <alignment horizontal="left" vertical="center"/>
      <protection locked="0"/>
    </xf>
    <xf numFmtId="0" fontId="127" fillId="2" borderId="0" xfId="2" applyFont="1" applyFill="1" applyAlignment="1">
      <alignment vertical="center"/>
    </xf>
    <xf numFmtId="0" fontId="128" fillId="2" borderId="0" xfId="2" applyFont="1" applyFill="1" applyAlignment="1">
      <alignment horizontal="center" vertical="center"/>
    </xf>
    <xf numFmtId="182" fontId="128" fillId="2" borderId="0" xfId="1" applyNumberFormat="1" applyFont="1" applyFill="1" applyAlignment="1">
      <alignment horizontal="center" vertical="center"/>
    </xf>
    <xf numFmtId="0" fontId="129" fillId="0" borderId="0" xfId="3" applyFont="1"/>
    <xf numFmtId="0" fontId="12" fillId="0" borderId="0" xfId="1" applyAlignment="1">
      <alignment horizontal="right"/>
    </xf>
    <xf numFmtId="182" fontId="128" fillId="2" borderId="13" xfId="1" applyNumberFormat="1" applyFont="1" applyFill="1" applyBorder="1" applyAlignment="1">
      <alignment horizontal="center" vertical="center"/>
    </xf>
    <xf numFmtId="0" fontId="130" fillId="2" borderId="12" xfId="2" applyFont="1" applyFill="1" applyBorder="1" applyAlignment="1" applyProtection="1">
      <alignment horizontal="right" vertical="center"/>
      <protection hidden="1"/>
    </xf>
    <xf numFmtId="0" fontId="131" fillId="2" borderId="0" xfId="2" applyFont="1" applyFill="1" applyAlignment="1" applyProtection="1">
      <alignment horizontal="left"/>
      <protection hidden="1"/>
    </xf>
    <xf numFmtId="0" fontId="132" fillId="17" borderId="13" xfId="2" applyFont="1" applyFill="1" applyBorder="1" applyAlignment="1">
      <alignment horizontal="center" vertical="center"/>
    </xf>
    <xf numFmtId="0" fontId="133" fillId="2" borderId="0" xfId="2" applyFont="1" applyFill="1" applyAlignment="1" applyProtection="1">
      <alignment horizontal="left"/>
      <protection hidden="1"/>
    </xf>
    <xf numFmtId="0" fontId="128" fillId="2" borderId="13" xfId="2" applyFont="1" applyFill="1" applyBorder="1" applyAlignment="1">
      <alignment horizontal="center" vertical="center"/>
    </xf>
    <xf numFmtId="0" fontId="128" fillId="2" borderId="26" xfId="2" applyFont="1" applyFill="1" applyBorder="1" applyAlignment="1">
      <alignment horizontal="center" vertical="center"/>
    </xf>
    <xf numFmtId="182" fontId="128" fillId="2" borderId="27" xfId="1" applyNumberFormat="1" applyFont="1" applyFill="1" applyBorder="1" applyAlignment="1">
      <alignment horizontal="center" vertical="center"/>
    </xf>
    <xf numFmtId="0" fontId="128" fillId="2" borderId="27" xfId="2" applyFont="1" applyFill="1" applyBorder="1" applyAlignment="1">
      <alignment horizontal="center" vertical="center"/>
    </xf>
    <xf numFmtId="182" fontId="128" fillId="2" borderId="28" xfId="1" applyNumberFormat="1" applyFont="1" applyFill="1" applyBorder="1" applyAlignment="1">
      <alignment horizontal="center" vertical="center"/>
    </xf>
    <xf numFmtId="182" fontId="128" fillId="27" borderId="12" xfId="1" applyNumberFormat="1" applyFont="1" applyFill="1" applyBorder="1" applyAlignment="1">
      <alignment horizontal="center" vertical="center"/>
    </xf>
    <xf numFmtId="182" fontId="128" fillId="27" borderId="0" xfId="1" applyNumberFormat="1" applyFont="1" applyFill="1" applyAlignment="1">
      <alignment horizontal="center" vertical="center"/>
    </xf>
    <xf numFmtId="182" fontId="128" fillId="27" borderId="13" xfId="1" applyNumberFormat="1" applyFont="1" applyFill="1" applyBorder="1" applyAlignment="1">
      <alignment horizontal="center" vertical="center"/>
    </xf>
    <xf numFmtId="188" fontId="134" fillId="2" borderId="12" xfId="1" applyNumberFormat="1" applyFont="1" applyFill="1" applyBorder="1" applyAlignment="1">
      <alignment horizontal="center" vertical="center"/>
    </xf>
    <xf numFmtId="188" fontId="134" fillId="2" borderId="0" xfId="1" applyNumberFormat="1" applyFont="1" applyFill="1" applyAlignment="1">
      <alignment horizontal="center" vertical="center"/>
    </xf>
    <xf numFmtId="189" fontId="94" fillId="2" borderId="13" xfId="1" applyNumberFormat="1" applyFont="1" applyFill="1" applyBorder="1" applyAlignment="1">
      <alignment horizontal="center" vertical="center"/>
    </xf>
    <xf numFmtId="188" fontId="94" fillId="2" borderId="0" xfId="1" applyNumberFormat="1" applyFont="1" applyFill="1" applyAlignment="1">
      <alignment horizontal="center" vertical="center"/>
    </xf>
    <xf numFmtId="0" fontId="135" fillId="2" borderId="12" xfId="1" applyFont="1" applyFill="1" applyBorder="1" applyAlignment="1">
      <alignment horizontal="center" vertical="center"/>
    </xf>
    <xf numFmtId="0" fontId="135" fillId="2" borderId="0" xfId="1" applyFont="1" applyFill="1" applyAlignment="1">
      <alignment horizontal="center" vertical="center"/>
    </xf>
    <xf numFmtId="0" fontId="135" fillId="2" borderId="13" xfId="1" applyFont="1" applyFill="1" applyBorder="1" applyAlignment="1">
      <alignment horizontal="center" vertical="center"/>
    </xf>
    <xf numFmtId="0" fontId="11" fillId="2" borderId="12" xfId="1" applyFont="1" applyFill="1" applyBorder="1" applyAlignment="1">
      <alignment horizontal="left" vertical="center"/>
    </xf>
    <xf numFmtId="0" fontId="11" fillId="2" borderId="0" xfId="1" applyFont="1" applyFill="1" applyAlignment="1">
      <alignment horizontal="center" vertical="center"/>
    </xf>
    <xf numFmtId="0" fontId="114" fillId="17" borderId="13" xfId="1" applyFont="1" applyFill="1" applyBorder="1" applyAlignment="1">
      <alignment horizontal="center" vertical="center"/>
    </xf>
    <xf numFmtId="0" fontId="11" fillId="2" borderId="0" xfId="1" applyFont="1" applyFill="1" applyAlignment="1">
      <alignment horizontal="left" vertical="center"/>
    </xf>
    <xf numFmtId="182" fontId="12" fillId="0" borderId="70" xfId="1" applyNumberFormat="1" applyBorder="1" applyAlignment="1">
      <alignment horizontal="center"/>
    </xf>
    <xf numFmtId="185" fontId="136" fillId="28" borderId="48" xfId="1" applyNumberFormat="1" applyFont="1" applyFill="1" applyBorder="1" applyAlignment="1">
      <alignment horizontal="center" vertical="center"/>
    </xf>
    <xf numFmtId="182" fontId="12" fillId="0" borderId="48" xfId="1" applyNumberFormat="1" applyBorder="1" applyAlignment="1">
      <alignment horizontal="center"/>
    </xf>
    <xf numFmtId="0" fontId="12" fillId="2" borderId="48" xfId="1" applyFill="1" applyBorder="1"/>
    <xf numFmtId="9" fontId="12" fillId="2" borderId="48" xfId="1" applyNumberFormat="1" applyFill="1" applyBorder="1" applyAlignment="1">
      <alignment horizontal="center" vertical="center"/>
    </xf>
    <xf numFmtId="0" fontId="39" fillId="2" borderId="26" xfId="1" applyFont="1" applyFill="1" applyBorder="1" applyAlignment="1">
      <alignment horizontal="center" vertical="center"/>
    </xf>
    <xf numFmtId="0" fontId="39" fillId="2" borderId="27" xfId="1" applyFont="1" applyFill="1" applyBorder="1" applyAlignment="1">
      <alignment horizontal="center" vertical="center"/>
    </xf>
    <xf numFmtId="0" fontId="132" fillId="2" borderId="27" xfId="2" applyFont="1" applyFill="1" applyBorder="1" applyAlignment="1">
      <alignment horizontal="center" vertical="center"/>
    </xf>
    <xf numFmtId="0" fontId="132" fillId="2" borderId="28" xfId="2" applyFont="1" applyFill="1" applyBorder="1" applyAlignment="1">
      <alignment horizontal="center" vertical="center"/>
    </xf>
    <xf numFmtId="0" fontId="68" fillId="24" borderId="49" xfId="2" applyFont="1" applyFill="1" applyBorder="1" applyAlignment="1">
      <alignment horizontal="center" vertical="center"/>
    </xf>
    <xf numFmtId="0" fontId="126" fillId="2" borderId="12" xfId="1" applyFont="1" applyFill="1" applyBorder="1" applyAlignment="1" applyProtection="1">
      <alignment horizontal="left" vertical="center"/>
      <protection locked="0"/>
    </xf>
    <xf numFmtId="0" fontId="55" fillId="0" borderId="0" xfId="1" applyFont="1" applyAlignment="1">
      <alignment vertical="top"/>
    </xf>
    <xf numFmtId="0" fontId="114" fillId="2" borderId="39" xfId="1" applyFont="1" applyFill="1" applyBorder="1" applyAlignment="1">
      <alignment horizontal="center" vertical="center" wrapText="1"/>
    </xf>
    <xf numFmtId="0" fontId="114" fillId="2" borderId="27" xfId="1" applyFont="1" applyFill="1" applyBorder="1" applyAlignment="1">
      <alignment horizontal="center" vertical="center" wrapText="1"/>
    </xf>
    <xf numFmtId="0" fontId="131" fillId="2" borderId="27" xfId="2" applyFont="1" applyFill="1" applyBorder="1" applyAlignment="1" applyProtection="1">
      <alignment horizontal="left"/>
      <protection hidden="1"/>
    </xf>
    <xf numFmtId="0" fontId="132" fillId="17" borderId="40" xfId="2" applyFont="1" applyFill="1" applyBorder="1" applyAlignment="1">
      <alignment horizontal="center" vertical="center"/>
    </xf>
    <xf numFmtId="0" fontId="126" fillId="2" borderId="13" xfId="1" applyFont="1" applyFill="1" applyBorder="1" applyAlignment="1" applyProtection="1">
      <alignment horizontal="left" vertical="center"/>
      <protection locked="0"/>
    </xf>
    <xf numFmtId="0" fontId="114" fillId="2" borderId="71" xfId="1" applyFont="1" applyFill="1" applyBorder="1" applyAlignment="1">
      <alignment horizontal="center" vertical="center" wrapText="1"/>
    </xf>
    <xf numFmtId="0" fontId="114" fillId="2" borderId="72" xfId="1" applyFont="1" applyFill="1" applyBorder="1" applyAlignment="1">
      <alignment horizontal="center" vertical="center" wrapText="1"/>
    </xf>
    <xf numFmtId="0" fontId="133" fillId="2" borderId="72" xfId="2" applyFont="1" applyFill="1" applyBorder="1" applyAlignment="1" applyProtection="1">
      <alignment horizontal="left"/>
      <protection hidden="1"/>
    </xf>
    <xf numFmtId="0" fontId="128" fillId="2" borderId="73" xfId="2" applyFont="1" applyFill="1" applyBorder="1" applyAlignment="1">
      <alignment horizontal="center" vertical="center"/>
    </xf>
    <xf numFmtId="0" fontId="114" fillId="2" borderId="41" xfId="1" applyFont="1" applyFill="1" applyBorder="1" applyAlignment="1">
      <alignment horizontal="center" vertical="center" wrapText="1"/>
    </xf>
    <xf numFmtId="0" fontId="114" fillId="2" borderId="0" xfId="1" applyFont="1" applyFill="1" applyAlignment="1">
      <alignment horizontal="center" vertical="center" wrapText="1"/>
    </xf>
    <xf numFmtId="0" fontId="129" fillId="2" borderId="0" xfId="3" applyFont="1" applyFill="1"/>
    <xf numFmtId="0" fontId="140" fillId="2" borderId="0" xfId="2" applyFont="1" applyFill="1" applyAlignment="1" applyProtection="1">
      <alignment horizontal="left"/>
      <protection hidden="1"/>
    </xf>
    <xf numFmtId="0" fontId="132" fillId="2" borderId="42" xfId="2" applyFont="1" applyFill="1" applyBorder="1" applyAlignment="1">
      <alignment horizontal="center" vertical="center"/>
    </xf>
    <xf numFmtId="0" fontId="12" fillId="2" borderId="0" xfId="1" applyFill="1" applyAlignment="1">
      <alignment horizontal="left" vertical="center"/>
    </xf>
    <xf numFmtId="0" fontId="129" fillId="2" borderId="0" xfId="3" applyFont="1" applyFill="1" applyAlignment="1">
      <alignment horizontal="left" vertical="center"/>
    </xf>
    <xf numFmtId="0" fontId="141" fillId="2" borderId="0" xfId="2" applyFont="1" applyFill="1" applyAlignment="1" applyProtection="1">
      <alignment horizontal="left"/>
      <protection hidden="1"/>
    </xf>
    <xf numFmtId="0" fontId="128" fillId="2" borderId="42" xfId="2" applyFont="1" applyFill="1" applyBorder="1" applyAlignment="1">
      <alignment horizontal="center" vertical="center"/>
    </xf>
    <xf numFmtId="0" fontId="12" fillId="2" borderId="0" xfId="1" applyFill="1" applyAlignment="1">
      <alignment horizontal="center" vertical="center"/>
    </xf>
    <xf numFmtId="185" fontId="101" fillId="2" borderId="0" xfId="1" applyNumberFormat="1" applyFont="1" applyFill="1" applyAlignment="1">
      <alignment horizontal="center" vertical="center"/>
    </xf>
    <xf numFmtId="0" fontId="114" fillId="17" borderId="42" xfId="1" applyFont="1" applyFill="1" applyBorder="1" applyAlignment="1">
      <alignment horizontal="center" vertical="center"/>
    </xf>
    <xf numFmtId="185" fontId="142" fillId="28" borderId="0" xfId="1" applyNumberFormat="1" applyFont="1" applyFill="1" applyAlignment="1">
      <alignment horizontal="center" vertical="center"/>
    </xf>
    <xf numFmtId="0" fontId="39" fillId="2" borderId="0" xfId="1" applyFont="1" applyFill="1" applyAlignment="1">
      <alignment horizontal="centerContinuous" vertical="center"/>
    </xf>
    <xf numFmtId="0" fontId="39" fillId="2" borderId="42" xfId="1" applyFont="1" applyFill="1" applyBorder="1" applyAlignment="1">
      <alignment horizontal="centerContinuous" vertical="center"/>
    </xf>
    <xf numFmtId="0" fontId="9" fillId="2" borderId="0" xfId="1" applyFont="1" applyFill="1" applyAlignment="1" applyProtection="1">
      <alignment horizontal="left" vertical="center"/>
      <protection locked="0"/>
    </xf>
    <xf numFmtId="0" fontId="130" fillId="2" borderId="70" xfId="2" applyFont="1" applyFill="1" applyBorder="1" applyAlignment="1" applyProtection="1">
      <alignment horizontal="right" vertical="center"/>
      <protection hidden="1"/>
    </xf>
    <xf numFmtId="174" fontId="13" fillId="0" borderId="12" xfId="1" applyNumberFormat="1" applyFont="1" applyBorder="1" applyAlignment="1" applyProtection="1">
      <alignment horizontal="center" vertical="center" wrapText="1"/>
      <protection locked="0"/>
    </xf>
    <xf numFmtId="174" fontId="13" fillId="0" borderId="13" xfId="1" applyNumberFormat="1" applyFont="1" applyBorder="1" applyAlignment="1" applyProtection="1">
      <alignment horizontal="center" vertical="center" wrapText="1"/>
      <protection locked="0"/>
    </xf>
    <xf numFmtId="0" fontId="12" fillId="25" borderId="35" xfId="1" applyFill="1" applyBorder="1" applyAlignment="1">
      <alignment horizontal="centerContinuous" vertical="center"/>
    </xf>
    <xf numFmtId="0" fontId="12" fillId="25" borderId="36" xfId="1" applyFill="1" applyBorder="1" applyAlignment="1">
      <alignment horizontal="centerContinuous" vertical="center"/>
    </xf>
    <xf numFmtId="0" fontId="34" fillId="25" borderId="36" xfId="1" applyFont="1" applyFill="1" applyBorder="1" applyAlignment="1">
      <alignment horizontal="centerContinuous" vertical="center"/>
    </xf>
    <xf numFmtId="0" fontId="34" fillId="25" borderId="37" xfId="1" applyFont="1" applyFill="1" applyBorder="1" applyAlignment="1">
      <alignment horizontal="centerContinuous" vertical="center"/>
    </xf>
    <xf numFmtId="0" fontId="13" fillId="25" borderId="35" xfId="1" applyFont="1" applyFill="1" applyBorder="1" applyAlignment="1">
      <alignment horizontal="centerContinuous" vertical="center" wrapText="1"/>
    </xf>
    <xf numFmtId="0" fontId="13" fillId="25" borderId="36" xfId="1" applyFont="1" applyFill="1" applyBorder="1" applyAlignment="1">
      <alignment horizontal="centerContinuous" vertical="center" wrapText="1"/>
    </xf>
    <xf numFmtId="1" fontId="34" fillId="25" borderId="37" xfId="1" applyNumberFormat="1" applyFont="1" applyFill="1" applyBorder="1" applyAlignment="1">
      <alignment horizontal="centerContinuous" vertical="center" wrapText="1"/>
    </xf>
    <xf numFmtId="0" fontId="13" fillId="2" borderId="9" xfId="2" applyFill="1" applyBorder="1" applyAlignment="1">
      <alignment horizontal="center" vertical="center"/>
    </xf>
    <xf numFmtId="0" fontId="13" fillId="2" borderId="10" xfId="2" applyFill="1" applyBorder="1" applyAlignment="1">
      <alignment horizontal="centerContinuous" vertical="center"/>
    </xf>
    <xf numFmtId="0" fontId="13" fillId="2" borderId="12" xfId="2" applyFill="1" applyBorder="1" applyAlignment="1">
      <alignment horizontal="center" vertical="center"/>
    </xf>
    <xf numFmtId="0" fontId="13" fillId="1" borderId="12" xfId="2" applyFill="1" applyBorder="1" applyAlignment="1">
      <alignment vertical="center"/>
    </xf>
    <xf numFmtId="0" fontId="34" fillId="0" borderId="41" xfId="10" applyFont="1" applyBorder="1" applyAlignment="1">
      <alignment horizontal="center" vertical="center"/>
    </xf>
    <xf numFmtId="190" fontId="34" fillId="0" borderId="42" xfId="10" applyNumberFormat="1" applyFont="1" applyBorder="1" applyAlignment="1" applyProtection="1">
      <alignment horizontal="center" vertical="center"/>
      <protection locked="0"/>
    </xf>
    <xf numFmtId="0" fontId="117" fillId="2" borderId="0" xfId="11" applyFont="1" applyFill="1" applyAlignment="1" applyProtection="1">
      <alignment vertical="center"/>
      <protection hidden="1"/>
    </xf>
    <xf numFmtId="0" fontId="10" fillId="30" borderId="0" xfId="12" applyFont="1" applyFill="1" applyAlignment="1" applyProtection="1">
      <alignment horizontal="center" vertical="center"/>
      <protection hidden="1"/>
    </xf>
    <xf numFmtId="1" fontId="34" fillId="0" borderId="41" xfId="10" applyNumberFormat="1" applyFont="1" applyBorder="1" applyAlignment="1">
      <alignment horizontal="center" vertical="center"/>
    </xf>
    <xf numFmtId="190" fontId="77" fillId="19" borderId="42" xfId="10" applyNumberFormat="1" applyFont="1" applyFill="1" applyBorder="1" applyAlignment="1" applyProtection="1">
      <alignment horizontal="center" vertical="center"/>
      <protection locked="0"/>
    </xf>
    <xf numFmtId="0" fontId="148" fillId="2" borderId="0" xfId="1" applyFont="1" applyFill="1"/>
    <xf numFmtId="0" fontId="149" fillId="2" borderId="0" xfId="2" applyFont="1" applyFill="1" applyAlignment="1" applyProtection="1">
      <alignment vertical="center"/>
      <protection hidden="1"/>
    </xf>
    <xf numFmtId="0" fontId="150" fillId="31" borderId="41" xfId="10" applyFont="1" applyFill="1" applyBorder="1" applyAlignment="1" applyProtection="1">
      <alignment horizontal="center" vertical="center"/>
      <protection locked="0"/>
    </xf>
    <xf numFmtId="190" fontId="150" fillId="31" borderId="42" xfId="10" applyNumberFormat="1" applyFont="1" applyFill="1" applyBorder="1" applyAlignment="1" applyProtection="1">
      <alignment horizontal="center" vertical="center"/>
      <protection locked="0"/>
    </xf>
    <xf numFmtId="0" fontId="153" fillId="2" borderId="0" xfId="11" applyFont="1" applyFill="1" applyAlignment="1" applyProtection="1">
      <alignment vertical="center"/>
      <protection hidden="1"/>
    </xf>
    <xf numFmtId="49" fontId="12" fillId="2" borderId="12" xfId="1" applyNumberFormat="1" applyFill="1" applyBorder="1" applyAlignment="1">
      <alignment horizontal="center" vertical="center"/>
    </xf>
    <xf numFmtId="49" fontId="101" fillId="2" borderId="13" xfId="1" applyNumberFormat="1" applyFont="1" applyFill="1" applyBorder="1" applyAlignment="1">
      <alignment horizontal="right" vertical="center"/>
    </xf>
    <xf numFmtId="49" fontId="12" fillId="2" borderId="84" xfId="1" applyNumberFormat="1" applyFill="1" applyBorder="1" applyAlignment="1">
      <alignment horizontal="center" vertical="center"/>
    </xf>
    <xf numFmtId="49" fontId="12" fillId="2" borderId="85" xfId="1" applyNumberFormat="1" applyFill="1" applyBorder="1" applyAlignment="1">
      <alignment horizontal="center" vertical="center"/>
    </xf>
    <xf numFmtId="49" fontId="101" fillId="2" borderId="86" xfId="1" applyNumberFormat="1" applyFont="1" applyFill="1" applyBorder="1" applyAlignment="1">
      <alignment horizontal="right" vertical="center"/>
    </xf>
    <xf numFmtId="0" fontId="114" fillId="17" borderId="70" xfId="2" applyFont="1" applyFill="1" applyBorder="1" applyAlignment="1">
      <alignment horizontal="center" vertical="center"/>
    </xf>
    <xf numFmtId="0" fontId="101" fillId="2" borderId="48" xfId="2" applyFont="1" applyFill="1" applyBorder="1" applyAlignment="1">
      <alignment horizontal="center" vertical="center"/>
    </xf>
    <xf numFmtId="0" fontId="101" fillId="2" borderId="64" xfId="2" applyFont="1" applyFill="1" applyBorder="1" applyAlignment="1">
      <alignment horizontal="center" vertical="center"/>
    </xf>
    <xf numFmtId="0" fontId="101" fillId="2" borderId="87" xfId="2" applyFont="1" applyFill="1" applyBorder="1" applyAlignment="1">
      <alignment horizontal="center" vertical="center"/>
    </xf>
    <xf numFmtId="0" fontId="114" fillId="17" borderId="25" xfId="2" applyFont="1" applyFill="1" applyBorder="1" applyAlignment="1">
      <alignment horizontal="center" vertical="center"/>
    </xf>
    <xf numFmtId="0" fontId="101" fillId="2" borderId="25" xfId="2" applyFont="1" applyFill="1" applyBorder="1" applyAlignment="1">
      <alignment horizontal="center" vertical="center"/>
    </xf>
    <xf numFmtId="0" fontId="101" fillId="2" borderId="88" xfId="2" applyFont="1" applyFill="1" applyBorder="1" applyAlignment="1">
      <alignment horizontal="center" vertical="center"/>
    </xf>
    <xf numFmtId="0" fontId="114" fillId="17" borderId="88" xfId="2" applyFont="1" applyFill="1" applyBorder="1" applyAlignment="1">
      <alignment horizontal="center" vertical="center"/>
    </xf>
    <xf numFmtId="0" fontId="100" fillId="2" borderId="89" xfId="2" applyFont="1" applyFill="1" applyBorder="1" applyAlignment="1">
      <alignment horizontal="center" vertical="center"/>
    </xf>
    <xf numFmtId="0" fontId="100" fillId="2" borderId="90" xfId="2" applyFont="1" applyFill="1" applyBorder="1" applyAlignment="1">
      <alignment horizontal="center" vertical="center"/>
    </xf>
    <xf numFmtId="0" fontId="114" fillId="2" borderId="91" xfId="2" applyFont="1" applyFill="1" applyBorder="1" applyAlignment="1">
      <alignment horizontal="center" vertical="center"/>
    </xf>
    <xf numFmtId="0" fontId="14" fillId="2" borderId="0" xfId="2" applyFont="1" applyFill="1" applyAlignment="1" applyProtection="1">
      <alignment vertical="center"/>
      <protection hidden="1"/>
    </xf>
    <xf numFmtId="165" fontId="14" fillId="33" borderId="12" xfId="5" applyNumberFormat="1" applyFont="1" applyFill="1" applyBorder="1" applyAlignment="1">
      <alignment horizontal="center" vertical="center"/>
    </xf>
    <xf numFmtId="191" fontId="39" fillId="2" borderId="0" xfId="2" applyNumberFormat="1" applyFont="1" applyFill="1" applyAlignment="1" applyProtection="1">
      <alignment horizontal="center" vertical="center"/>
      <protection hidden="1"/>
    </xf>
    <xf numFmtId="192" fontId="157" fillId="2" borderId="0" xfId="2" applyNumberFormat="1" applyFont="1" applyFill="1" applyAlignment="1" applyProtection="1">
      <alignment horizontal="center" vertical="center"/>
      <protection hidden="1"/>
    </xf>
    <xf numFmtId="0" fontId="94" fillId="2" borderId="0" xfId="1" applyFont="1" applyFill="1" applyAlignment="1">
      <alignment horizontal="left"/>
    </xf>
    <xf numFmtId="0" fontId="94" fillId="2" borderId="96" xfId="1" applyFont="1" applyFill="1" applyBorder="1" applyAlignment="1">
      <alignment horizontal="center"/>
    </xf>
    <xf numFmtId="0" fontId="13" fillId="2" borderId="9" xfId="2" applyFill="1" applyBorder="1"/>
    <xf numFmtId="0" fontId="13" fillId="2" borderId="10" xfId="2" applyFill="1" applyBorder="1"/>
    <xf numFmtId="0" fontId="13" fillId="2" borderId="11" xfId="2" applyFill="1" applyBorder="1"/>
    <xf numFmtId="0" fontId="13" fillId="2" borderId="12" xfId="2" applyFill="1" applyBorder="1"/>
    <xf numFmtId="0" fontId="13" fillId="2" borderId="0" xfId="2" applyFill="1"/>
    <xf numFmtId="0" fontId="45" fillId="2" borderId="12" xfId="2" applyFont="1" applyFill="1" applyBorder="1"/>
    <xf numFmtId="0" fontId="45" fillId="2" borderId="0" xfId="2" applyFont="1" applyFill="1"/>
    <xf numFmtId="0" fontId="14" fillId="2" borderId="12" xfId="2" applyFont="1" applyFill="1" applyBorder="1"/>
    <xf numFmtId="0" fontId="12" fillId="2" borderId="11" xfId="1" applyFill="1" applyBorder="1" applyAlignment="1">
      <alignment horizontal="center" vertical="center" textRotation="90"/>
    </xf>
    <xf numFmtId="0" fontId="12" fillId="2" borderId="13" xfId="1" applyFill="1" applyBorder="1" applyAlignment="1">
      <alignment horizontal="center" vertical="center" textRotation="90"/>
    </xf>
    <xf numFmtId="0" fontId="162" fillId="2" borderId="0" xfId="14" applyFont="1" applyFill="1" applyAlignment="1">
      <alignment vertical="center"/>
    </xf>
    <xf numFmtId="0" fontId="163" fillId="2" borderId="0" xfId="1" applyFont="1" applyFill="1" applyAlignment="1">
      <alignment horizontal="left" vertical="center"/>
    </xf>
    <xf numFmtId="0" fontId="164" fillId="2" borderId="0" xfId="1" applyFont="1" applyFill="1" applyAlignment="1">
      <alignment vertical="center"/>
    </xf>
    <xf numFmtId="0" fontId="163" fillId="2" borderId="0" xfId="1" applyFont="1" applyFill="1" applyAlignment="1">
      <alignment vertical="center"/>
    </xf>
    <xf numFmtId="0" fontId="165" fillId="2" borderId="0" xfId="2" applyFont="1" applyFill="1" applyAlignment="1">
      <alignment horizontal="center" vertical="center" wrapText="1"/>
    </xf>
    <xf numFmtId="165" fontId="166" fillId="2" borderId="0" xfId="2" applyNumberFormat="1" applyFont="1" applyFill="1" applyAlignment="1">
      <alignment vertical="center"/>
    </xf>
    <xf numFmtId="0" fontId="165" fillId="2" borderId="0" xfId="2" applyFont="1" applyFill="1" applyAlignment="1">
      <alignment horizontal="right" vertical="center" wrapText="1"/>
    </xf>
    <xf numFmtId="0" fontId="27" fillId="2" borderId="0" xfId="2" applyFont="1" applyFill="1"/>
    <xf numFmtId="0" fontId="165" fillId="2" borderId="0" xfId="2" applyFont="1" applyFill="1" applyAlignment="1">
      <alignment horizontal="right" vertical="center"/>
    </xf>
    <xf numFmtId="165" fontId="137" fillId="2" borderId="0" xfId="2" applyNumberFormat="1" applyFont="1" applyFill="1" applyAlignment="1">
      <alignment horizontal="center" vertical="center" wrapText="1"/>
    </xf>
    <xf numFmtId="0" fontId="137" fillId="2" borderId="97" xfId="2" applyFont="1" applyFill="1" applyBorder="1" applyAlignment="1">
      <alignment horizontal="right" vertical="center" wrapText="1"/>
    </xf>
    <xf numFmtId="0" fontId="168" fillId="2" borderId="7" xfId="2" applyFont="1" applyFill="1" applyBorder="1" applyAlignment="1">
      <alignment horizontal="center" vertical="center"/>
    </xf>
    <xf numFmtId="195" fontId="78" fillId="2" borderId="0" xfId="2" applyNumberFormat="1" applyFont="1" applyFill="1" applyAlignment="1">
      <alignment horizontal="left" vertical="center"/>
    </xf>
    <xf numFmtId="167" fontId="169" fillId="2" borderId="0" xfId="2" applyNumberFormat="1" applyFont="1" applyFill="1" applyAlignment="1">
      <alignment horizontal="right" vertical="center"/>
    </xf>
    <xf numFmtId="2" fontId="78" fillId="34" borderId="0" xfId="2" applyNumberFormat="1" applyFont="1" applyFill="1" applyAlignment="1" applyProtection="1">
      <alignment vertical="center"/>
      <protection locked="0"/>
    </xf>
    <xf numFmtId="0" fontId="170" fillId="2" borderId="0" xfId="2" applyFont="1" applyFill="1" applyAlignment="1">
      <alignment horizontal="center" vertical="center"/>
    </xf>
    <xf numFmtId="0" fontId="78" fillId="2" borderId="0" xfId="5" applyFont="1" applyFill="1" applyAlignment="1">
      <alignment vertical="center"/>
    </xf>
    <xf numFmtId="0" fontId="45" fillId="0" borderId="0" xfId="2" applyFont="1"/>
    <xf numFmtId="195" fontId="171" fillId="2" borderId="7" xfId="2" applyNumberFormat="1" applyFont="1" applyFill="1" applyBorder="1" applyAlignment="1">
      <alignment horizontal="left" vertical="center"/>
    </xf>
    <xf numFmtId="0" fontId="172" fillId="2" borderId="7" xfId="2" applyFont="1" applyFill="1" applyBorder="1" applyAlignment="1">
      <alignment horizontal="center" vertical="center"/>
    </xf>
    <xf numFmtId="167" fontId="173" fillId="2" borderId="7" xfId="2" applyNumberFormat="1" applyFont="1" applyFill="1" applyBorder="1" applyAlignment="1">
      <alignment horizontal="right" vertical="center"/>
    </xf>
    <xf numFmtId="0" fontId="12" fillId="2" borderId="7" xfId="1" applyFill="1" applyBorder="1"/>
    <xf numFmtId="195" fontId="78" fillId="5" borderId="0" xfId="2" applyNumberFormat="1" applyFont="1" applyFill="1" applyAlignment="1">
      <alignment horizontal="left" vertical="center"/>
    </xf>
    <xf numFmtId="0" fontId="174" fillId="5" borderId="0" xfId="2" applyFont="1" applyFill="1" applyAlignment="1">
      <alignment horizontal="center" vertical="center"/>
    </xf>
    <xf numFmtId="167" fontId="169" fillId="5" borderId="0" xfId="2" applyNumberFormat="1" applyFont="1" applyFill="1" applyAlignment="1">
      <alignment horizontal="right" vertical="center"/>
    </xf>
    <xf numFmtId="0" fontId="9" fillId="5" borderId="0" xfId="1" applyFont="1" applyFill="1"/>
    <xf numFmtId="166" fontId="101" fillId="5" borderId="0" xfId="2" applyNumberFormat="1" applyFont="1" applyFill="1" applyAlignment="1">
      <alignment horizontal="left" vertical="center"/>
    </xf>
    <xf numFmtId="167" fontId="169" fillId="5" borderId="0" xfId="2" applyNumberFormat="1" applyFont="1" applyFill="1" applyAlignment="1">
      <alignment horizontal="center" vertical="center"/>
    </xf>
    <xf numFmtId="196" fontId="169" fillId="5" borderId="0" xfId="2" applyNumberFormat="1" applyFont="1" applyFill="1" applyAlignment="1">
      <alignment horizontal="center" vertical="center"/>
    </xf>
    <xf numFmtId="165" fontId="175" fillId="5" borderId="0" xfId="2" applyNumberFormat="1" applyFont="1" applyFill="1" applyAlignment="1">
      <alignment horizontal="center" vertical="center"/>
    </xf>
    <xf numFmtId="0" fontId="177" fillId="5" borderId="0" xfId="5" applyFont="1" applyFill="1" applyAlignment="1">
      <alignment horizontal="center" vertical="center"/>
    </xf>
    <xf numFmtId="0" fontId="180" fillId="8" borderId="0" xfId="2" applyFont="1" applyFill="1" applyAlignment="1">
      <alignment horizontal="center" vertical="center"/>
    </xf>
    <xf numFmtId="195" fontId="78" fillId="5" borderId="2" xfId="2" applyNumberFormat="1" applyFont="1" applyFill="1" applyBorder="1" applyAlignment="1">
      <alignment horizontal="left" vertical="center"/>
    </xf>
    <xf numFmtId="0" fontId="182" fillId="5" borderId="2" xfId="2" applyFont="1" applyFill="1" applyBorder="1" applyAlignment="1">
      <alignment horizontal="center" vertical="center"/>
    </xf>
    <xf numFmtId="167" fontId="169" fillId="5" borderId="2" xfId="2" applyNumberFormat="1" applyFont="1" applyFill="1" applyBorder="1" applyAlignment="1">
      <alignment horizontal="right" vertical="center"/>
    </xf>
    <xf numFmtId="196" fontId="169" fillId="5" borderId="2" xfId="2" applyNumberFormat="1" applyFont="1" applyFill="1" applyBorder="1" applyAlignment="1">
      <alignment horizontal="center" vertical="center"/>
    </xf>
    <xf numFmtId="167" fontId="169" fillId="5" borderId="2" xfId="2" applyNumberFormat="1" applyFont="1" applyFill="1" applyBorder="1" applyAlignment="1">
      <alignment horizontal="center" vertical="center"/>
    </xf>
    <xf numFmtId="0" fontId="182" fillId="5" borderId="0" xfId="2" applyFont="1" applyFill="1" applyAlignment="1">
      <alignment horizontal="center" vertical="center"/>
    </xf>
    <xf numFmtId="197" fontId="178" fillId="5" borderId="0" xfId="2" applyNumberFormat="1" applyFont="1" applyFill="1" applyAlignment="1">
      <alignment horizontal="center" vertical="center"/>
    </xf>
    <xf numFmtId="0" fontId="184" fillId="2" borderId="0" xfId="5" applyFont="1" applyFill="1" applyAlignment="1">
      <alignment horizontal="center" vertical="center" wrapText="1"/>
    </xf>
    <xf numFmtId="0" fontId="171" fillId="2" borderId="0" xfId="5" applyFont="1" applyFill="1" applyAlignment="1">
      <alignment horizontal="center" vertical="center" wrapText="1"/>
    </xf>
    <xf numFmtId="0" fontId="185" fillId="2" borderId="0" xfId="2" applyFont="1" applyFill="1" applyAlignment="1" applyProtection="1">
      <alignment horizontal="center"/>
      <protection hidden="1"/>
    </xf>
    <xf numFmtId="0" fontId="45" fillId="2" borderId="17" xfId="2" applyFont="1" applyFill="1" applyBorder="1" applyAlignment="1">
      <alignment vertical="center"/>
    </xf>
    <xf numFmtId="165" fontId="187" fillId="2" borderId="18" xfId="5" applyNumberFormat="1" applyFont="1" applyFill="1" applyBorder="1" applyAlignment="1">
      <alignment horizontal="left" vertical="center"/>
    </xf>
    <xf numFmtId="0" fontId="45" fillId="2" borderId="12" xfId="2" applyFont="1" applyFill="1" applyBorder="1" applyAlignment="1">
      <alignment vertical="center"/>
    </xf>
    <xf numFmtId="165" fontId="187" fillId="2" borderId="0" xfId="5" applyNumberFormat="1" applyFont="1" applyFill="1" applyAlignment="1">
      <alignment horizontal="left" vertical="center"/>
    </xf>
    <xf numFmtId="0" fontId="45" fillId="2" borderId="14" xfId="2" applyFont="1" applyFill="1" applyBorder="1" applyAlignment="1">
      <alignment vertical="center"/>
    </xf>
    <xf numFmtId="165" fontId="156" fillId="2" borderId="15" xfId="5" applyNumberFormat="1" applyFont="1" applyFill="1" applyBorder="1" applyAlignment="1">
      <alignment horizontal="center" vertical="center"/>
    </xf>
    <xf numFmtId="0" fontId="45" fillId="2" borderId="15" xfId="2" applyFont="1" applyFill="1" applyBorder="1" applyAlignment="1">
      <alignment vertical="center"/>
    </xf>
    <xf numFmtId="0" fontId="168" fillId="2" borderId="13" xfId="2" applyFont="1" applyFill="1" applyBorder="1" applyAlignment="1">
      <alignment horizontal="center" vertical="center"/>
    </xf>
    <xf numFmtId="0" fontId="127" fillId="2" borderId="12" xfId="5" applyFont="1" applyFill="1" applyBorder="1" applyAlignment="1">
      <alignment horizontal="center" vertical="center" wrapText="1"/>
    </xf>
    <xf numFmtId="0" fontId="13" fillId="0" borderId="0" xfId="2"/>
    <xf numFmtId="0" fontId="195" fillId="2" borderId="0" xfId="2" applyFont="1" applyFill="1" applyAlignment="1">
      <alignment horizontal="center" vertical="center" wrapText="1"/>
    </xf>
    <xf numFmtId="0" fontId="127" fillId="2" borderId="0" xfId="5" applyFont="1" applyFill="1" applyAlignment="1">
      <alignment horizontal="center" vertical="center" wrapText="1"/>
    </xf>
    <xf numFmtId="0" fontId="20" fillId="2" borderId="13" xfId="14" applyFill="1" applyBorder="1" applyAlignment="1">
      <alignment vertical="center" wrapText="1"/>
    </xf>
    <xf numFmtId="0" fontId="199" fillId="2" borderId="98" xfId="2" applyFont="1" applyFill="1" applyBorder="1" applyAlignment="1">
      <alignment vertical="center"/>
    </xf>
    <xf numFmtId="0" fontId="199" fillId="2" borderId="7" xfId="2" applyFont="1" applyFill="1" applyBorder="1" applyAlignment="1">
      <alignment vertical="center"/>
    </xf>
    <xf numFmtId="0" fontId="201" fillId="2" borderId="0" xfId="14" applyFont="1" applyFill="1" applyAlignment="1">
      <alignment vertical="center"/>
    </xf>
    <xf numFmtId="0" fontId="178" fillId="2" borderId="100" xfId="5" applyFont="1" applyFill="1" applyBorder="1" applyAlignment="1">
      <alignment vertical="center"/>
    </xf>
    <xf numFmtId="0" fontId="178" fillId="2" borderId="2" xfId="5" applyFont="1" applyFill="1" applyBorder="1" applyAlignment="1">
      <alignment vertical="center"/>
    </xf>
    <xf numFmtId="0" fontId="178" fillId="2" borderId="101" xfId="5" applyFont="1" applyFill="1" applyBorder="1" applyAlignment="1">
      <alignment vertical="center"/>
    </xf>
    <xf numFmtId="0" fontId="204" fillId="2" borderId="12" xfId="14" applyFont="1" applyFill="1" applyBorder="1" applyAlignment="1">
      <alignment horizontal="center" vertical="center" wrapText="1"/>
    </xf>
    <xf numFmtId="0" fontId="204" fillId="2" borderId="0" xfId="14" applyFont="1" applyFill="1" applyAlignment="1">
      <alignment horizontal="center" vertical="center" wrapText="1"/>
    </xf>
    <xf numFmtId="0" fontId="205" fillId="2" borderId="0" xfId="1" applyFont="1" applyFill="1" applyAlignment="1">
      <alignment wrapText="1"/>
    </xf>
    <xf numFmtId="0" fontId="206" fillId="2" borderId="13" xfId="2" applyFont="1" applyFill="1" applyBorder="1" applyAlignment="1">
      <alignment horizontal="left" vertical="center"/>
    </xf>
    <xf numFmtId="0" fontId="12" fillId="5" borderId="12" xfId="1" applyFill="1" applyBorder="1"/>
    <xf numFmtId="3" fontId="208" fillId="3" borderId="13" xfId="5" applyNumberFormat="1" applyFont="1" applyFill="1" applyBorder="1" applyAlignment="1">
      <alignment horizontal="center" vertical="center"/>
    </xf>
    <xf numFmtId="0" fontId="13" fillId="2" borderId="13" xfId="2" applyFill="1" applyBorder="1"/>
    <xf numFmtId="0" fontId="211" fillId="2" borderId="13" xfId="2" applyFont="1" applyFill="1" applyBorder="1" applyAlignment="1">
      <alignment horizontal="center" vertical="center"/>
    </xf>
    <xf numFmtId="0" fontId="212" fillId="2" borderId="13" xfId="5" applyFont="1" applyFill="1" applyBorder="1" applyAlignment="1">
      <alignment horizontal="center" vertical="center"/>
    </xf>
    <xf numFmtId="200" fontId="171" fillId="5" borderId="0" xfId="2" applyNumberFormat="1" applyFont="1" applyFill="1" applyAlignment="1">
      <alignment horizontal="center" vertical="center"/>
    </xf>
    <xf numFmtId="200" fontId="171" fillId="3" borderId="0" xfId="2" applyNumberFormat="1" applyFont="1" applyFill="1" applyAlignment="1">
      <alignment horizontal="center" vertical="center"/>
    </xf>
    <xf numFmtId="0" fontId="214" fillId="2" borderId="13" xfId="1" applyFont="1" applyFill="1" applyBorder="1"/>
    <xf numFmtId="0" fontId="214" fillId="2" borderId="0" xfId="1" applyFont="1" applyFill="1"/>
    <xf numFmtId="0" fontId="157" fillId="0" borderId="0" xfId="5" applyFont="1" applyAlignment="1">
      <alignment vertical="center"/>
    </xf>
    <xf numFmtId="0" fontId="157" fillId="0" borderId="0" xfId="5" applyFont="1" applyAlignment="1" applyProtection="1">
      <alignment vertical="center"/>
      <protection locked="0"/>
    </xf>
    <xf numFmtId="0" fontId="120" fillId="3" borderId="0" xfId="2" applyFont="1" applyFill="1"/>
    <xf numFmtId="0" fontId="101" fillId="2" borderId="0" xfId="1" applyFont="1" applyFill="1" applyAlignment="1">
      <alignment vertical="center"/>
    </xf>
    <xf numFmtId="0" fontId="216" fillId="0" borderId="0" xfId="3" applyFont="1"/>
    <xf numFmtId="0" fontId="13" fillId="2" borderId="0" xfId="2" applyFill="1" applyAlignment="1">
      <alignment vertical="center"/>
    </xf>
    <xf numFmtId="0" fontId="227" fillId="2" borderId="0" xfId="2" applyFont="1" applyFill="1" applyAlignment="1">
      <alignment vertical="center"/>
    </xf>
    <xf numFmtId="0" fontId="228" fillId="2" borderId="0" xfId="2" applyFont="1" applyFill="1" applyAlignment="1">
      <alignment vertical="center"/>
    </xf>
    <xf numFmtId="0" fontId="16" fillId="2" borderId="0" xfId="2" applyFont="1" applyFill="1" applyAlignment="1">
      <alignment vertical="center"/>
    </xf>
    <xf numFmtId="0" fontId="198" fillId="30" borderId="0" xfId="12" applyFont="1" applyFill="1" applyAlignment="1" applyProtection="1">
      <alignment horizontal="center" vertical="center"/>
      <protection hidden="1"/>
    </xf>
    <xf numFmtId="0" fontId="230" fillId="2" borderId="0" xfId="2" applyFont="1" applyFill="1" applyAlignment="1">
      <alignment vertical="center"/>
    </xf>
    <xf numFmtId="0" fontId="227" fillId="2" borderId="0" xfId="2" applyFont="1" applyFill="1"/>
    <xf numFmtId="0" fontId="227" fillId="0" borderId="0" xfId="2" applyFont="1" applyAlignment="1">
      <alignment vertical="center"/>
    </xf>
    <xf numFmtId="0" fontId="236" fillId="8" borderId="12" xfId="2" applyFont="1" applyFill="1" applyBorder="1" applyAlignment="1">
      <alignment horizontal="center" vertical="center"/>
    </xf>
    <xf numFmtId="0" fontId="209" fillId="2" borderId="12" xfId="2" applyFont="1" applyFill="1" applyBorder="1" applyAlignment="1">
      <alignment horizontal="center" vertical="center"/>
    </xf>
    <xf numFmtId="0" fontId="239" fillId="2" borderId="13" xfId="2" applyFont="1" applyFill="1" applyBorder="1" applyAlignment="1">
      <alignment vertical="center"/>
    </xf>
    <xf numFmtId="0" fontId="217" fillId="2" borderId="0" xfId="14" applyFont="1" applyFill="1" applyAlignment="1" applyProtection="1">
      <alignment vertical="center"/>
      <protection hidden="1"/>
    </xf>
    <xf numFmtId="0" fontId="117" fillId="2" borderId="0" xfId="14" applyFont="1" applyFill="1" applyAlignment="1" applyProtection="1">
      <alignment vertical="center"/>
      <protection hidden="1"/>
    </xf>
    <xf numFmtId="0" fontId="16" fillId="0" borderId="0" xfId="1" applyFont="1"/>
    <xf numFmtId="0" fontId="209" fillId="2" borderId="0" xfId="2" applyFont="1" applyFill="1" applyAlignment="1" applyProtection="1">
      <alignment vertical="center"/>
      <protection hidden="1"/>
    </xf>
    <xf numFmtId="0" fontId="153" fillId="2" borderId="0" xfId="14" applyFont="1" applyFill="1" applyAlignment="1" applyProtection="1">
      <alignment vertical="center"/>
      <protection hidden="1"/>
    </xf>
    <xf numFmtId="0" fontId="39" fillId="2" borderId="0" xfId="2" applyFont="1" applyFill="1" applyAlignment="1" applyProtection="1">
      <alignment horizontal="left"/>
      <protection hidden="1"/>
    </xf>
    <xf numFmtId="0" fontId="34" fillId="2" borderId="0" xfId="2" applyFont="1" applyFill="1" applyAlignment="1" applyProtection="1">
      <alignment horizontal="left"/>
      <protection hidden="1"/>
    </xf>
    <xf numFmtId="0" fontId="12" fillId="0" borderId="0" xfId="1" applyAlignment="1">
      <alignment horizontal="center" vertical="center"/>
    </xf>
    <xf numFmtId="0" fontId="13" fillId="2" borderId="0" xfId="2" applyFill="1" applyAlignment="1">
      <alignment horizontal="center" vertical="center"/>
    </xf>
    <xf numFmtId="2" fontId="101" fillId="5" borderId="0" xfId="2" applyNumberFormat="1" applyFont="1" applyFill="1" applyAlignment="1">
      <alignment horizontal="center" vertical="center"/>
    </xf>
    <xf numFmtId="0" fontId="213" fillId="2" borderId="64" xfId="5" applyFont="1" applyFill="1" applyBorder="1" applyAlignment="1">
      <alignment horizontal="center" vertical="center"/>
    </xf>
    <xf numFmtId="0" fontId="101" fillId="2" borderId="48" xfId="2" applyFont="1" applyFill="1" applyBorder="1" applyAlignment="1">
      <alignment vertical="center"/>
    </xf>
    <xf numFmtId="0" fontId="13" fillId="2" borderId="48" xfId="2" applyFill="1" applyBorder="1"/>
    <xf numFmtId="0" fontId="13" fillId="2" borderId="70" xfId="2" applyFill="1" applyBorder="1"/>
    <xf numFmtId="0" fontId="101" fillId="2" borderId="0" xfId="2" applyFont="1" applyFill="1" applyAlignment="1">
      <alignment vertical="center"/>
    </xf>
    <xf numFmtId="0" fontId="13" fillId="2" borderId="13" xfId="2" applyFill="1" applyBorder="1" applyAlignment="1">
      <alignment horizontal="center"/>
    </xf>
    <xf numFmtId="0" fontId="116" fillId="2" borderId="0" xfId="5" applyFont="1" applyFill="1" applyAlignment="1">
      <alignment horizontal="center" vertical="center" wrapText="1"/>
    </xf>
    <xf numFmtId="0" fontId="116" fillId="2" borderId="0" xfId="5" applyFont="1" applyFill="1" applyAlignment="1">
      <alignment horizontal="left" vertical="center"/>
    </xf>
    <xf numFmtId="0" fontId="12" fillId="2" borderId="13" xfId="1" applyFill="1" applyBorder="1" applyAlignment="1">
      <alignment horizontal="center" vertical="center"/>
    </xf>
    <xf numFmtId="0" fontId="12" fillId="2" borderId="0" xfId="1" applyFill="1" applyAlignment="1">
      <alignment horizontal="center"/>
    </xf>
    <xf numFmtId="0" fontId="248" fillId="2" borderId="0" xfId="1" applyFont="1" applyFill="1" applyAlignment="1">
      <alignment horizontal="right" vertical="center"/>
    </xf>
    <xf numFmtId="0" fontId="169" fillId="5" borderId="0" xfId="2" applyFont="1" applyFill="1" applyAlignment="1">
      <alignment horizontal="center" vertical="center"/>
    </xf>
    <xf numFmtId="0" fontId="169" fillId="5" borderId="0" xfId="2" applyFont="1" applyFill="1" applyAlignment="1">
      <alignment horizontal="left" vertical="center"/>
    </xf>
    <xf numFmtId="0" fontId="213" fillId="2" borderId="28" xfId="5" applyFont="1" applyFill="1" applyBorder="1" applyAlignment="1">
      <alignment horizontal="center" vertical="center"/>
    </xf>
    <xf numFmtId="0" fontId="101" fillId="2" borderId="27" xfId="2" applyFont="1" applyFill="1" applyBorder="1" applyAlignment="1">
      <alignment vertical="center"/>
    </xf>
    <xf numFmtId="0" fontId="13" fillId="2" borderId="27" xfId="2" applyFill="1" applyBorder="1"/>
    <xf numFmtId="0" fontId="13" fillId="2" borderId="26" xfId="2" applyFill="1" applyBorder="1"/>
    <xf numFmtId="0" fontId="211" fillId="2" borderId="64" xfId="2" applyFont="1" applyFill="1" applyBorder="1" applyAlignment="1">
      <alignment horizontal="center" vertical="center"/>
    </xf>
    <xf numFmtId="0" fontId="13" fillId="2" borderId="101" xfId="2" applyFill="1" applyBorder="1"/>
    <xf numFmtId="0" fontId="13" fillId="2" borderId="2" xfId="2" applyFill="1" applyBorder="1"/>
    <xf numFmtId="0" fontId="13" fillId="2" borderId="100" xfId="2" applyFill="1" applyBorder="1"/>
    <xf numFmtId="0" fontId="213" fillId="2" borderId="48" xfId="5" applyFont="1" applyFill="1" applyBorder="1" applyAlignment="1">
      <alignment horizontal="center" vertical="center"/>
    </xf>
    <xf numFmtId="0" fontId="116" fillId="2" borderId="0" xfId="5" applyFont="1" applyFill="1" applyAlignment="1">
      <alignment horizontal="center" vertical="center"/>
    </xf>
    <xf numFmtId="0" fontId="169" fillId="2" borderId="0" xfId="2" applyFont="1" applyFill="1" applyAlignment="1">
      <alignment horizontal="left" vertical="center"/>
    </xf>
    <xf numFmtId="0" fontId="169" fillId="2" borderId="0" xfId="2" applyFont="1" applyFill="1" applyAlignment="1">
      <alignment horizontal="center" vertical="center"/>
    </xf>
    <xf numFmtId="0" fontId="0" fillId="2" borderId="12" xfId="0" applyFill="1" applyBorder="1"/>
    <xf numFmtId="0" fontId="114" fillId="2" borderId="28" xfId="2" applyFont="1" applyFill="1" applyBorder="1" applyAlignment="1">
      <alignment vertical="center"/>
    </xf>
    <xf numFmtId="199" fontId="114" fillId="2" borderId="27" xfId="2" applyNumberFormat="1" applyFont="1" applyFill="1" applyBorder="1" applyAlignment="1">
      <alignment vertical="center"/>
    </xf>
    <xf numFmtId="0" fontId="178" fillId="2" borderId="13" xfId="2" applyFont="1" applyFill="1" applyBorder="1" applyAlignment="1">
      <alignment horizontal="center" vertical="center"/>
    </xf>
    <xf numFmtId="0" fontId="0" fillId="0" borderId="12" xfId="0" applyBorder="1"/>
    <xf numFmtId="0" fontId="0" fillId="0" borderId="13" xfId="0" applyBorder="1"/>
    <xf numFmtId="0" fontId="204" fillId="2" borderId="0" xfId="14" applyFont="1" applyFill="1" applyBorder="1" applyAlignment="1">
      <alignment horizontal="center" vertical="center" wrapText="1"/>
    </xf>
    <xf numFmtId="0" fontId="169" fillId="2" borderId="27" xfId="2" applyFont="1" applyFill="1" applyBorder="1" applyAlignment="1">
      <alignment horizontal="center" vertical="center"/>
    </xf>
    <xf numFmtId="0" fontId="169" fillId="2" borderId="27" xfId="2" applyFont="1" applyFill="1" applyBorder="1" applyAlignment="1">
      <alignment horizontal="left" vertical="center"/>
    </xf>
    <xf numFmtId="0" fontId="20" fillId="2" borderId="0" xfId="14" applyFill="1" applyBorder="1" applyAlignment="1">
      <alignment vertical="center" wrapText="1"/>
    </xf>
    <xf numFmtId="0" fontId="90" fillId="2" borderId="0" xfId="2" applyFont="1" applyFill="1" applyAlignment="1">
      <alignment horizontal="center" vertical="center" wrapText="1"/>
    </xf>
    <xf numFmtId="0" fontId="90" fillId="2" borderId="12" xfId="2" applyFont="1" applyFill="1" applyBorder="1" applyAlignment="1">
      <alignment horizontal="center" vertical="center" wrapText="1"/>
    </xf>
    <xf numFmtId="0" fontId="12" fillId="5" borderId="28" xfId="1" applyFill="1" applyBorder="1" applyAlignment="1">
      <alignment horizontal="center" vertical="center"/>
    </xf>
    <xf numFmtId="0" fontId="127" fillId="2" borderId="27" xfId="2" applyFont="1" applyFill="1" applyBorder="1" applyAlignment="1">
      <alignment horizontal="left" vertical="center"/>
    </xf>
    <xf numFmtId="0" fontId="90" fillId="2" borderId="27" xfId="2" applyFont="1" applyFill="1" applyBorder="1" applyAlignment="1">
      <alignment horizontal="center" vertical="center" wrapText="1"/>
    </xf>
    <xf numFmtId="0" fontId="90" fillId="2" borderId="26" xfId="2" applyFont="1" applyFill="1" applyBorder="1" applyAlignment="1">
      <alignment horizontal="center" vertical="center" wrapText="1"/>
    </xf>
    <xf numFmtId="0" fontId="12" fillId="5" borderId="68" xfId="1" applyFill="1" applyBorder="1" applyAlignment="1">
      <alignment horizontal="center" vertical="center"/>
    </xf>
    <xf numFmtId="0" fontId="127" fillId="2" borderId="96" xfId="2" applyFont="1" applyFill="1" applyBorder="1" applyAlignment="1">
      <alignment horizontal="left" vertical="center"/>
    </xf>
    <xf numFmtId="0" fontId="225" fillId="2" borderId="96" xfId="17" applyFill="1" applyBorder="1" applyAlignment="1">
      <alignment vertical="center"/>
    </xf>
    <xf numFmtId="0" fontId="225" fillId="2" borderId="95" xfId="17" applyFill="1" applyBorder="1" applyAlignment="1">
      <alignment vertical="center"/>
    </xf>
    <xf numFmtId="0" fontId="90" fillId="2" borderId="96" xfId="5" applyFont="1" applyFill="1" applyBorder="1" applyAlignment="1">
      <alignment horizontal="center" vertical="center"/>
    </xf>
    <xf numFmtId="0" fontId="90" fillId="2" borderId="95" xfId="5" applyFont="1" applyFill="1" applyBorder="1" applyAlignment="1">
      <alignment horizontal="center" vertical="center"/>
    </xf>
    <xf numFmtId="0" fontId="12" fillId="5" borderId="112" xfId="1" applyFill="1" applyBorder="1" applyAlignment="1">
      <alignment horizontal="center" vertical="center"/>
    </xf>
    <xf numFmtId="0" fontId="127" fillId="2" borderId="113" xfId="2" applyFont="1" applyFill="1" applyBorder="1" applyAlignment="1">
      <alignment horizontal="left" vertical="center"/>
    </xf>
    <xf numFmtId="0" fontId="225" fillId="2" borderId="113" xfId="17" applyFill="1" applyBorder="1" applyAlignment="1">
      <alignment vertical="center"/>
    </xf>
    <xf numFmtId="0" fontId="90" fillId="2" borderId="113" xfId="5" applyFont="1" applyFill="1" applyBorder="1" applyAlignment="1">
      <alignment horizontal="center" vertical="center"/>
    </xf>
    <xf numFmtId="0" fontId="90" fillId="2" borderId="114" xfId="5" applyFont="1" applyFill="1" applyBorder="1" applyAlignment="1">
      <alignment horizontal="center" vertical="center"/>
    </xf>
    <xf numFmtId="195" fontId="171" fillId="3" borderId="0" xfId="2" applyNumberFormat="1" applyFont="1" applyFill="1" applyAlignment="1">
      <alignment horizontal="center" vertical="center"/>
    </xf>
    <xf numFmtId="195" fontId="171" fillId="5" borderId="12" xfId="2" applyNumberFormat="1" applyFont="1" applyFill="1" applyBorder="1" applyAlignment="1">
      <alignment horizontal="center" vertical="center"/>
    </xf>
    <xf numFmtId="0" fontId="215" fillId="2" borderId="96" xfId="2" applyFont="1" applyFill="1" applyBorder="1" applyAlignment="1">
      <alignment horizontal="center"/>
    </xf>
    <xf numFmtId="0" fontId="215" fillId="2" borderId="95" xfId="2" applyFont="1" applyFill="1" applyBorder="1" applyAlignment="1">
      <alignment horizontal="center"/>
    </xf>
    <xf numFmtId="0" fontId="250" fillId="2" borderId="0" xfId="1" applyFont="1" applyFill="1" applyAlignment="1">
      <alignment horizontal="left" vertical="center"/>
    </xf>
    <xf numFmtId="0" fontId="151" fillId="19" borderId="0" xfId="10" applyFont="1" applyFill="1" applyAlignment="1" applyProtection="1">
      <alignment horizontal="center" vertical="center"/>
      <protection locked="0"/>
    </xf>
    <xf numFmtId="0" fontId="151" fillId="19" borderId="41" xfId="10" applyFont="1" applyFill="1" applyBorder="1" applyAlignment="1" applyProtection="1">
      <alignment horizontal="center" vertical="center"/>
      <protection locked="0"/>
    </xf>
    <xf numFmtId="0" fontId="12" fillId="5" borderId="115" xfId="1" applyFill="1" applyBorder="1" applyAlignment="1">
      <alignment horizontal="center" vertical="center"/>
    </xf>
    <xf numFmtId="0" fontId="225" fillId="2" borderId="116" xfId="17" applyFill="1" applyBorder="1" applyAlignment="1">
      <alignment vertical="center"/>
    </xf>
    <xf numFmtId="0" fontId="152" fillId="19" borderId="42" xfId="10" applyFont="1" applyFill="1" applyBorder="1" applyAlignment="1">
      <alignment horizontal="center" vertical="center"/>
    </xf>
    <xf numFmtId="0" fontId="150" fillId="31" borderId="0" xfId="10" applyFont="1" applyFill="1" applyAlignment="1" applyProtection="1">
      <alignment horizontal="center" vertical="center"/>
      <protection locked="0"/>
    </xf>
    <xf numFmtId="0" fontId="34" fillId="0" borderId="0" xfId="10" applyFont="1" applyAlignment="1">
      <alignment horizontal="center" vertical="center"/>
    </xf>
    <xf numFmtId="0" fontId="36" fillId="19" borderId="0" xfId="10" applyFont="1" applyFill="1" applyAlignment="1">
      <alignment horizontal="center" vertical="center"/>
    </xf>
    <xf numFmtId="0" fontId="36" fillId="19" borderId="41" xfId="10" applyFont="1" applyFill="1" applyBorder="1" applyAlignment="1">
      <alignment horizontal="center" vertical="center"/>
    </xf>
    <xf numFmtId="0" fontId="12" fillId="5" borderId="117" xfId="1" applyFill="1" applyBorder="1" applyAlignment="1">
      <alignment horizontal="center" vertical="center"/>
    </xf>
    <xf numFmtId="0" fontId="225" fillId="2" borderId="118" xfId="17" applyFill="1" applyBorder="1" applyAlignment="1">
      <alignment vertical="center"/>
    </xf>
    <xf numFmtId="0" fontId="156" fillId="2" borderId="119" xfId="2" applyFont="1" applyFill="1" applyBorder="1" applyAlignment="1">
      <alignment horizontal="center" vertical="center"/>
    </xf>
    <xf numFmtId="0" fontId="156" fillId="2" borderId="120" xfId="2" applyFont="1" applyFill="1" applyBorder="1" applyAlignment="1">
      <alignment horizontal="center" vertical="center"/>
    </xf>
    <xf numFmtId="0" fontId="156" fillId="2" borderId="121" xfId="2" applyFont="1" applyFill="1" applyBorder="1" applyAlignment="1">
      <alignment horizontal="center" vertical="center"/>
    </xf>
    <xf numFmtId="0" fontId="12" fillId="5" borderId="88" xfId="1" applyFill="1" applyBorder="1" applyAlignment="1">
      <alignment horizontal="center" vertical="center"/>
    </xf>
    <xf numFmtId="0" fontId="127" fillId="2" borderId="25" xfId="2" applyFont="1" applyFill="1" applyBorder="1" applyAlignment="1">
      <alignment horizontal="left" vertical="center"/>
    </xf>
    <xf numFmtId="0" fontId="225" fillId="2" borderId="23" xfId="17" applyFill="1" applyBorder="1" applyAlignment="1">
      <alignment vertical="center"/>
    </xf>
    <xf numFmtId="0" fontId="12" fillId="2" borderId="87" xfId="1" applyFill="1" applyBorder="1"/>
    <xf numFmtId="0" fontId="10" fillId="30" borderId="64" xfId="12" applyFont="1" applyFill="1" applyBorder="1" applyAlignment="1" applyProtection="1">
      <alignment horizontal="center" vertical="center"/>
      <protection hidden="1"/>
    </xf>
    <xf numFmtId="0" fontId="12" fillId="2" borderId="70" xfId="1" applyFill="1" applyBorder="1"/>
    <xf numFmtId="49" fontId="12" fillId="2" borderId="0" xfId="1" applyNumberFormat="1" applyFill="1" applyAlignment="1">
      <alignment horizontal="center" vertical="center"/>
    </xf>
    <xf numFmtId="0" fontId="0" fillId="0" borderId="96" xfId="0" applyBorder="1"/>
    <xf numFmtId="0" fontId="0" fillId="0" borderId="95" xfId="0" applyBorder="1"/>
    <xf numFmtId="0" fontId="13" fillId="2" borderId="0" xfId="2" applyFill="1" applyAlignment="1">
      <alignment horizontal="center" vertical="center" wrapText="1"/>
    </xf>
    <xf numFmtId="0" fontId="69" fillId="2" borderId="96" xfId="2" applyFont="1" applyFill="1" applyBorder="1" applyAlignment="1">
      <alignment horizontal="center" vertical="center"/>
    </xf>
    <xf numFmtId="0" fontId="69" fillId="2" borderId="118" xfId="2" applyFont="1" applyFill="1" applyBorder="1" applyAlignment="1">
      <alignment horizontal="center" vertical="center"/>
    </xf>
    <xf numFmtId="0" fontId="69" fillId="2" borderId="0" xfId="2" applyFont="1" applyFill="1" applyAlignment="1">
      <alignment horizontal="centerContinuous" vertical="center"/>
    </xf>
    <xf numFmtId="0" fontId="13" fillId="1" borderId="0" xfId="2" applyFill="1" applyAlignment="1">
      <alignment vertical="center"/>
    </xf>
    <xf numFmtId="0" fontId="13" fillId="47" borderId="36" xfId="1" applyFont="1" applyFill="1" applyBorder="1" applyAlignment="1">
      <alignment horizontal="centerContinuous" vertical="center" wrapText="1"/>
    </xf>
    <xf numFmtId="0" fontId="69" fillId="47" borderId="49" xfId="2" applyFont="1" applyFill="1" applyBorder="1" applyAlignment="1">
      <alignment horizontal="center" vertical="center"/>
    </xf>
    <xf numFmtId="174" fontId="13" fillId="0" borderId="0" xfId="1" applyNumberFormat="1" applyFont="1" applyAlignment="1" applyProtection="1">
      <alignment horizontal="center" vertical="center" wrapText="1"/>
      <protection locked="0"/>
    </xf>
    <xf numFmtId="0" fontId="0" fillId="2" borderId="10" xfId="0" applyFill="1" applyBorder="1"/>
    <xf numFmtId="0" fontId="0" fillId="2" borderId="9" xfId="0" applyFill="1" applyBorder="1"/>
    <xf numFmtId="0" fontId="12" fillId="5" borderId="0" xfId="1" applyFill="1"/>
    <xf numFmtId="195" fontId="193" fillId="5" borderId="0" xfId="2" applyNumberFormat="1" applyFont="1" applyFill="1" applyAlignment="1">
      <alignment vertical="center"/>
    </xf>
    <xf numFmtId="195" fontId="193" fillId="5" borderId="0" xfId="2" applyNumberFormat="1" applyFont="1" applyFill="1" applyAlignment="1">
      <alignment horizontal="left" vertical="center"/>
    </xf>
    <xf numFmtId="0" fontId="193" fillId="5" borderId="0" xfId="5" applyFont="1" applyFill="1" applyAlignment="1">
      <alignment horizontal="right" vertical="center"/>
    </xf>
    <xf numFmtId="0" fontId="126" fillId="5" borderId="0" xfId="0" applyFont="1" applyFill="1" applyAlignment="1">
      <alignment horizontal="right" vertical="center"/>
    </xf>
    <xf numFmtId="0" fontId="10" fillId="30" borderId="99" xfId="12" applyFont="1" applyFill="1" applyBorder="1" applyAlignment="1" applyProtection="1">
      <alignment horizontal="center" vertical="center"/>
      <protection hidden="1"/>
    </xf>
    <xf numFmtId="0" fontId="193" fillId="5" borderId="13" xfId="5" applyFont="1" applyFill="1" applyBorder="1" applyAlignment="1">
      <alignment horizontal="right" vertical="center"/>
    </xf>
    <xf numFmtId="165" fontId="193" fillId="5" borderId="12" xfId="5" applyNumberFormat="1" applyFont="1" applyFill="1" applyBorder="1" applyAlignment="1">
      <alignment horizontal="left" vertical="center"/>
    </xf>
    <xf numFmtId="0" fontId="205" fillId="2" borderId="0" xfId="1" applyFont="1" applyFill="1" applyAlignment="1">
      <alignment horizontal="center" vertical="center"/>
    </xf>
    <xf numFmtId="0" fontId="205" fillId="2" borderId="12" xfId="1" applyFont="1" applyFill="1" applyBorder="1" applyAlignment="1">
      <alignment horizontal="center" vertical="center"/>
    </xf>
    <xf numFmtId="199" fontId="178" fillId="2" borderId="0" xfId="2" applyNumberFormat="1" applyFont="1" applyFill="1" applyAlignment="1">
      <alignment horizontal="center" vertical="center"/>
    </xf>
    <xf numFmtId="0" fontId="78" fillId="2" borderId="0" xfId="2" applyFont="1" applyFill="1" applyAlignment="1">
      <alignment horizontal="center" vertical="center"/>
    </xf>
    <xf numFmtId="195" fontId="193" fillId="2" borderId="0" xfId="2" applyNumberFormat="1" applyFont="1" applyFill="1" applyAlignment="1">
      <alignment horizontal="center" vertical="center"/>
    </xf>
    <xf numFmtId="195" fontId="193" fillId="2" borderId="12" xfId="2" applyNumberFormat="1" applyFont="1" applyFill="1" applyBorder="1" applyAlignment="1">
      <alignment horizontal="center" vertical="center"/>
    </xf>
    <xf numFmtId="0" fontId="193" fillId="2" borderId="13" xfId="5" applyFont="1" applyFill="1" applyBorder="1" applyAlignment="1">
      <alignment horizontal="right" vertical="center"/>
    </xf>
    <xf numFmtId="0" fontId="193" fillId="2" borderId="0" xfId="5" applyFont="1" applyFill="1" applyAlignment="1">
      <alignment horizontal="right" vertical="center"/>
    </xf>
    <xf numFmtId="0" fontId="126" fillId="2" borderId="0" xfId="0" applyFont="1" applyFill="1" applyAlignment="1">
      <alignment horizontal="right" vertical="center"/>
    </xf>
    <xf numFmtId="0" fontId="127" fillId="2" borderId="0" xfId="5" applyFont="1" applyFill="1" applyAlignment="1">
      <alignment horizontal="right" vertical="center"/>
    </xf>
    <xf numFmtId="0" fontId="171" fillId="2" borderId="0" xfId="5" applyFont="1" applyFill="1" applyAlignment="1">
      <alignment horizontal="right" vertical="center"/>
    </xf>
    <xf numFmtId="0" fontId="225" fillId="2" borderId="66" xfId="17" applyFill="1" applyBorder="1" applyAlignment="1">
      <alignment vertical="center"/>
    </xf>
    <xf numFmtId="0" fontId="225" fillId="2" borderId="65" xfId="17" applyFill="1" applyBorder="1" applyAlignment="1">
      <alignment vertical="center"/>
    </xf>
    <xf numFmtId="174" fontId="85" fillId="19" borderId="0" xfId="1" applyNumberFormat="1" applyFont="1" applyFill="1" applyAlignment="1" applyProtection="1">
      <alignment horizontal="center" vertical="center"/>
      <protection locked="0"/>
    </xf>
    <xf numFmtId="174" fontId="79" fillId="2" borderId="0" xfId="1" applyNumberFormat="1" applyFont="1" applyFill="1" applyAlignment="1">
      <alignment vertical="center"/>
    </xf>
    <xf numFmtId="174" fontId="95" fillId="0" borderId="0" xfId="1" applyNumberFormat="1" applyFont="1" applyAlignment="1" applyProtection="1">
      <alignment horizontal="center" vertical="center" wrapText="1"/>
      <protection locked="0"/>
    </xf>
    <xf numFmtId="179" fontId="93" fillId="9" borderId="0" xfId="1" applyNumberFormat="1" applyFont="1" applyFill="1" applyAlignment="1" applyProtection="1">
      <alignment horizontal="center" vertical="center"/>
      <protection locked="0"/>
    </xf>
    <xf numFmtId="179" fontId="92" fillId="9" borderId="0" xfId="1" applyNumberFormat="1" applyFont="1" applyFill="1" applyAlignment="1" applyProtection="1">
      <alignment horizontal="center" vertical="center"/>
      <protection locked="0"/>
    </xf>
    <xf numFmtId="179" fontId="91" fillId="2" borderId="0" xfId="1" applyNumberFormat="1" applyFont="1" applyFill="1" applyAlignment="1" applyProtection="1">
      <alignment horizontal="center" vertical="center"/>
      <protection locked="0"/>
    </xf>
    <xf numFmtId="0" fontId="64" fillId="2" borderId="0" xfId="1" applyFont="1" applyFill="1" applyAlignment="1">
      <alignment vertical="center"/>
    </xf>
    <xf numFmtId="0" fontId="96" fillId="20" borderId="27" xfId="2" applyFont="1" applyFill="1" applyBorder="1" applyAlignment="1" applyProtection="1">
      <alignment horizontal="center" vertical="center" wrapText="1"/>
      <protection hidden="1"/>
    </xf>
    <xf numFmtId="0" fontId="69" fillId="2" borderId="0" xfId="8" applyFont="1" applyFill="1" applyAlignment="1">
      <alignment horizontal="right" vertical="center"/>
    </xf>
    <xf numFmtId="178" fontId="69" fillId="2" borderId="0" xfId="8" applyNumberFormat="1" applyFont="1" applyFill="1" applyAlignment="1">
      <alignment horizontal="centerContinuous" vertical="center"/>
    </xf>
    <xf numFmtId="178" fontId="87" fillId="2" borderId="0" xfId="8" applyNumberFormat="1" applyFont="1" applyFill="1" applyAlignment="1">
      <alignment horizontal="centerContinuous" vertical="center"/>
    </xf>
    <xf numFmtId="0" fontId="21" fillId="2" borderId="0" xfId="7" applyFill="1" applyAlignment="1">
      <alignment horizontal="centerContinuous" vertical="center"/>
    </xf>
    <xf numFmtId="177" fontId="69" fillId="2" borderId="0" xfId="8" applyNumberFormat="1" applyFont="1" applyFill="1" applyAlignment="1">
      <alignment horizontal="center" vertical="center"/>
    </xf>
    <xf numFmtId="175" fontId="84" fillId="2" borderId="0" xfId="4" applyNumberFormat="1" applyFont="1" applyFill="1" applyAlignment="1">
      <alignment vertical="center"/>
    </xf>
    <xf numFmtId="175" fontId="34" fillId="2" borderId="0" xfId="4" applyNumberFormat="1" applyFont="1" applyFill="1" applyAlignment="1">
      <alignment vertical="center"/>
    </xf>
    <xf numFmtId="2" fontId="69" fillId="2" borderId="0" xfId="4" applyNumberFormat="1" applyFont="1" applyFill="1" applyAlignment="1">
      <alignment horizontal="center" vertical="center"/>
    </xf>
    <xf numFmtId="174" fontId="69" fillId="2" borderId="0" xfId="4" applyNumberFormat="1" applyFont="1" applyFill="1" applyAlignment="1">
      <alignment horizontal="center" vertical="center"/>
    </xf>
    <xf numFmtId="0" fontId="85" fillId="2" borderId="0" xfId="4" applyFont="1" applyFill="1" applyAlignment="1">
      <alignment horizontal="center" vertical="center"/>
    </xf>
    <xf numFmtId="1" fontId="61" fillId="9" borderId="0" xfId="4" applyNumberFormat="1" applyFont="1" applyFill="1" applyAlignment="1">
      <alignment horizontal="center" vertical="center"/>
    </xf>
    <xf numFmtId="167" fontId="61" fillId="9" borderId="0" xfId="4" applyNumberFormat="1" applyFont="1" applyFill="1" applyAlignment="1">
      <alignment horizontal="center" vertical="center"/>
    </xf>
    <xf numFmtId="0" fontId="69" fillId="2" borderId="0" xfId="1" applyFont="1" applyFill="1" applyAlignment="1">
      <alignment horizontal="right" vertical="center"/>
    </xf>
    <xf numFmtId="167" fontId="39" fillId="2" borderId="0" xfId="4" applyNumberFormat="1" applyFont="1" applyFill="1" applyAlignment="1">
      <alignment horizontal="center" vertical="center"/>
    </xf>
    <xf numFmtId="167" fontId="61" fillId="2" borderId="0" xfId="4" applyNumberFormat="1" applyFont="1" applyFill="1" applyAlignment="1">
      <alignment horizontal="center" vertical="center"/>
    </xf>
    <xf numFmtId="174" fontId="61" fillId="9" borderId="0" xfId="4" applyNumberFormat="1" applyFont="1" applyFill="1" applyAlignment="1">
      <alignment horizontal="center" vertical="center"/>
    </xf>
    <xf numFmtId="0" fontId="73" fillId="2" borderId="0" xfId="7" applyFont="1" applyFill="1"/>
    <xf numFmtId="0" fontId="68" fillId="2" borderId="0" xfId="7" applyFont="1" applyFill="1" applyAlignment="1">
      <alignment horizontal="center" vertical="center"/>
    </xf>
    <xf numFmtId="0" fontId="66" fillId="2" borderId="0" xfId="1" applyFont="1" applyFill="1"/>
    <xf numFmtId="0" fontId="13" fillId="2" borderId="0" xfId="1" applyFont="1" applyFill="1"/>
    <xf numFmtId="0" fontId="13" fillId="2" borderId="42" xfId="2" applyFill="1" applyBorder="1" applyProtection="1">
      <protection hidden="1"/>
    </xf>
    <xf numFmtId="0" fontId="225" fillId="2" borderId="114" xfId="17" applyFill="1" applyBorder="1" applyAlignment="1">
      <alignment vertical="center"/>
    </xf>
    <xf numFmtId="0" fontId="0" fillId="2" borderId="13" xfId="0" applyFill="1" applyBorder="1"/>
    <xf numFmtId="0" fontId="0" fillId="2" borderId="0" xfId="0" applyFill="1"/>
    <xf numFmtId="0" fontId="254" fillId="49" borderId="0" xfId="1" applyFont="1" applyFill="1" applyAlignment="1">
      <alignment vertical="center"/>
    </xf>
    <xf numFmtId="0" fontId="10" fillId="2" borderId="13" xfId="12" applyFont="1" applyFill="1" applyBorder="1" applyAlignment="1" applyProtection="1">
      <alignment horizontal="center" vertical="center"/>
      <protection hidden="1"/>
    </xf>
    <xf numFmtId="0" fontId="12" fillId="2" borderId="68" xfId="1" applyFill="1" applyBorder="1" applyAlignment="1">
      <alignment horizontal="center" vertical="center"/>
    </xf>
    <xf numFmtId="0" fontId="27" fillId="2" borderId="0" xfId="2" applyFont="1" applyFill="1" applyProtection="1">
      <protection hidden="1"/>
    </xf>
    <xf numFmtId="0" fontId="13" fillId="50" borderId="0" xfId="2" applyFill="1" applyProtection="1">
      <protection hidden="1"/>
    </xf>
    <xf numFmtId="0" fontId="12" fillId="50" borderId="0" xfId="1" applyFill="1"/>
    <xf numFmtId="0" fontId="13" fillId="50" borderId="0" xfId="2" applyFill="1" applyAlignment="1">
      <alignment vertical="center"/>
    </xf>
    <xf numFmtId="0" fontId="13" fillId="0" borderId="0" xfId="2" applyAlignment="1">
      <alignment vertical="center"/>
    </xf>
    <xf numFmtId="0" fontId="257" fillId="50" borderId="0" xfId="2" applyFont="1" applyFill="1" applyAlignment="1">
      <alignment vertical="center"/>
    </xf>
    <xf numFmtId="0" fontId="258" fillId="50" borderId="0" xfId="2" applyFont="1" applyFill="1" applyAlignment="1">
      <alignment vertical="center"/>
    </xf>
    <xf numFmtId="0" fontId="259" fillId="50" borderId="0" xfId="2" applyFont="1" applyFill="1" applyAlignment="1">
      <alignment vertical="center"/>
    </xf>
    <xf numFmtId="0" fontId="260" fillId="50" borderId="0" xfId="2" applyFont="1" applyFill="1" applyAlignment="1">
      <alignment vertical="center"/>
    </xf>
    <xf numFmtId="0" fontId="261" fillId="50" borderId="0" xfId="2" applyFont="1" applyFill="1" applyAlignment="1">
      <alignment vertical="center"/>
    </xf>
    <xf numFmtId="0" fontId="265" fillId="50" borderId="0" xfId="2" applyFont="1" applyFill="1" applyAlignment="1">
      <alignment vertical="center"/>
    </xf>
    <xf numFmtId="0" fontId="267" fillId="2" borderId="0" xfId="2" applyFont="1" applyFill="1" applyAlignment="1">
      <alignment vertical="center"/>
    </xf>
    <xf numFmtId="0" fontId="27" fillId="2" borderId="0" xfId="5" applyFont="1" applyFill="1" applyAlignment="1">
      <alignment horizontal="right" vertical="center"/>
    </xf>
    <xf numFmtId="0" fontId="270" fillId="2" borderId="13" xfId="2" applyFont="1" applyFill="1" applyBorder="1"/>
    <xf numFmtId="0" fontId="238" fillId="2" borderId="13" xfId="2" applyFont="1" applyFill="1" applyBorder="1" applyAlignment="1">
      <alignment horizontal="center" vertical="center"/>
    </xf>
    <xf numFmtId="0" fontId="236" fillId="2" borderId="12" xfId="2" applyFont="1" applyFill="1" applyBorder="1" applyAlignment="1">
      <alignment horizontal="center" vertical="center"/>
    </xf>
    <xf numFmtId="0" fontId="166" fillId="2" borderId="0" xfId="5" applyFont="1" applyFill="1" applyAlignment="1">
      <alignment horizontal="right" vertical="center"/>
    </xf>
    <xf numFmtId="0" fontId="27" fillId="2" borderId="12" xfId="2" applyFont="1" applyFill="1" applyBorder="1"/>
    <xf numFmtId="0" fontId="0" fillId="2" borderId="13" xfId="0" applyFill="1" applyBorder="1" applyAlignment="1">
      <alignment vertical="center"/>
    </xf>
    <xf numFmtId="0" fontId="101" fillId="2" borderId="0" xfId="2" applyFont="1" applyFill="1" applyAlignment="1">
      <alignment horizontal="left" vertical="center"/>
    </xf>
    <xf numFmtId="0" fontId="78" fillId="2" borderId="0" xfId="2" applyFont="1" applyFill="1" applyAlignment="1">
      <alignment horizontal="left" vertical="center"/>
    </xf>
    <xf numFmtId="0" fontId="137" fillId="2" borderId="0" xfId="1" applyFont="1" applyFill="1" applyAlignment="1">
      <alignment vertical="center"/>
    </xf>
    <xf numFmtId="0" fontId="165" fillId="2" borderId="0" xfId="1" applyFont="1" applyFill="1"/>
    <xf numFmtId="0" fontId="39" fillId="2" borderId="0" xfId="2" applyFont="1" applyFill="1" applyAlignment="1" applyProtection="1">
      <alignment vertical="center"/>
      <protection hidden="1"/>
    </xf>
    <xf numFmtId="201" fontId="90" fillId="43" borderId="13" xfId="5" applyNumberFormat="1" applyFont="1" applyFill="1" applyBorder="1" applyAlignment="1">
      <alignment horizontal="center" vertical="center"/>
    </xf>
    <xf numFmtId="0" fontId="216" fillId="2" borderId="0" xfId="3" applyFont="1" applyFill="1" applyAlignment="1">
      <alignment horizontal="center"/>
    </xf>
    <xf numFmtId="0" fontId="279" fillId="2" borderId="13" xfId="2" applyFont="1" applyFill="1" applyBorder="1"/>
    <xf numFmtId="0" fontId="12" fillId="2" borderId="0" xfId="0" applyFont="1" applyFill="1"/>
    <xf numFmtId="0" fontId="78" fillId="2" borderId="0" xfId="5" applyFont="1" applyFill="1" applyAlignment="1">
      <alignment vertical="center" wrapText="1"/>
    </xf>
    <xf numFmtId="0" fontId="278" fillId="2" borderId="0" xfId="0" applyFont="1" applyFill="1" applyAlignment="1">
      <alignment horizontal="center"/>
    </xf>
    <xf numFmtId="207" fontId="280" fillId="58" borderId="0" xfId="2" applyNumberFormat="1" applyFont="1" applyFill="1" applyAlignment="1">
      <alignment horizontal="center" vertical="center"/>
    </xf>
    <xf numFmtId="207" fontId="183" fillId="59" borderId="0" xfId="2" applyNumberFormat="1" applyFont="1" applyFill="1" applyAlignment="1">
      <alignment horizontal="center" vertical="center"/>
    </xf>
    <xf numFmtId="207" fontId="281" fillId="59" borderId="0" xfId="2" applyNumberFormat="1" applyFont="1" applyFill="1" applyAlignment="1">
      <alignment horizontal="center" vertical="center"/>
    </xf>
    <xf numFmtId="0" fontId="138" fillId="2" borderId="0" xfId="0" applyFont="1" applyFill="1" applyAlignment="1">
      <alignment horizontal="center"/>
    </xf>
    <xf numFmtId="207" fontId="138" fillId="58" borderId="0" xfId="2" applyNumberFormat="1" applyFont="1" applyFill="1" applyAlignment="1">
      <alignment horizontal="center" vertical="center"/>
    </xf>
    <xf numFmtId="0" fontId="121" fillId="2" borderId="0" xfId="0" applyFont="1" applyFill="1" applyAlignment="1">
      <alignment horizontal="right" vertical="center"/>
    </xf>
    <xf numFmtId="0" fontId="282" fillId="2" borderId="0" xfId="0" applyFont="1" applyFill="1" applyAlignment="1">
      <alignment horizontal="right" vertical="center"/>
    </xf>
    <xf numFmtId="207" fontId="283" fillId="58" borderId="0" xfId="2" applyNumberFormat="1" applyFont="1" applyFill="1" applyAlignment="1">
      <alignment horizontal="right" vertical="center"/>
    </xf>
    <xf numFmtId="207" fontId="283" fillId="58" borderId="0" xfId="2" applyNumberFormat="1" applyFont="1" applyFill="1" applyAlignment="1">
      <alignment horizontal="left" vertical="center"/>
    </xf>
    <xf numFmtId="0" fontId="271" fillId="2" borderId="0" xfId="0" applyFont="1" applyFill="1" applyAlignment="1">
      <alignment horizontal="center"/>
    </xf>
    <xf numFmtId="0" fontId="94" fillId="2" borderId="0" xfId="0" applyFont="1" applyFill="1" applyAlignment="1">
      <alignment horizontal="center"/>
    </xf>
    <xf numFmtId="0" fontId="101" fillId="2" borderId="0" xfId="0" applyFont="1" applyFill="1" applyAlignment="1">
      <alignment horizontal="center" vertical="center"/>
    </xf>
    <xf numFmtId="0" fontId="78" fillId="2" borderId="0" xfId="0" applyFont="1" applyFill="1" applyAlignment="1">
      <alignment horizontal="left" vertical="center"/>
    </xf>
    <xf numFmtId="0" fontId="78" fillId="2" borderId="0" xfId="2" applyFont="1" applyFill="1" applyAlignment="1">
      <alignment horizontal="right" vertical="center"/>
    </xf>
    <xf numFmtId="208" fontId="101" fillId="58" borderId="0" xfId="2" applyNumberFormat="1" applyFont="1" applyFill="1" applyAlignment="1">
      <alignment horizontal="center" vertical="center"/>
    </xf>
    <xf numFmtId="0" fontId="166" fillId="2" borderId="10" xfId="5" applyFont="1" applyFill="1" applyBorder="1" applyAlignment="1">
      <alignment horizontal="right" vertical="center"/>
    </xf>
    <xf numFmtId="207" fontId="101" fillId="58" borderId="10" xfId="2" applyNumberFormat="1" applyFont="1" applyFill="1" applyBorder="1" applyAlignment="1">
      <alignment horizontal="center" vertical="center"/>
    </xf>
    <xf numFmtId="207" fontId="101" fillId="58" borderId="10" xfId="2" applyNumberFormat="1" applyFont="1" applyFill="1" applyBorder="1" applyAlignment="1">
      <alignment horizontal="left" vertical="center"/>
    </xf>
    <xf numFmtId="0" fontId="27" fillId="2" borderId="9" xfId="2" applyFont="1" applyFill="1" applyBorder="1"/>
    <xf numFmtId="0" fontId="278" fillId="2" borderId="0" xfId="0" applyFont="1" applyFill="1" applyAlignment="1">
      <alignment vertical="center"/>
    </xf>
    <xf numFmtId="0" fontId="11" fillId="2" borderId="0" xfId="0" applyFont="1" applyFill="1" applyAlignment="1">
      <alignment vertical="center"/>
    </xf>
    <xf numFmtId="0" fontId="90" fillId="30" borderId="0" xfId="12" applyFont="1" applyFill="1" applyAlignment="1" applyProtection="1">
      <alignment horizontal="center" vertical="center"/>
      <protection hidden="1"/>
    </xf>
    <xf numFmtId="0" fontId="216" fillId="2" borderId="0" xfId="3" applyFont="1" applyFill="1"/>
    <xf numFmtId="0" fontId="12" fillId="18" borderId="0" xfId="1" applyFill="1" applyAlignment="1">
      <alignment horizontal="centerContinuous" vertical="center" wrapText="1"/>
    </xf>
    <xf numFmtId="0" fontId="69" fillId="18" borderId="0" xfId="4" applyFont="1" applyFill="1" applyAlignment="1">
      <alignment horizontal="right" vertical="center"/>
    </xf>
    <xf numFmtId="0" fontId="36" fillId="9" borderId="0" xfId="4" applyFont="1" applyFill="1" applyAlignment="1">
      <alignment horizontal="left" vertical="center"/>
    </xf>
    <xf numFmtId="179" fontId="61" fillId="9" borderId="0" xfId="1" applyNumberFormat="1" applyFont="1" applyFill="1" applyAlignment="1" applyProtection="1">
      <alignment horizontal="center" vertical="center"/>
      <protection locked="0"/>
    </xf>
    <xf numFmtId="181" fontId="101" fillId="5" borderId="0" xfId="1" applyNumberFormat="1" applyFont="1" applyFill="1" applyAlignment="1" applyProtection="1">
      <alignment horizontal="center" vertical="center"/>
      <protection locked="0"/>
    </xf>
    <xf numFmtId="182" fontId="92" fillId="9" borderId="127" xfId="1" applyNumberFormat="1" applyFont="1" applyFill="1" applyBorder="1" applyAlignment="1">
      <alignment horizontal="center" vertical="center"/>
    </xf>
    <xf numFmtId="0" fontId="36" fillId="9" borderId="27" xfId="4" applyFont="1" applyFill="1" applyBorder="1" applyAlignment="1">
      <alignment horizontal="left" vertical="center"/>
    </xf>
    <xf numFmtId="181" fontId="101" fillId="5" borderId="27" xfId="1" applyNumberFormat="1" applyFont="1" applyFill="1" applyBorder="1" applyAlignment="1" applyProtection="1">
      <alignment horizontal="center" vertical="center"/>
      <protection locked="0"/>
    </xf>
    <xf numFmtId="179" fontId="61" fillId="9" borderId="27" xfId="1" applyNumberFormat="1" applyFont="1" applyFill="1" applyBorder="1" applyAlignment="1" applyProtection="1">
      <alignment horizontal="center" vertical="center"/>
      <protection locked="0"/>
    </xf>
    <xf numFmtId="181" fontId="101" fillId="5" borderId="26" xfId="1" applyNumberFormat="1" applyFont="1" applyFill="1" applyBorder="1" applyAlignment="1" applyProtection="1">
      <alignment horizontal="center" vertical="center"/>
      <protection locked="0"/>
    </xf>
    <xf numFmtId="179" fontId="61" fillId="13" borderId="0" xfId="1" applyNumberFormat="1" applyFont="1" applyFill="1" applyAlignment="1" applyProtection="1">
      <alignment horizontal="center" vertical="center"/>
      <protection locked="0"/>
    </xf>
    <xf numFmtId="165" fontId="85" fillId="13" borderId="57" xfId="4" applyNumberFormat="1" applyFont="1" applyFill="1" applyBorder="1" applyAlignment="1">
      <alignment horizontal="center" vertical="center"/>
    </xf>
    <xf numFmtId="0" fontId="34" fillId="5" borderId="0" xfId="4" applyFont="1" applyFill="1" applyAlignment="1">
      <alignment horizontal="centerContinuous" vertical="center"/>
    </xf>
    <xf numFmtId="169" fontId="69" fillId="5" borderId="128" xfId="1" applyNumberFormat="1" applyFont="1" applyFill="1" applyBorder="1" applyAlignment="1">
      <alignment horizontal="center" vertical="center"/>
    </xf>
    <xf numFmtId="0" fontId="13" fillId="5" borderId="34" xfId="1" applyFont="1" applyFill="1" applyBorder="1" applyAlignment="1">
      <alignment horizontal="center" vertical="center"/>
    </xf>
    <xf numFmtId="0" fontId="12" fillId="2" borderId="11" xfId="1" applyFill="1" applyBorder="1"/>
    <xf numFmtId="0" fontId="156" fillId="2" borderId="10" xfId="2" applyFont="1" applyFill="1" applyBorder="1" applyAlignment="1">
      <alignment horizontal="center" vertical="center" wrapText="1"/>
    </xf>
    <xf numFmtId="0" fontId="156" fillId="2" borderId="9" xfId="2" applyFont="1" applyFill="1" applyBorder="1" applyAlignment="1">
      <alignment horizontal="center" vertical="center" wrapText="1"/>
    </xf>
    <xf numFmtId="0" fontId="78" fillId="2" borderId="13" xfId="2" applyFont="1" applyFill="1" applyBorder="1" applyAlignment="1">
      <alignment horizontal="left" vertical="center"/>
    </xf>
    <xf numFmtId="0" fontId="108" fillId="2" borderId="0" xfId="1" applyFont="1" applyFill="1"/>
    <xf numFmtId="0" fontId="273" fillId="2" borderId="0" xfId="1" applyFont="1" applyFill="1" applyAlignment="1">
      <alignment vertical="center"/>
    </xf>
    <xf numFmtId="0" fontId="27" fillId="2" borderId="0" xfId="2" applyFont="1" applyFill="1" applyAlignment="1">
      <alignment horizontal="center" vertical="center" wrapText="1"/>
    </xf>
    <xf numFmtId="0" fontId="27" fillId="2" borderId="0" xfId="2" applyFont="1" applyFill="1" applyAlignment="1">
      <alignment horizontal="center" vertical="center"/>
    </xf>
    <xf numFmtId="0" fontId="272" fillId="2" borderId="0" xfId="1" applyFont="1" applyFill="1"/>
    <xf numFmtId="0" fontId="27" fillId="2" borderId="0" xfId="2" applyFont="1" applyFill="1" applyAlignment="1">
      <alignment horizontal="centerContinuous" vertical="center"/>
    </xf>
    <xf numFmtId="2" fontId="138" fillId="4" borderId="0" xfId="1" applyNumberFormat="1" applyFont="1" applyFill="1" applyAlignment="1" applyProtection="1">
      <alignment horizontal="center" vertical="center"/>
      <protection locked="0"/>
    </xf>
    <xf numFmtId="0" fontId="286" fillId="2" borderId="0" xfId="3" applyFont="1" applyFill="1"/>
    <xf numFmtId="0" fontId="273" fillId="2" borderId="0" xfId="1" applyFont="1" applyFill="1"/>
    <xf numFmtId="0" fontId="287" fillId="2" borderId="0" xfId="1" applyFont="1" applyFill="1"/>
    <xf numFmtId="1" fontId="39" fillId="2" borderId="0" xfId="21" applyNumberFormat="1" applyFont="1" applyFill="1" applyAlignment="1" applyProtection="1">
      <alignment horizontal="left" vertical="center"/>
      <protection locked="0"/>
    </xf>
    <xf numFmtId="1" fontId="14" fillId="2" borderId="0" xfId="21" applyNumberFormat="1" applyFont="1" applyFill="1" applyAlignment="1" applyProtection="1">
      <alignment horizontal="left" vertical="center"/>
      <protection locked="0"/>
    </xf>
    <xf numFmtId="0" fontId="289" fillId="2" borderId="0" xfId="22" applyFont="1" applyFill="1" applyAlignment="1">
      <alignment horizontal="left"/>
    </xf>
    <xf numFmtId="0" fontId="45" fillId="2" borderId="0" xfId="21" applyFont="1" applyFill="1" applyAlignment="1">
      <alignment horizontal="center" vertical="center"/>
    </xf>
    <xf numFmtId="0" fontId="45" fillId="2" borderId="0" xfId="21" applyFont="1" applyFill="1" applyAlignment="1">
      <alignment horizontal="centerContinuous" vertical="center"/>
    </xf>
    <xf numFmtId="0" fontId="45" fillId="2" borderId="0" xfId="21" applyFont="1" applyFill="1" applyAlignment="1">
      <alignment horizontal="left" vertical="center"/>
    </xf>
    <xf numFmtId="0" fontId="0" fillId="4" borderId="37" xfId="0" applyFill="1" applyBorder="1"/>
    <xf numFmtId="0" fontId="0" fillId="0" borderId="36" xfId="0" applyBorder="1"/>
    <xf numFmtId="0" fontId="0" fillId="2" borderId="111" xfId="0" applyFill="1" applyBorder="1"/>
    <xf numFmtId="0" fontId="0" fillId="2" borderId="36" xfId="0" applyFill="1" applyBorder="1"/>
    <xf numFmtId="0" fontId="0" fillId="2" borderId="35" xfId="0" applyFill="1" applyBorder="1"/>
    <xf numFmtId="0" fontId="0" fillId="4" borderId="13" xfId="0" applyFill="1" applyBorder="1"/>
    <xf numFmtId="0" fontId="290" fillId="4" borderId="97" xfId="21" applyFont="1" applyFill="1" applyBorder="1" applyAlignment="1">
      <alignment horizontal="centerContinuous" vertical="center"/>
    </xf>
    <xf numFmtId="2" fontId="291" fillId="4" borderId="97" xfId="21" applyNumberFormat="1" applyFont="1" applyFill="1" applyBorder="1" applyAlignment="1">
      <alignment horizontal="centerContinuous" vertical="center" wrapText="1"/>
    </xf>
    <xf numFmtId="2" fontId="13" fillId="4" borderId="131" xfId="21" applyNumberFormat="1" applyFont="1" applyFill="1" applyBorder="1" applyAlignment="1">
      <alignment horizontal="centerContinuous" vertical="center" wrapText="1"/>
    </xf>
    <xf numFmtId="0" fontId="0" fillId="2" borderId="42" xfId="0" applyFill="1" applyBorder="1"/>
    <xf numFmtId="0" fontId="290" fillId="0" borderId="0" xfId="21" applyFont="1" applyAlignment="1">
      <alignment horizontal="centerContinuous" vertical="center" wrapText="1"/>
    </xf>
    <xf numFmtId="0" fontId="291" fillId="0" borderId="0" xfId="21" applyFont="1" applyAlignment="1">
      <alignment horizontal="centerContinuous" vertical="center" wrapText="1"/>
    </xf>
    <xf numFmtId="0" fontId="13" fillId="0" borderId="41" xfId="21" applyFont="1" applyBorder="1" applyAlignment="1">
      <alignment horizontal="centerContinuous" vertical="center" wrapText="1"/>
    </xf>
    <xf numFmtId="0" fontId="13" fillId="0" borderId="132" xfId="21" applyFont="1" applyBorder="1" applyAlignment="1">
      <alignment horizontal="center" vertical="center" wrapText="1"/>
    </xf>
    <xf numFmtId="0" fontId="13" fillId="0" borderId="29" xfId="21" applyFont="1" applyBorder="1" applyAlignment="1">
      <alignment horizontal="center" vertical="center" wrapText="1"/>
    </xf>
    <xf numFmtId="0" fontId="13" fillId="0" borderId="133" xfId="21" applyFont="1" applyBorder="1" applyAlignment="1">
      <alignment horizontal="center" vertical="center"/>
    </xf>
    <xf numFmtId="0" fontId="13" fillId="0" borderId="110" xfId="21" applyFont="1" applyBorder="1" applyAlignment="1">
      <alignment horizontal="center" vertical="center"/>
    </xf>
    <xf numFmtId="0" fontId="13" fillId="2" borderId="0" xfId="21" applyFont="1" applyFill="1" applyAlignment="1">
      <alignment horizontal="center" vertical="center"/>
    </xf>
    <xf numFmtId="0" fontId="13" fillId="4" borderId="126" xfId="21" applyFont="1" applyFill="1" applyBorder="1" applyAlignment="1">
      <alignment horizontal="center" vertical="center" wrapText="1"/>
    </xf>
    <xf numFmtId="2" fontId="13" fillId="4" borderId="134" xfId="21" applyNumberFormat="1" applyFont="1" applyFill="1" applyBorder="1" applyAlignment="1">
      <alignment horizontal="centerContinuous" vertical="center" wrapText="1"/>
    </xf>
    <xf numFmtId="1" fontId="85" fillId="9" borderId="135" xfId="21" applyNumberFormat="1" applyFont="1" applyFill="1" applyBorder="1" applyAlignment="1">
      <alignment horizontal="center" vertical="center" wrapText="1"/>
    </xf>
    <xf numFmtId="2" fontId="61" fillId="13" borderId="96" xfId="21" applyNumberFormat="1" applyFont="1" applyFill="1" applyBorder="1" applyAlignment="1">
      <alignment horizontal="center" vertical="center" wrapText="1"/>
    </xf>
    <xf numFmtId="2" fontId="292" fillId="4" borderId="96" xfId="21" applyNumberFormat="1" applyFont="1" applyFill="1" applyBorder="1" applyAlignment="1">
      <alignment horizontal="center" vertical="center" wrapText="1"/>
    </xf>
    <xf numFmtId="2" fontId="292" fillId="4" borderId="118" xfId="21" applyNumberFormat="1" applyFont="1" applyFill="1" applyBorder="1" applyAlignment="1">
      <alignment horizontal="center" vertical="center" wrapText="1"/>
    </xf>
    <xf numFmtId="0" fontId="13" fillId="2" borderId="0" xfId="21" applyFont="1" applyFill="1" applyAlignment="1">
      <alignment horizontal="left" vertical="center"/>
    </xf>
    <xf numFmtId="0" fontId="69" fillId="2" borderId="0" xfId="21" applyFont="1" applyFill="1" applyAlignment="1">
      <alignment horizontal="left" vertical="center"/>
    </xf>
    <xf numFmtId="0" fontId="0" fillId="4" borderId="42" xfId="0" applyFill="1" applyBorder="1"/>
    <xf numFmtId="2" fontId="13" fillId="33" borderId="0" xfId="21" applyNumberFormat="1" applyFont="1" applyFill="1" applyAlignment="1">
      <alignment horizontal="centerContinuous" vertical="center" wrapText="1"/>
    </xf>
    <xf numFmtId="209" fontId="288" fillId="0" borderId="96" xfId="0" applyNumberFormat="1" applyFont="1" applyBorder="1" applyAlignment="1">
      <alignment horizontal="center" vertical="center"/>
    </xf>
    <xf numFmtId="209" fontId="288" fillId="0" borderId="136" xfId="0" applyNumberFormat="1" applyFont="1" applyBorder="1" applyAlignment="1">
      <alignment horizontal="center" vertical="center"/>
    </xf>
    <xf numFmtId="1" fontId="13" fillId="0" borderId="137" xfId="21" applyNumberFormat="1" applyFont="1" applyBorder="1" applyAlignment="1">
      <alignment horizontal="center" vertical="center" wrapText="1"/>
    </xf>
    <xf numFmtId="209" fontId="61" fillId="13" borderId="108" xfId="21" applyNumberFormat="1" applyFont="1" applyFill="1" applyBorder="1" applyAlignment="1" applyProtection="1">
      <alignment horizontal="center" vertical="center" wrapText="1"/>
      <protection locked="0"/>
    </xf>
    <xf numFmtId="2" fontId="13" fillId="0" borderId="66" xfId="21" applyNumberFormat="1" applyFont="1" applyBorder="1" applyAlignment="1">
      <alignment horizontal="center" vertical="center" wrapText="1"/>
    </xf>
    <xf numFmtId="210" fontId="13" fillId="31" borderId="122" xfId="21" applyNumberFormat="1" applyFont="1" applyFill="1" applyBorder="1" applyAlignment="1">
      <alignment horizontal="centerContinuous" vertical="center" wrapText="1"/>
    </xf>
    <xf numFmtId="210" fontId="13" fillId="31" borderId="66" xfId="21" applyNumberFormat="1" applyFont="1" applyFill="1" applyBorder="1" applyAlignment="1">
      <alignment horizontal="centerContinuous" vertical="center" wrapText="1"/>
    </xf>
    <xf numFmtId="209" fontId="0" fillId="5" borderId="0" xfId="0" applyNumberFormat="1" applyFill="1" applyAlignment="1">
      <alignment horizontal="center"/>
    </xf>
    <xf numFmtId="209" fontId="0" fillId="33" borderId="0" xfId="0" applyNumberFormat="1" applyFill="1" applyAlignment="1">
      <alignment horizontal="center"/>
    </xf>
    <xf numFmtId="2" fontId="0" fillId="5" borderId="0" xfId="0" applyNumberFormat="1" applyFill="1" applyAlignment="1">
      <alignment horizontal="center"/>
    </xf>
    <xf numFmtId="0" fontId="0" fillId="4" borderId="0" xfId="0" applyFill="1"/>
    <xf numFmtId="1" fontId="14" fillId="4" borderId="0" xfId="21" applyNumberFormat="1" applyFont="1" applyFill="1" applyAlignment="1" applyProtection="1">
      <alignment horizontal="left" vertical="center"/>
      <protection locked="0"/>
    </xf>
    <xf numFmtId="2" fontId="13" fillId="2" borderId="0" xfId="21" applyNumberFormat="1" applyFont="1" applyFill="1" applyAlignment="1">
      <alignment horizontal="centerContinuous" vertical="center" wrapText="1"/>
    </xf>
    <xf numFmtId="0" fontId="36" fillId="4" borderId="0" xfId="21" applyFont="1" applyFill="1" applyAlignment="1" applyProtection="1">
      <alignment horizontal="left" vertical="center"/>
      <protection locked="0"/>
    </xf>
    <xf numFmtId="0" fontId="36" fillId="4" borderId="0" xfId="21" applyFont="1" applyFill="1" applyAlignment="1" applyProtection="1">
      <alignment horizontal="center" vertical="center" wrapText="1"/>
      <protection locked="0"/>
    </xf>
    <xf numFmtId="0" fontId="289" fillId="4" borderId="0" xfId="22" applyFont="1" applyFill="1" applyAlignment="1">
      <alignment horizontal="left"/>
    </xf>
    <xf numFmtId="0" fontId="45" fillId="4" borderId="0" xfId="21" applyFont="1" applyFill="1" applyAlignment="1">
      <alignment horizontal="center" vertical="center"/>
    </xf>
    <xf numFmtId="0" fontId="293" fillId="2" borderId="0" xfId="0" applyFont="1" applyFill="1"/>
    <xf numFmtId="0" fontId="36" fillId="4" borderId="0" xfId="22" applyFont="1" applyFill="1" applyAlignment="1">
      <alignment horizontal="centerContinuous" vertical="top"/>
    </xf>
    <xf numFmtId="0" fontId="45" fillId="4" borderId="0" xfId="21" applyFont="1" applyFill="1" applyAlignment="1">
      <alignment horizontal="centerContinuous" vertical="center"/>
    </xf>
    <xf numFmtId="0" fontId="45" fillId="4" borderId="0" xfId="21" applyFont="1" applyFill="1" applyAlignment="1">
      <alignment horizontal="left" vertical="center"/>
    </xf>
    <xf numFmtId="209" fontId="9" fillId="2" borderId="0" xfId="0" applyNumberFormat="1" applyFont="1" applyFill="1" applyAlignment="1">
      <alignment horizontal="left"/>
    </xf>
    <xf numFmtId="0" fontId="294" fillId="2" borderId="0" xfId="11" applyFont="1" applyFill="1" applyAlignment="1" applyProtection="1"/>
    <xf numFmtId="0" fontId="56" fillId="4" borderId="0" xfId="0" applyFont="1" applyFill="1"/>
    <xf numFmtId="0" fontId="0" fillId="4" borderId="11" xfId="0" applyFill="1" applyBorder="1"/>
    <xf numFmtId="0" fontId="0" fillId="4" borderId="10" xfId="0" applyFill="1" applyBorder="1"/>
    <xf numFmtId="0" fontId="0" fillId="0" borderId="10" xfId="0" applyBorder="1"/>
    <xf numFmtId="0" fontId="0" fillId="2" borderId="138" xfId="0" applyFill="1" applyBorder="1"/>
    <xf numFmtId="0" fontId="34" fillId="2" borderId="0" xfId="21" applyFont="1" applyFill="1" applyAlignment="1">
      <alignment horizontal="centerContinuous" vertical="center"/>
    </xf>
    <xf numFmtId="0" fontId="0" fillId="2" borderId="0" xfId="0" applyFill="1" applyAlignment="1">
      <alignment horizontal="centerContinuous" wrapText="1"/>
    </xf>
    <xf numFmtId="0" fontId="34" fillId="2" borderId="0" xfId="21" applyFont="1" applyFill="1" applyAlignment="1">
      <alignment horizontal="centerContinuous" vertical="center" wrapText="1"/>
    </xf>
    <xf numFmtId="0" fontId="295" fillId="2" borderId="0" xfId="22" applyFont="1" applyFill="1" applyAlignment="1">
      <alignment horizontal="left"/>
    </xf>
    <xf numFmtId="0" fontId="105" fillId="4" borderId="97" xfId="21" applyFont="1" applyFill="1" applyBorder="1" applyAlignment="1">
      <alignment horizontal="centerContinuous" vertical="center"/>
    </xf>
    <xf numFmtId="2" fontId="297" fillId="4" borderId="97" xfId="21" applyNumberFormat="1" applyFont="1" applyFill="1" applyBorder="1" applyAlignment="1">
      <alignment horizontal="centerContinuous" vertical="center" wrapText="1"/>
    </xf>
    <xf numFmtId="0" fontId="105" fillId="0" borderId="0" xfId="21" applyFont="1" applyAlignment="1">
      <alignment horizontal="centerContinuous" vertical="center" wrapText="1"/>
    </xf>
    <xf numFmtId="0" fontId="297" fillId="0" borderId="0" xfId="21" applyFont="1" applyAlignment="1">
      <alignment horizontal="centerContinuous" vertical="center" wrapText="1"/>
    </xf>
    <xf numFmtId="2" fontId="106" fillId="13" borderId="96" xfId="21" applyNumberFormat="1" applyFont="1" applyFill="1" applyBorder="1" applyAlignment="1">
      <alignment horizontal="center" vertical="center" wrapText="1"/>
    </xf>
    <xf numFmtId="0" fontId="168" fillId="0" borderId="0" xfId="0" applyFont="1"/>
    <xf numFmtId="2" fontId="288" fillId="0" borderId="96" xfId="0" applyNumberFormat="1" applyFont="1" applyBorder="1" applyAlignment="1">
      <alignment horizontal="center" vertical="center"/>
    </xf>
    <xf numFmtId="2" fontId="288" fillId="0" borderId="136" xfId="0" applyNumberFormat="1" applyFont="1" applyBorder="1" applyAlignment="1">
      <alignment horizontal="center" vertical="center"/>
    </xf>
    <xf numFmtId="2" fontId="106" fillId="13" borderId="108" xfId="21" applyNumberFormat="1" applyFont="1" applyFill="1" applyBorder="1" applyAlignment="1" applyProtection="1">
      <alignment horizontal="center" vertical="center" wrapText="1"/>
      <protection locked="0"/>
    </xf>
    <xf numFmtId="2" fontId="0" fillId="33" borderId="0" xfId="0" applyNumberFormat="1" applyFill="1" applyAlignment="1">
      <alignment horizontal="center"/>
    </xf>
    <xf numFmtId="0" fontId="104" fillId="4" borderId="0" xfId="21" applyFont="1" applyFill="1" applyAlignment="1" applyProtection="1">
      <alignment horizontal="left" vertical="center"/>
      <protection locked="0"/>
    </xf>
    <xf numFmtId="0" fontId="295" fillId="4" borderId="0" xfId="22" applyFont="1" applyFill="1" applyAlignment="1">
      <alignment horizontal="left"/>
    </xf>
    <xf numFmtId="0" fontId="296" fillId="4" borderId="0" xfId="22" applyFont="1" applyFill="1" applyAlignment="1">
      <alignment horizontal="centerContinuous" vertical="top"/>
    </xf>
    <xf numFmtId="0" fontId="271" fillId="4" borderId="0" xfId="0" applyFont="1" applyFill="1"/>
    <xf numFmtId="0" fontId="12" fillId="0" borderId="2" xfId="1" applyBorder="1"/>
    <xf numFmtId="0" fontId="108" fillId="2" borderId="10" xfId="1" applyFont="1" applyFill="1" applyBorder="1"/>
    <xf numFmtId="0" fontId="78" fillId="2" borderId="99" xfId="2" applyFont="1" applyFill="1" applyBorder="1" applyAlignment="1">
      <alignment horizontal="left" vertical="center"/>
    </xf>
    <xf numFmtId="0" fontId="78" fillId="2" borderId="7" xfId="2" applyFont="1" applyFill="1" applyBorder="1" applyAlignment="1">
      <alignment horizontal="left" vertical="center"/>
    </xf>
    <xf numFmtId="0" fontId="116" fillId="2" borderId="7" xfId="1" applyFont="1" applyFill="1" applyBorder="1"/>
    <xf numFmtId="0" fontId="156" fillId="2" borderId="98" xfId="2" applyFont="1" applyFill="1" applyBorder="1" applyAlignment="1">
      <alignment horizontal="center" vertical="center" wrapText="1"/>
    </xf>
    <xf numFmtId="0" fontId="12" fillId="2" borderId="2" xfId="1" applyFill="1" applyBorder="1"/>
    <xf numFmtId="0" fontId="298" fillId="2" borderId="13" xfId="2" applyFont="1" applyFill="1" applyBorder="1" applyAlignment="1">
      <alignment horizontal="right" vertical="center"/>
    </xf>
    <xf numFmtId="0" fontId="298" fillId="2" borderId="101" xfId="2" applyFont="1" applyFill="1" applyBorder="1" applyAlignment="1">
      <alignment horizontal="right" vertical="center"/>
    </xf>
    <xf numFmtId="0" fontId="12" fillId="0" borderId="100" xfId="1" applyBorder="1"/>
    <xf numFmtId="0" fontId="78" fillId="2" borderId="64" xfId="2" applyFont="1" applyFill="1" applyBorder="1" applyAlignment="1">
      <alignment horizontal="center" vertical="center"/>
    </xf>
    <xf numFmtId="0" fontId="301" fillId="2" borderId="129" xfId="2" quotePrefix="1" applyFont="1" applyFill="1" applyBorder="1" applyAlignment="1">
      <alignment horizontal="center" vertical="center"/>
    </xf>
    <xf numFmtId="179" fontId="39" fillId="5" borderId="129" xfId="21" applyNumberFormat="1" applyFont="1" applyFill="1" applyBorder="1" applyAlignment="1" applyProtection="1">
      <alignment horizontal="center" vertical="center" wrapText="1"/>
      <protection locked="0"/>
    </xf>
    <xf numFmtId="189" fontId="39" fillId="5" borderId="130" xfId="21" applyNumberFormat="1" applyFont="1" applyFill="1" applyBorder="1" applyAlignment="1" applyProtection="1">
      <alignment horizontal="center" vertical="center" wrapText="1"/>
      <protection locked="0"/>
    </xf>
    <xf numFmtId="0" fontId="127" fillId="2" borderId="0" xfId="2" applyFont="1" applyFill="1" applyAlignment="1">
      <alignment horizontal="left" vertical="center"/>
    </xf>
    <xf numFmtId="0" fontId="302" fillId="49" borderId="0" xfId="2" applyFont="1" applyFill="1" applyAlignment="1">
      <alignment horizontal="center" vertical="center"/>
    </xf>
    <xf numFmtId="0" fontId="182" fillId="2" borderId="0" xfId="2" applyFont="1" applyFill="1" applyAlignment="1">
      <alignment horizontal="center" vertical="center"/>
    </xf>
    <xf numFmtId="175" fontId="13" fillId="0" borderId="54" xfId="4" applyNumberFormat="1" applyFont="1" applyBorder="1" applyAlignment="1">
      <alignment horizontal="center" vertical="center"/>
    </xf>
    <xf numFmtId="175" fontId="13" fillId="0" borderId="31" xfId="4" applyNumberFormat="1" applyFont="1" applyBorder="1" applyAlignment="1">
      <alignment horizontal="center" vertical="center"/>
    </xf>
    <xf numFmtId="175" fontId="13" fillId="0" borderId="77" xfId="4" applyNumberFormat="1" applyFont="1" applyBorder="1" applyAlignment="1">
      <alignment horizontal="center" vertical="center"/>
    </xf>
    <xf numFmtId="173" fontId="65" fillId="2" borderId="0" xfId="6" applyNumberFormat="1" applyFont="1" applyFill="1" applyAlignment="1">
      <alignment horizontal="center" vertical="center"/>
    </xf>
    <xf numFmtId="0" fontId="70" fillId="2" borderId="0" xfId="6" applyFont="1" applyFill="1" applyAlignment="1">
      <alignment horizontal="center" vertical="center"/>
    </xf>
    <xf numFmtId="165" fontId="70" fillId="2" borderId="0" xfId="6" applyNumberFormat="1" applyFont="1" applyFill="1" applyAlignment="1">
      <alignment horizontal="center" vertical="center"/>
    </xf>
    <xf numFmtId="173" fontId="62" fillId="13" borderId="0" xfId="6" applyNumberFormat="1" applyFont="1" applyFill="1" applyAlignment="1">
      <alignment horizontal="center" vertical="center"/>
    </xf>
    <xf numFmtId="2" fontId="34" fillId="2" borderId="0" xfId="6" applyNumberFormat="1" applyFont="1" applyFill="1" applyAlignment="1">
      <alignment horizontal="center" vertical="center"/>
    </xf>
    <xf numFmtId="0" fontId="67" fillId="2" borderId="0" xfId="6" applyFont="1" applyFill="1" applyAlignment="1">
      <alignment horizontal="left" vertical="center"/>
    </xf>
    <xf numFmtId="175" fontId="75" fillId="33" borderId="13" xfId="4" applyNumberFormat="1" applyFont="1" applyFill="1" applyBorder="1" applyAlignment="1">
      <alignment horizontal="center" vertical="center" wrapText="1"/>
    </xf>
    <xf numFmtId="174" fontId="75" fillId="33" borderId="12" xfId="4" applyNumberFormat="1" applyFont="1" applyFill="1" applyBorder="1" applyAlignment="1">
      <alignment horizontal="center" vertical="center"/>
    </xf>
    <xf numFmtId="174" fontId="75" fillId="33" borderId="13" xfId="4" applyNumberFormat="1" applyFont="1" applyFill="1" applyBorder="1" applyAlignment="1">
      <alignment horizontal="center" vertical="center"/>
    </xf>
    <xf numFmtId="0" fontId="75" fillId="33" borderId="12" xfId="1" applyFont="1" applyFill="1" applyBorder="1" applyAlignment="1">
      <alignment horizontal="center" vertical="center"/>
    </xf>
    <xf numFmtId="0" fontId="34" fillId="2" borderId="22" xfId="1" applyFont="1" applyFill="1" applyBorder="1" applyAlignment="1">
      <alignment vertical="center"/>
    </xf>
    <xf numFmtId="0" fontId="225" fillId="2" borderId="21" xfId="17" applyFill="1" applyBorder="1" applyAlignment="1">
      <alignment vertical="center"/>
    </xf>
    <xf numFmtId="0" fontId="225" fillId="2" borderId="20" xfId="17" applyFill="1" applyBorder="1" applyAlignment="1">
      <alignment vertical="center"/>
    </xf>
    <xf numFmtId="0" fontId="34" fillId="2" borderId="68" xfId="1" applyFont="1" applyFill="1" applyBorder="1" applyAlignment="1">
      <alignment vertical="center"/>
    </xf>
    <xf numFmtId="0" fontId="64" fillId="2" borderId="0" xfId="1" applyFont="1" applyFill="1" applyAlignment="1">
      <alignment horizontal="centerContinuous" vertical="center"/>
    </xf>
    <xf numFmtId="175" fontId="75" fillId="33" borderId="0" xfId="4" applyNumberFormat="1" applyFont="1" applyFill="1" applyAlignment="1">
      <alignment horizontal="center" vertical="center" wrapText="1"/>
    </xf>
    <xf numFmtId="1" fontId="75" fillId="33" borderId="0" xfId="4" applyNumberFormat="1" applyFont="1" applyFill="1" applyAlignment="1">
      <alignment horizontal="centerContinuous" vertical="center"/>
    </xf>
    <xf numFmtId="0" fontId="75" fillId="33" borderId="0" xfId="1" applyFont="1" applyFill="1" applyAlignment="1">
      <alignment horizontal="center" vertical="center" wrapText="1"/>
    </xf>
    <xf numFmtId="0" fontId="75" fillId="33" borderId="0" xfId="1" applyFont="1" applyFill="1" applyAlignment="1">
      <alignment horizontal="centerContinuous" vertical="center"/>
    </xf>
    <xf numFmtId="0" fontId="75" fillId="33" borderId="0" xfId="1" applyFont="1" applyFill="1" applyAlignment="1">
      <alignment horizontal="center" vertical="center"/>
    </xf>
    <xf numFmtId="174" fontId="75" fillId="33" borderId="0" xfId="4" applyNumberFormat="1" applyFont="1" applyFill="1" applyAlignment="1">
      <alignment horizontal="center" vertical="center"/>
    </xf>
    <xf numFmtId="1" fontId="75" fillId="33" borderId="0" xfId="4" applyNumberFormat="1" applyFont="1" applyFill="1" applyAlignment="1">
      <alignment horizontal="center" vertical="center"/>
    </xf>
    <xf numFmtId="2" fontId="75" fillId="33" borderId="0" xfId="4" applyNumberFormat="1" applyFont="1" applyFill="1" applyAlignment="1">
      <alignment horizontal="center" vertical="center"/>
    </xf>
    <xf numFmtId="0" fontId="0" fillId="2" borderId="21" xfId="0" applyFill="1" applyBorder="1"/>
    <xf numFmtId="0" fontId="0" fillId="2" borderId="96" xfId="0" applyFill="1" applyBorder="1"/>
    <xf numFmtId="0" fontId="78" fillId="2" borderId="11" xfId="1" applyFont="1" applyFill="1" applyBorder="1" applyAlignment="1">
      <alignment vertical="center" wrapText="1"/>
    </xf>
    <xf numFmtId="0" fontId="78" fillId="2" borderId="10" xfId="1" applyFont="1" applyFill="1" applyBorder="1" applyAlignment="1">
      <alignment vertical="center" wrapText="1"/>
    </xf>
    <xf numFmtId="0" fontId="78" fillId="2" borderId="9" xfId="1" applyFont="1" applyFill="1" applyBorder="1" applyAlignment="1">
      <alignment vertical="center" wrapText="1"/>
    </xf>
    <xf numFmtId="174" fontId="75" fillId="33" borderId="28" xfId="4" applyNumberFormat="1" applyFont="1" applyFill="1" applyBorder="1" applyAlignment="1">
      <alignment horizontal="center" vertical="center"/>
    </xf>
    <xf numFmtId="174" fontId="75" fillId="33" borderId="27" xfId="4" applyNumberFormat="1" applyFont="1" applyFill="1" applyBorder="1" applyAlignment="1">
      <alignment horizontal="center" vertical="center"/>
    </xf>
    <xf numFmtId="1" fontId="75" fillId="33" borderId="27" xfId="4" applyNumberFormat="1" applyFont="1" applyFill="1" applyBorder="1" applyAlignment="1">
      <alignment horizontal="center" vertical="center"/>
    </xf>
    <xf numFmtId="0" fontId="75" fillId="33" borderId="27" xfId="1" applyFont="1" applyFill="1" applyBorder="1" applyAlignment="1">
      <alignment horizontal="center" vertical="center"/>
    </xf>
    <xf numFmtId="2" fontId="75" fillId="33" borderId="27" xfId="4" applyNumberFormat="1" applyFont="1" applyFill="1" applyBorder="1" applyAlignment="1">
      <alignment horizontal="center" vertical="center"/>
    </xf>
    <xf numFmtId="0" fontId="75" fillId="33" borderId="26" xfId="1" applyFont="1" applyFill="1" applyBorder="1" applyAlignment="1">
      <alignment horizontal="center" vertical="center"/>
    </xf>
    <xf numFmtId="174" fontId="45" fillId="2" borderId="12" xfId="4" applyNumberFormat="1" applyFont="1" applyFill="1" applyBorder="1" applyAlignment="1">
      <alignment vertical="center"/>
    </xf>
    <xf numFmtId="174" fontId="34" fillId="2" borderId="12" xfId="4" applyNumberFormat="1" applyFont="1" applyFill="1" applyBorder="1" applyAlignment="1">
      <alignment horizontal="center" vertical="center"/>
    </xf>
    <xf numFmtId="174" fontId="47" fillId="2" borderId="0" xfId="4" applyNumberFormat="1" applyFont="1" applyFill="1" applyAlignment="1">
      <alignment vertical="center"/>
    </xf>
    <xf numFmtId="0" fontId="78" fillId="2" borderId="97" xfId="18" applyFont="1" applyFill="1" applyBorder="1" applyAlignment="1">
      <alignment horizontal="center"/>
    </xf>
    <xf numFmtId="0" fontId="78" fillId="2" borderId="149" xfId="18" applyFont="1" applyFill="1" applyBorder="1" applyAlignment="1">
      <alignment horizontal="center"/>
    </xf>
    <xf numFmtId="0" fontId="78" fillId="2" borderId="0" xfId="18" applyFont="1" applyFill="1" applyAlignment="1">
      <alignment horizontal="center"/>
    </xf>
    <xf numFmtId="0" fontId="78" fillId="2" borderId="12" xfId="18" applyFont="1" applyFill="1" applyBorder="1" applyAlignment="1">
      <alignment horizontal="center"/>
    </xf>
    <xf numFmtId="0" fontId="189" fillId="13" borderId="150" xfId="18" applyFont="1" applyFill="1" applyBorder="1" applyAlignment="1" applyProtection="1">
      <alignment horizontal="center" vertical="center"/>
      <protection locked="0"/>
    </xf>
    <xf numFmtId="0" fontId="305" fillId="13" borderId="34" xfId="23" applyFont="1" applyFill="1" applyBorder="1" applyAlignment="1">
      <alignment horizontal="center" vertical="center" wrapText="1"/>
    </xf>
    <xf numFmtId="165" fontId="101" fillId="33" borderId="95" xfId="0" applyNumberFormat="1" applyFont="1" applyFill="1" applyBorder="1" applyAlignment="1">
      <alignment horizontal="center" vertical="center"/>
    </xf>
    <xf numFmtId="0" fontId="169" fillId="2" borderId="76" xfId="18" quotePrefix="1" applyFont="1" applyFill="1" applyBorder="1" applyAlignment="1">
      <alignment vertical="center"/>
    </xf>
    <xf numFmtId="0" fontId="306" fillId="2" borderId="75" xfId="18" quotePrefix="1" applyFont="1" applyFill="1" applyBorder="1" applyAlignment="1">
      <alignment horizontal="right" vertical="center"/>
    </xf>
    <xf numFmtId="1" fontId="306" fillId="2" borderId="75" xfId="18" applyNumberFormat="1" applyFont="1" applyFill="1" applyBorder="1" applyAlignment="1">
      <alignment horizontal="center" vertical="center"/>
    </xf>
    <xf numFmtId="0" fontId="307" fillId="0" borderId="74" xfId="0" applyFont="1" applyBorder="1"/>
    <xf numFmtId="0" fontId="101" fillId="33" borderId="95" xfId="0" applyFont="1" applyFill="1" applyBorder="1" applyAlignment="1">
      <alignment horizontal="center" vertical="center"/>
    </xf>
    <xf numFmtId="0" fontId="78" fillId="2" borderId="145" xfId="0" applyFont="1" applyFill="1" applyBorder="1" applyAlignment="1">
      <alignment horizontal="center" vertical="center"/>
    </xf>
    <xf numFmtId="0" fontId="78" fillId="2" borderId="0" xfId="0" applyFont="1" applyFill="1" applyAlignment="1">
      <alignment horizontal="center" vertical="center"/>
    </xf>
    <xf numFmtId="1" fontId="78" fillId="2" borderId="145" xfId="18" applyNumberFormat="1" applyFont="1" applyFill="1" applyBorder="1" applyAlignment="1">
      <alignment horizontal="center" vertical="center"/>
    </xf>
    <xf numFmtId="0" fontId="101" fillId="2" borderId="12" xfId="23" applyFont="1" applyFill="1" applyBorder="1" applyAlignment="1">
      <alignment horizontal="center" vertical="center"/>
    </xf>
    <xf numFmtId="0" fontId="101" fillId="2" borderId="26" xfId="23" applyFont="1" applyFill="1" applyBorder="1" applyAlignment="1">
      <alignment horizontal="center" vertical="center"/>
    </xf>
    <xf numFmtId="0" fontId="11" fillId="2" borderId="0" xfId="0" applyFont="1" applyFill="1" applyAlignment="1">
      <alignment horizontal="center"/>
    </xf>
    <xf numFmtId="0" fontId="306" fillId="2" borderId="0" xfId="18" quotePrefix="1" applyFont="1" applyFill="1" applyAlignment="1">
      <alignment horizontal="right" vertical="center"/>
    </xf>
    <xf numFmtId="1" fontId="306" fillId="2" borderId="0" xfId="18" applyNumberFormat="1" applyFont="1" applyFill="1" applyAlignment="1">
      <alignment horizontal="center" vertical="center"/>
    </xf>
    <xf numFmtId="0" fontId="11" fillId="2" borderId="13" xfId="0" applyFont="1" applyFill="1" applyBorder="1" applyAlignment="1">
      <alignment horizontal="center"/>
    </xf>
    <xf numFmtId="0" fontId="304" fillId="2" borderId="13" xfId="18" applyFont="1" applyFill="1" applyBorder="1" applyAlignment="1">
      <alignment vertical="center"/>
    </xf>
    <xf numFmtId="0" fontId="282" fillId="2" borderId="11" xfId="23" applyFont="1" applyFill="1" applyBorder="1" applyAlignment="1">
      <alignment vertical="center"/>
    </xf>
    <xf numFmtId="0" fontId="169" fillId="2" borderId="64" xfId="18" quotePrefix="1" applyFont="1" applyFill="1" applyBorder="1" applyAlignment="1">
      <alignment vertical="center"/>
    </xf>
    <xf numFmtId="0" fontId="306" fillId="2" borderId="129" xfId="18" quotePrefix="1" applyFont="1" applyFill="1" applyBorder="1" applyAlignment="1">
      <alignment horizontal="right" vertical="center"/>
    </xf>
    <xf numFmtId="1" fontId="306" fillId="2" borderId="129" xfId="18" applyNumberFormat="1" applyFont="1" applyFill="1" applyBorder="1" applyAlignment="1">
      <alignment horizontal="center" vertical="center"/>
    </xf>
    <xf numFmtId="0" fontId="307" fillId="0" borderId="130" xfId="0" applyFont="1" applyBorder="1"/>
    <xf numFmtId="0" fontId="101" fillId="33" borderId="145" xfId="0" applyFont="1" applyFill="1" applyBorder="1" applyAlignment="1">
      <alignment horizontal="center" vertical="center"/>
    </xf>
    <xf numFmtId="0" fontId="0" fillId="2" borderId="41" xfId="0" applyFill="1" applyBorder="1"/>
    <xf numFmtId="0" fontId="0" fillId="0" borderId="156" xfId="0" applyBorder="1"/>
    <xf numFmtId="1" fontId="78" fillId="2" borderId="27" xfId="18" applyNumberFormat="1" applyFont="1" applyFill="1" applyBorder="1" applyAlignment="1">
      <alignment horizontal="center" vertical="center"/>
    </xf>
    <xf numFmtId="0" fontId="78" fillId="2" borderId="27" xfId="0" applyFont="1" applyFill="1" applyBorder="1" applyAlignment="1">
      <alignment horizontal="center" vertical="center"/>
    </xf>
    <xf numFmtId="0" fontId="101" fillId="2" borderId="27" xfId="18" applyFont="1" applyFill="1" applyBorder="1" applyAlignment="1">
      <alignment horizontal="right" vertical="center" wrapText="1"/>
    </xf>
    <xf numFmtId="0" fontId="304" fillId="0" borderId="138" xfId="0" applyFont="1" applyBorder="1"/>
    <xf numFmtId="0" fontId="78" fillId="2" borderId="0" xfId="18" applyFont="1" applyFill="1" applyAlignment="1">
      <alignment vertical="center"/>
    </xf>
    <xf numFmtId="0" fontId="78" fillId="2" borderId="0" xfId="0" applyFont="1" applyFill="1"/>
    <xf numFmtId="0" fontId="78" fillId="2" borderId="12" xfId="0" applyFont="1" applyFill="1" applyBorder="1"/>
    <xf numFmtId="0" fontId="78" fillId="2" borderId="10" xfId="0" applyFont="1" applyFill="1" applyBorder="1"/>
    <xf numFmtId="0" fontId="78" fillId="2" borderId="9" xfId="0" applyFont="1" applyFill="1" applyBorder="1"/>
    <xf numFmtId="0" fontId="78" fillId="2" borderId="41" xfId="18" applyFont="1" applyFill="1" applyBorder="1" applyAlignment="1">
      <alignment horizontal="center"/>
    </xf>
    <xf numFmtId="0" fontId="11" fillId="2" borderId="68" xfId="0" applyFont="1" applyFill="1" applyBorder="1" applyAlignment="1">
      <alignment horizontal="center"/>
    </xf>
    <xf numFmtId="0" fontId="0" fillId="2" borderId="39" xfId="0" applyFill="1" applyBorder="1"/>
    <xf numFmtId="0" fontId="121" fillId="2" borderId="42" xfId="0" applyFont="1" applyFill="1" applyBorder="1" applyAlignment="1">
      <alignment horizontal="center"/>
    </xf>
    <xf numFmtId="0" fontId="282" fillId="2" borderId="0" xfId="0" applyFont="1" applyFill="1"/>
    <xf numFmtId="0" fontId="169" fillId="2" borderId="42" xfId="18" quotePrefix="1" applyFont="1" applyFill="1" applyBorder="1" applyAlignment="1">
      <alignment vertical="center"/>
    </xf>
    <xf numFmtId="0" fontId="307" fillId="0" borderId="12" xfId="0" applyFont="1" applyBorder="1"/>
    <xf numFmtId="0" fontId="127" fillId="2" borderId="145" xfId="2" applyFont="1" applyFill="1" applyBorder="1" applyAlignment="1">
      <alignment horizontal="left" vertical="center"/>
    </xf>
    <xf numFmtId="0" fontId="225" fillId="2" borderId="145" xfId="17" applyFill="1" applyBorder="1" applyAlignment="1">
      <alignment vertical="center"/>
    </xf>
    <xf numFmtId="0" fontId="11" fillId="2" borderId="95" xfId="0" applyFont="1" applyFill="1" applyBorder="1" applyAlignment="1">
      <alignment horizontal="center"/>
    </xf>
    <xf numFmtId="0" fontId="11" fillId="2" borderId="155" xfId="0" applyFont="1" applyFill="1" applyBorder="1" applyAlignment="1">
      <alignment horizontal="center"/>
    </xf>
    <xf numFmtId="0" fontId="11" fillId="2" borderId="108" xfId="0" applyFont="1" applyFill="1" applyBorder="1" applyAlignment="1">
      <alignment horizontal="center" vertical="center"/>
    </xf>
    <xf numFmtId="0" fontId="169" fillId="2" borderId="147" xfId="18" quotePrefix="1" applyFont="1" applyFill="1" applyBorder="1" applyAlignment="1">
      <alignment vertical="center"/>
    </xf>
    <xf numFmtId="0" fontId="306" fillId="2" borderId="147" xfId="18" quotePrefix="1" applyFont="1" applyFill="1" applyBorder="1" applyAlignment="1">
      <alignment horizontal="right" vertical="center"/>
    </xf>
    <xf numFmtId="1" fontId="306" fillId="2" borderId="147" xfId="18" applyNumberFormat="1" applyFont="1" applyFill="1" applyBorder="1" applyAlignment="1">
      <alignment horizontal="center" vertical="center"/>
    </xf>
    <xf numFmtId="0" fontId="307" fillId="0" borderId="65" xfId="0" applyFont="1" applyBorder="1"/>
    <xf numFmtId="0" fontId="12" fillId="5" borderId="13" xfId="1" applyFill="1" applyBorder="1" applyAlignment="1">
      <alignment horizontal="center" vertical="center"/>
    </xf>
    <xf numFmtId="0" fontId="225" fillId="2" borderId="0" xfId="17" applyFill="1" applyBorder="1" applyAlignment="1">
      <alignment vertical="center"/>
    </xf>
    <xf numFmtId="0" fontId="78" fillId="2" borderId="129" xfId="18" applyFont="1" applyFill="1" applyBorder="1" applyAlignment="1">
      <alignment horizontal="center"/>
    </xf>
    <xf numFmtId="0" fontId="78" fillId="2" borderId="130" xfId="18" applyFont="1" applyFill="1" applyBorder="1" applyAlignment="1">
      <alignment horizontal="center"/>
    </xf>
    <xf numFmtId="0" fontId="78" fillId="2" borderId="47" xfId="18" applyFont="1" applyFill="1" applyBorder="1" applyAlignment="1">
      <alignment horizontal="center"/>
    </xf>
    <xf numFmtId="0" fontId="225" fillId="2" borderId="27" xfId="17" applyFill="1" applyBorder="1" applyAlignment="1">
      <alignment vertical="center"/>
    </xf>
    <xf numFmtId="0" fontId="305" fillId="13" borderId="166" xfId="23" applyFont="1" applyFill="1" applyBorder="1" applyAlignment="1">
      <alignment horizontal="center" vertical="center" wrapText="1"/>
    </xf>
    <xf numFmtId="167" fontId="121" fillId="13" borderId="166" xfId="18" applyNumberFormat="1" applyFont="1" applyFill="1" applyBorder="1" applyAlignment="1" applyProtection="1">
      <alignment horizontal="center" vertical="center"/>
      <protection locked="0"/>
    </xf>
    <xf numFmtId="167" fontId="121" fillId="13" borderId="34" xfId="18" applyNumberFormat="1" applyFont="1" applyFill="1" applyBorder="1" applyAlignment="1" applyProtection="1">
      <alignment horizontal="center" vertical="center"/>
      <protection locked="0"/>
    </xf>
    <xf numFmtId="169" fontId="121" fillId="13" borderId="34" xfId="18" applyNumberFormat="1" applyFont="1" applyFill="1" applyBorder="1" applyAlignment="1" applyProtection="1">
      <alignment horizontal="center" vertical="center"/>
      <protection locked="0"/>
    </xf>
    <xf numFmtId="165" fontId="101" fillId="33" borderId="170" xfId="0" applyNumberFormat="1" applyFont="1" applyFill="1" applyBorder="1" applyAlignment="1">
      <alignment horizontal="center" vertical="center"/>
    </xf>
    <xf numFmtId="168" fontId="69" fillId="2" borderId="0" xfId="7" applyNumberFormat="1" applyFont="1" applyFill="1" applyAlignment="1" applyProtection="1">
      <alignment horizontal="center" vertical="center"/>
      <protection locked="0"/>
    </xf>
    <xf numFmtId="0" fontId="83" fillId="2" borderId="0" xfId="1" applyFont="1" applyFill="1" applyAlignment="1">
      <alignment horizontal="center" vertical="center"/>
    </xf>
    <xf numFmtId="0" fontId="82" fillId="2" borderId="0" xfId="1" applyFont="1" applyFill="1" applyAlignment="1">
      <alignment horizontal="center"/>
    </xf>
    <xf numFmtId="0" fontId="81" fillId="2" borderId="0" xfId="2" applyFont="1" applyFill="1" applyAlignment="1" applyProtection="1">
      <alignment horizontal="center"/>
      <protection hidden="1"/>
    </xf>
    <xf numFmtId="0" fontId="69" fillId="2" borderId="0" xfId="1" applyFont="1" applyFill="1" applyAlignment="1">
      <alignment horizontal="left" vertical="center"/>
    </xf>
    <xf numFmtId="0" fontId="308" fillId="4" borderId="13" xfId="2" applyFont="1" applyFill="1" applyBorder="1" applyAlignment="1">
      <alignment horizontal="center" vertical="center"/>
    </xf>
    <xf numFmtId="0" fontId="34" fillId="2" borderId="12" xfId="7" applyFont="1" applyFill="1" applyBorder="1" applyAlignment="1">
      <alignment horizontal="center" vertical="center"/>
    </xf>
    <xf numFmtId="175" fontId="69" fillId="2" borderId="12" xfId="4" applyNumberFormat="1" applyFont="1" applyFill="1" applyBorder="1" applyAlignment="1">
      <alignment horizontal="right" vertical="center" wrapText="1"/>
    </xf>
    <xf numFmtId="0" fontId="39" fillId="2" borderId="12" xfId="1" applyFont="1" applyFill="1" applyBorder="1" applyAlignment="1">
      <alignment horizontal="center" vertical="center"/>
    </xf>
    <xf numFmtId="0" fontId="34" fillId="2" borderId="12" xfId="1" applyFont="1" applyFill="1" applyBorder="1" applyAlignment="1">
      <alignment horizontal="right" vertical="center"/>
    </xf>
    <xf numFmtId="0" fontId="69" fillId="2" borderId="12" xfId="1" applyFont="1" applyFill="1" applyBorder="1" applyAlignment="1">
      <alignment horizontal="center" vertical="center"/>
    </xf>
    <xf numFmtId="176" fontId="39" fillId="2" borderId="12" xfId="4" applyNumberFormat="1" applyFont="1" applyFill="1" applyBorder="1" applyAlignment="1">
      <alignment horizontal="center" vertical="center"/>
    </xf>
    <xf numFmtId="175" fontId="290" fillId="2" borderId="0" xfId="4" applyNumberFormat="1" applyFont="1" applyFill="1" applyAlignment="1">
      <alignment vertical="center"/>
    </xf>
    <xf numFmtId="0" fontId="225" fillId="2" borderId="147" xfId="17" applyFill="1" applyBorder="1" applyAlignment="1">
      <alignment vertical="center"/>
    </xf>
    <xf numFmtId="0" fontId="13" fillId="2" borderId="12" xfId="2" applyFill="1" applyBorder="1" applyProtection="1">
      <protection hidden="1"/>
    </xf>
    <xf numFmtId="0" fontId="12" fillId="2" borderId="28" xfId="1" applyFill="1" applyBorder="1" applyAlignment="1">
      <alignment vertical="center"/>
    </xf>
    <xf numFmtId="0" fontId="13" fillId="2" borderId="26" xfId="2" applyFill="1" applyBorder="1" applyProtection="1">
      <protection hidden="1"/>
    </xf>
    <xf numFmtId="165" fontId="70" fillId="2" borderId="0" xfId="6" applyNumberFormat="1" applyFont="1" applyFill="1" applyAlignment="1">
      <alignment vertical="center"/>
    </xf>
    <xf numFmtId="0" fontId="71" fillId="2" borderId="0" xfId="7" applyFont="1" applyFill="1" applyAlignment="1">
      <alignment vertical="center" wrapText="1"/>
    </xf>
    <xf numFmtId="0" fontId="71" fillId="2" borderId="0" xfId="6" applyFont="1" applyFill="1" applyAlignment="1">
      <alignment vertical="center" wrapText="1"/>
    </xf>
    <xf numFmtId="0" fontId="70" fillId="2" borderId="0" xfId="6" applyFont="1" applyFill="1" applyAlignment="1">
      <alignment vertical="center"/>
    </xf>
    <xf numFmtId="0" fontId="39" fillId="17" borderId="0" xfId="7" applyFont="1" applyFill="1" applyAlignment="1">
      <alignment vertical="center"/>
    </xf>
    <xf numFmtId="0" fontId="72" fillId="16" borderId="0" xfId="7" applyFont="1" applyFill="1" applyAlignment="1">
      <alignment vertical="center"/>
    </xf>
    <xf numFmtId="0" fontId="197" fillId="2" borderId="0" xfId="6" applyFont="1" applyFill="1" applyAlignment="1">
      <alignment vertical="center"/>
    </xf>
    <xf numFmtId="165" fontId="197" fillId="2" borderId="0" xfId="6" applyNumberFormat="1" applyFont="1" applyFill="1" applyAlignment="1">
      <alignment horizontal="center" vertical="center"/>
    </xf>
    <xf numFmtId="0" fontId="197" fillId="2" borderId="0" xfId="1" applyFont="1" applyFill="1" applyAlignment="1">
      <alignment horizontal="center" vertical="center"/>
    </xf>
    <xf numFmtId="0" fontId="57" fillId="2" borderId="0" xfId="2" applyFont="1" applyFill="1" applyProtection="1">
      <protection hidden="1"/>
    </xf>
    <xf numFmtId="0" fontId="168" fillId="2" borderId="0" xfId="2" applyFont="1" applyFill="1" applyProtection="1">
      <protection hidden="1"/>
    </xf>
    <xf numFmtId="165" fontId="105" fillId="2" borderId="0" xfId="6" applyNumberFormat="1" applyFont="1" applyFill="1" applyAlignment="1">
      <alignment vertical="center"/>
    </xf>
    <xf numFmtId="0" fontId="105" fillId="2" borderId="0" xfId="6" applyFont="1" applyFill="1" applyAlignment="1">
      <alignment horizontal="center" vertical="center"/>
    </xf>
    <xf numFmtId="165" fontId="70" fillId="2" borderId="13" xfId="6" applyNumberFormat="1" applyFont="1" applyFill="1" applyBorder="1" applyAlignment="1">
      <alignment vertical="center"/>
    </xf>
    <xf numFmtId="167" fontId="39" fillId="2" borderId="12" xfId="6" applyNumberFormat="1" applyFont="1" applyFill="1" applyBorder="1" applyAlignment="1">
      <alignment horizontal="center" vertical="center"/>
    </xf>
    <xf numFmtId="0" fontId="73" fillId="2" borderId="13" xfId="7" applyFont="1" applyFill="1" applyBorder="1"/>
    <xf numFmtId="0" fontId="72" fillId="16" borderId="13" xfId="7" applyFont="1" applyFill="1" applyBorder="1" applyAlignment="1">
      <alignment vertical="center"/>
    </xf>
    <xf numFmtId="0" fontId="72" fillId="16" borderId="12" xfId="7" applyFont="1" applyFill="1" applyBorder="1" applyAlignment="1">
      <alignment vertical="center"/>
    </xf>
    <xf numFmtId="0" fontId="39" fillId="2" borderId="12" xfId="6" applyFont="1" applyFill="1" applyBorder="1" applyAlignment="1">
      <alignment horizontal="center" wrapText="1"/>
    </xf>
    <xf numFmtId="165" fontId="105" fillId="2" borderId="13" xfId="6" applyNumberFormat="1" applyFont="1" applyFill="1" applyBorder="1" applyAlignment="1">
      <alignment vertical="center"/>
    </xf>
    <xf numFmtId="169" fontId="39" fillId="2" borderId="12" xfId="6" applyNumberFormat="1" applyFont="1" applyFill="1" applyBorder="1" applyAlignment="1">
      <alignment horizontal="center" vertical="center"/>
    </xf>
    <xf numFmtId="165" fontId="70" fillId="2" borderId="13" xfId="6" applyNumberFormat="1" applyFont="1" applyFill="1" applyBorder="1" applyAlignment="1">
      <alignment horizontal="center" vertical="center"/>
    </xf>
    <xf numFmtId="0" fontId="39" fillId="2" borderId="12" xfId="6" applyFont="1" applyFill="1" applyBorder="1" applyAlignment="1">
      <alignment horizontal="right" vertical="center"/>
    </xf>
    <xf numFmtId="169" fontId="197" fillId="2" borderId="12" xfId="6" applyNumberFormat="1" applyFont="1" applyFill="1" applyBorder="1" applyAlignment="1">
      <alignment horizontal="center" vertical="center"/>
    </xf>
    <xf numFmtId="0" fontId="197" fillId="2" borderId="13" xfId="6" applyFont="1" applyFill="1" applyBorder="1" applyAlignment="1">
      <alignment vertical="center"/>
    </xf>
    <xf numFmtId="0" fontId="39" fillId="17" borderId="13" xfId="7" applyFont="1" applyFill="1" applyBorder="1" applyAlignment="1">
      <alignment vertical="center"/>
    </xf>
    <xf numFmtId="0" fontId="39" fillId="17" borderId="12" xfId="7" applyFont="1" applyFill="1" applyBorder="1" applyAlignment="1">
      <alignment vertical="center"/>
    </xf>
    <xf numFmtId="0" fontId="13" fillId="0" borderId="10" xfId="2" applyBorder="1" applyProtection="1">
      <protection hidden="1"/>
    </xf>
    <xf numFmtId="0" fontId="57" fillId="2" borderId="13" xfId="2" applyFont="1" applyFill="1" applyBorder="1" applyAlignment="1">
      <alignment horizontal="left" vertical="center"/>
    </xf>
    <xf numFmtId="0" fontId="57" fillId="2" borderId="13" xfId="7" applyFont="1" applyFill="1" applyBorder="1" applyAlignment="1">
      <alignment horizontal="left"/>
    </xf>
    <xf numFmtId="0" fontId="168" fillId="2" borderId="13" xfId="2" applyFont="1" applyFill="1" applyBorder="1" applyAlignment="1">
      <alignment horizontal="left" vertical="center"/>
    </xf>
    <xf numFmtId="0" fontId="168" fillId="2" borderId="13" xfId="7" applyFont="1" applyFill="1" applyBorder="1" applyAlignment="1">
      <alignment horizontal="left"/>
    </xf>
    <xf numFmtId="0" fontId="197" fillId="2" borderId="129" xfId="6" applyFont="1" applyFill="1" applyBorder="1" applyAlignment="1">
      <alignment vertical="center"/>
    </xf>
    <xf numFmtId="173" fontId="65" fillId="2" borderId="0" xfId="6" applyNumberFormat="1" applyFont="1" applyFill="1" applyAlignment="1">
      <alignment vertical="center"/>
    </xf>
    <xf numFmtId="0" fontId="68" fillId="15" borderId="0" xfId="7" applyFont="1" applyFill="1" applyAlignment="1">
      <alignment vertical="center"/>
    </xf>
    <xf numFmtId="173" fontId="62" fillId="13" borderId="0" xfId="6" applyNumberFormat="1" applyFont="1" applyFill="1" applyAlignment="1">
      <alignment vertical="center"/>
    </xf>
    <xf numFmtId="2" fontId="34" fillId="2" borderId="0" xfId="6" applyNumberFormat="1" applyFont="1" applyFill="1" applyAlignment="1">
      <alignment vertical="center"/>
    </xf>
    <xf numFmtId="0" fontId="67" fillId="2" borderId="0" xfId="6" applyFont="1" applyFill="1" applyAlignment="1">
      <alignment vertical="center"/>
    </xf>
    <xf numFmtId="172" fontId="34" fillId="3" borderId="0" xfId="6" applyNumberFormat="1" applyFont="1" applyFill="1" applyAlignment="1">
      <alignment vertical="center"/>
    </xf>
    <xf numFmtId="0" fontId="290" fillId="2" borderId="0" xfId="6" applyFont="1" applyFill="1" applyAlignment="1">
      <alignment horizontal="left" vertical="center"/>
    </xf>
    <xf numFmtId="0" fontId="290" fillId="2" borderId="0" xfId="6" applyFont="1" applyFill="1" applyAlignment="1">
      <alignment vertical="center"/>
    </xf>
    <xf numFmtId="0" fontId="68" fillId="2" borderId="0" xfId="7" applyFont="1" applyFill="1" applyAlignment="1">
      <alignment vertical="center"/>
    </xf>
    <xf numFmtId="0" fontId="68" fillId="15" borderId="12" xfId="7" applyFont="1" applyFill="1" applyBorder="1" applyAlignment="1">
      <alignment vertical="center"/>
    </xf>
    <xf numFmtId="0" fontId="68" fillId="2" borderId="12" xfId="7" applyFont="1" applyFill="1" applyBorder="1" applyAlignment="1">
      <alignment vertical="center"/>
    </xf>
    <xf numFmtId="0" fontId="68" fillId="2" borderId="12" xfId="7" applyFont="1" applyFill="1" applyBorder="1" applyAlignment="1">
      <alignment horizontal="center" vertical="center"/>
    </xf>
    <xf numFmtId="172" fontId="47" fillId="14" borderId="13" xfId="6" applyNumberFormat="1" applyFont="1" applyFill="1" applyBorder="1" applyAlignment="1">
      <alignment horizontal="center" vertical="center"/>
    </xf>
    <xf numFmtId="0" fontId="67" fillId="2" borderId="12" xfId="6" applyFont="1" applyFill="1" applyBorder="1" applyAlignment="1">
      <alignment vertical="center"/>
    </xf>
    <xf numFmtId="172" fontId="47" fillId="14" borderId="13" xfId="6" applyNumberFormat="1" applyFont="1" applyFill="1" applyBorder="1" applyAlignment="1">
      <alignment vertical="center"/>
    </xf>
    <xf numFmtId="172" fontId="34" fillId="3" borderId="13" xfId="6" applyNumberFormat="1" applyFont="1" applyFill="1" applyBorder="1" applyAlignment="1">
      <alignment vertical="center"/>
    </xf>
    <xf numFmtId="172" fontId="34" fillId="3" borderId="12" xfId="6" applyNumberFormat="1" applyFont="1" applyFill="1" applyBorder="1" applyAlignment="1">
      <alignment vertical="center"/>
    </xf>
    <xf numFmtId="172" fontId="65" fillId="2" borderId="13" xfId="6" applyNumberFormat="1" applyFont="1" applyFill="1" applyBorder="1" applyAlignment="1">
      <alignment vertical="center"/>
    </xf>
    <xf numFmtId="0" fontId="13" fillId="2" borderId="12" xfId="1" applyFont="1" applyFill="1" applyBorder="1"/>
    <xf numFmtId="172" fontId="65" fillId="2" borderId="13" xfId="6" applyNumberFormat="1" applyFont="1" applyFill="1" applyBorder="1" applyAlignment="1">
      <alignment horizontal="center" vertical="center"/>
    </xf>
    <xf numFmtId="172" fontId="65" fillId="2" borderId="13" xfId="6" applyNumberFormat="1" applyFont="1" applyFill="1" applyBorder="1" applyAlignment="1">
      <alignment horizontal="left" vertical="center"/>
    </xf>
    <xf numFmtId="0" fontId="101" fillId="2" borderId="47" xfId="0" applyFont="1" applyFill="1" applyBorder="1" applyAlignment="1">
      <alignment vertical="center"/>
    </xf>
    <xf numFmtId="0" fontId="101" fillId="2" borderId="49" xfId="0" applyFont="1" applyFill="1" applyBorder="1" applyAlignment="1">
      <alignment horizontal="right" vertical="center"/>
    </xf>
    <xf numFmtId="0" fontId="101" fillId="2" borderId="0" xfId="5" applyFont="1" applyFill="1" applyAlignment="1">
      <alignment horizontal="right" vertical="center"/>
    </xf>
    <xf numFmtId="0" fontId="101" fillId="2" borderId="42" xfId="0" applyFont="1" applyFill="1" applyBorder="1" applyAlignment="1">
      <alignment horizontal="right" vertical="center"/>
    </xf>
    <xf numFmtId="0" fontId="12" fillId="2" borderId="49" xfId="1" applyFill="1" applyBorder="1"/>
    <xf numFmtId="0" fontId="101" fillId="2" borderId="129" xfId="6" applyFont="1" applyFill="1" applyBorder="1" applyAlignment="1" applyProtection="1">
      <alignment horizontal="right" vertical="center"/>
      <protection locked="0"/>
    </xf>
    <xf numFmtId="0" fontId="101" fillId="2" borderId="129" xfId="0" applyFont="1" applyFill="1" applyBorder="1" applyAlignment="1">
      <alignment horizontal="left" vertical="center"/>
    </xf>
    <xf numFmtId="0" fontId="101" fillId="2" borderId="129" xfId="0" applyFont="1" applyFill="1" applyBorder="1" applyAlignment="1">
      <alignment vertical="center"/>
    </xf>
    <xf numFmtId="0" fontId="12" fillId="2" borderId="42" xfId="1" applyFill="1" applyBorder="1"/>
    <xf numFmtId="207" fontId="101" fillId="58" borderId="41" xfId="2" applyNumberFormat="1" applyFont="1" applyFill="1" applyBorder="1" applyAlignment="1">
      <alignment horizontal="left" vertical="center"/>
    </xf>
    <xf numFmtId="0" fontId="193" fillId="2" borderId="40" xfId="2" applyFont="1" applyFill="1" applyBorder="1"/>
    <xf numFmtId="207" fontId="101" fillId="58" borderId="27" xfId="2" applyNumberFormat="1" applyFont="1" applyFill="1" applyBorder="1" applyAlignment="1">
      <alignment horizontal="center" vertical="center"/>
    </xf>
    <xf numFmtId="207" fontId="101" fillId="58" borderId="27" xfId="2" applyNumberFormat="1" applyFont="1" applyFill="1" applyBorder="1" applyAlignment="1">
      <alignment horizontal="left" vertical="center"/>
    </xf>
    <xf numFmtId="207" fontId="189" fillId="59" borderId="129" xfId="2" applyNumberFormat="1" applyFont="1" applyFill="1" applyBorder="1" applyAlignment="1">
      <alignment horizontal="center" vertical="center"/>
    </xf>
    <xf numFmtId="207" fontId="71" fillId="59" borderId="0" xfId="2" applyNumberFormat="1" applyFont="1" applyFill="1" applyAlignment="1">
      <alignment horizontal="center" vertical="center"/>
    </xf>
    <xf numFmtId="0" fontId="225" fillId="2" borderId="26" xfId="17" applyFill="1" applyBorder="1" applyAlignment="1">
      <alignment vertical="center"/>
    </xf>
    <xf numFmtId="0" fontId="11" fillId="2" borderId="0" xfId="0" applyFont="1" applyFill="1" applyAlignment="1">
      <alignment horizontal="center" vertical="center"/>
    </xf>
    <xf numFmtId="0" fontId="13" fillId="2" borderId="145" xfId="2" applyFill="1" applyBorder="1" applyAlignment="1">
      <alignment horizontal="center" vertical="center" wrapText="1"/>
    </xf>
    <xf numFmtId="0" fontId="0" fillId="2" borderId="145" xfId="0" applyFill="1" applyBorder="1"/>
    <xf numFmtId="2" fontId="315" fillId="4" borderId="184" xfId="4" applyNumberFormat="1" applyFont="1" applyFill="1" applyBorder="1" applyAlignment="1">
      <alignment horizontal="center" vertical="center"/>
    </xf>
    <xf numFmtId="174" fontId="315" fillId="4" borderId="184" xfId="4" applyNumberFormat="1" applyFont="1" applyFill="1" applyBorder="1" applyAlignment="1">
      <alignment horizontal="center" vertical="center"/>
    </xf>
    <xf numFmtId="168" fontId="315" fillId="4" borderId="184" xfId="7" applyNumberFormat="1" applyFont="1" applyFill="1" applyBorder="1" applyAlignment="1" applyProtection="1">
      <alignment horizontal="center" vertical="center"/>
      <protection locked="0"/>
    </xf>
    <xf numFmtId="0" fontId="47" fillId="9" borderId="184" xfId="4" applyFont="1" applyFill="1" applyBorder="1" applyAlignment="1">
      <alignment horizontal="center" vertical="center"/>
    </xf>
    <xf numFmtId="0" fontId="36" fillId="63" borderId="66" xfId="6" applyFont="1" applyFill="1" applyBorder="1" applyAlignment="1" applyProtection="1">
      <alignment horizontal="center" vertical="center"/>
      <protection locked="0"/>
    </xf>
    <xf numFmtId="0" fontId="36" fillId="63" borderId="66" xfId="6" applyFont="1" applyFill="1" applyBorder="1" applyAlignment="1" applyProtection="1">
      <alignment horizontal="left" vertical="center"/>
      <protection locked="0"/>
    </xf>
    <xf numFmtId="0" fontId="296" fillId="64" borderId="33" xfId="6" applyFont="1" applyFill="1" applyBorder="1" applyAlignment="1" applyProtection="1">
      <alignment horizontal="center" vertical="center"/>
      <protection locked="0"/>
    </xf>
    <xf numFmtId="1" fontId="25" fillId="63" borderId="136" xfId="6" applyNumberFormat="1" applyFont="1" applyFill="1" applyBorder="1" applyAlignment="1" applyProtection="1">
      <alignment horizontal="center" vertical="center"/>
      <protection locked="0"/>
    </xf>
    <xf numFmtId="213" fontId="34" fillId="4" borderId="66" xfId="6" applyNumberFormat="1" applyFont="1" applyFill="1" applyBorder="1" applyAlignment="1" applyProtection="1">
      <alignment horizontal="right" vertical="center"/>
      <protection locked="0"/>
    </xf>
    <xf numFmtId="214" fontId="34" fillId="4" borderId="66" xfId="0" applyNumberFormat="1" applyFont="1" applyFill="1" applyBorder="1" applyAlignment="1">
      <alignment horizontal="center" vertical="center"/>
    </xf>
    <xf numFmtId="1" fontId="13" fillId="4" borderId="109" xfId="6" applyNumberFormat="1" applyFont="1" applyFill="1" applyBorder="1" applyAlignment="1" applyProtection="1">
      <alignment horizontal="left" vertical="center"/>
      <protection locked="0"/>
    </xf>
    <xf numFmtId="213" fontId="34" fillId="4" borderId="136" xfId="6" applyNumberFormat="1" applyFont="1" applyFill="1" applyBorder="1" applyAlignment="1" applyProtection="1">
      <alignment horizontal="right" vertical="center"/>
      <protection locked="0"/>
    </xf>
    <xf numFmtId="1" fontId="13" fillId="4" borderId="195" xfId="6" applyNumberFormat="1" applyFont="1" applyFill="1" applyBorder="1" applyAlignment="1" applyProtection="1">
      <alignment horizontal="left" vertical="center"/>
      <protection locked="0"/>
    </xf>
    <xf numFmtId="1" fontId="25" fillId="63" borderId="196" xfId="6" applyNumberFormat="1" applyFont="1" applyFill="1" applyBorder="1" applyAlignment="1" applyProtection="1">
      <alignment horizontal="center" vertical="center"/>
      <protection locked="0"/>
    </xf>
    <xf numFmtId="213" fontId="34" fillId="4" borderId="197" xfId="6" applyNumberFormat="1" applyFont="1" applyFill="1" applyBorder="1" applyAlignment="1" applyProtection="1">
      <alignment horizontal="right" vertical="center"/>
      <protection locked="0"/>
    </xf>
    <xf numFmtId="214" fontId="34" fillId="4" borderId="197" xfId="0" applyNumberFormat="1" applyFont="1" applyFill="1" applyBorder="1" applyAlignment="1">
      <alignment horizontal="center" vertical="center"/>
    </xf>
    <xf numFmtId="1" fontId="13" fillId="4" borderId="105" xfId="6" applyNumberFormat="1" applyFont="1" applyFill="1" applyBorder="1" applyAlignment="1" applyProtection="1">
      <alignment horizontal="left" vertical="center"/>
      <protection locked="0"/>
    </xf>
    <xf numFmtId="213" fontId="34" fillId="4" borderId="196" xfId="6" applyNumberFormat="1" applyFont="1" applyFill="1" applyBorder="1" applyAlignment="1" applyProtection="1">
      <alignment horizontal="right" vertical="center"/>
      <protection locked="0"/>
    </xf>
    <xf numFmtId="1" fontId="13" fillId="4" borderId="198" xfId="6" applyNumberFormat="1" applyFont="1" applyFill="1" applyBorder="1" applyAlignment="1" applyProtection="1">
      <alignment horizontal="left" vertical="center"/>
      <protection locked="0"/>
    </xf>
    <xf numFmtId="169" fontId="296" fillId="64" borderId="33" xfId="6" applyNumberFormat="1" applyFont="1" applyFill="1" applyBorder="1" applyAlignment="1" applyProtection="1">
      <alignment horizontal="center" vertical="center"/>
      <protection locked="0"/>
    </xf>
    <xf numFmtId="169" fontId="25" fillId="63" borderId="136" xfId="6" applyNumberFormat="1" applyFont="1" applyFill="1" applyBorder="1" applyAlignment="1" applyProtection="1">
      <alignment horizontal="center" vertical="center"/>
      <protection locked="0"/>
    </xf>
    <xf numFmtId="215" fontId="34" fillId="4" borderId="66" xfId="0" applyNumberFormat="1" applyFont="1" applyFill="1" applyBorder="1" applyAlignment="1">
      <alignment horizontal="center" vertical="center"/>
    </xf>
    <xf numFmtId="1" fontId="13" fillId="4" borderId="65" xfId="6" applyNumberFormat="1" applyFont="1" applyFill="1" applyBorder="1" applyAlignment="1" applyProtection="1">
      <alignment horizontal="left" vertical="center"/>
      <protection locked="0"/>
    </xf>
    <xf numFmtId="0" fontId="36" fillId="63" borderId="109" xfId="6" applyFont="1" applyFill="1" applyBorder="1" applyAlignment="1" applyProtection="1">
      <alignment horizontal="left" vertical="center"/>
      <protection locked="0"/>
    </xf>
    <xf numFmtId="213" fontId="34" fillId="7" borderId="0" xfId="6" applyNumberFormat="1" applyFont="1" applyFill="1" applyAlignment="1" applyProtection="1">
      <alignment horizontal="right" vertical="center"/>
      <protection locked="0"/>
    </xf>
    <xf numFmtId="214" fontId="34" fillId="7" borderId="0" xfId="0" applyNumberFormat="1" applyFont="1" applyFill="1" applyAlignment="1">
      <alignment horizontal="center" vertical="center"/>
    </xf>
    <xf numFmtId="1" fontId="13" fillId="7" borderId="0" xfId="6" applyNumberFormat="1" applyFont="1" applyFill="1" applyAlignment="1" applyProtection="1">
      <alignment horizontal="left" vertical="center"/>
      <protection locked="0"/>
    </xf>
    <xf numFmtId="0" fontId="13" fillId="2" borderId="0" xfId="6" applyFont="1" applyFill="1"/>
    <xf numFmtId="0" fontId="45" fillId="2" borderId="0" xfId="6" applyFont="1" applyFill="1"/>
    <xf numFmtId="0" fontId="231" fillId="36" borderId="37" xfId="6" applyFont="1" applyFill="1" applyBorder="1" applyAlignment="1">
      <alignment vertical="center"/>
    </xf>
    <xf numFmtId="0" fontId="231" fillId="36" borderId="36" xfId="6" applyFont="1" applyFill="1" applyBorder="1" applyAlignment="1">
      <alignment vertical="center"/>
    </xf>
    <xf numFmtId="0" fontId="231" fillId="36" borderId="35" xfId="6" applyFont="1" applyFill="1" applyBorder="1" applyAlignment="1">
      <alignment horizontal="right" vertical="center"/>
    </xf>
    <xf numFmtId="0" fontId="260" fillId="30" borderId="37" xfId="6" applyFont="1" applyFill="1" applyBorder="1" applyAlignment="1">
      <alignment vertical="center"/>
    </xf>
    <xf numFmtId="0" fontId="260" fillId="30" borderId="36" xfId="6" applyFont="1" applyFill="1" applyBorder="1" applyAlignment="1">
      <alignment vertical="center"/>
    </xf>
    <xf numFmtId="0" fontId="260" fillId="30" borderId="35" xfId="6" applyFont="1" applyFill="1" applyBorder="1" applyAlignment="1">
      <alignment horizontal="right" vertical="center"/>
    </xf>
    <xf numFmtId="0" fontId="277" fillId="2" borderId="0" xfId="6" applyFont="1" applyFill="1" applyAlignment="1">
      <alignment horizontal="right" vertical="center"/>
    </xf>
    <xf numFmtId="0" fontId="36" fillId="65" borderId="0" xfId="6" applyFont="1" applyFill="1" applyAlignment="1" applyProtection="1">
      <alignment horizontal="center" vertical="center"/>
      <protection locked="0"/>
    </xf>
    <xf numFmtId="0" fontId="36" fillId="65" borderId="12" xfId="6" applyFont="1" applyFill="1" applyBorder="1" applyAlignment="1" applyProtection="1">
      <alignment horizontal="left" vertical="center"/>
      <protection locked="0"/>
    </xf>
    <xf numFmtId="0" fontId="45" fillId="36" borderId="13" xfId="6" applyFont="1" applyFill="1" applyBorder="1" applyAlignment="1">
      <alignment vertical="center"/>
    </xf>
    <xf numFmtId="0" fontId="45" fillId="36" borderId="0" xfId="6" applyFont="1" applyFill="1" applyAlignment="1">
      <alignment vertical="center"/>
    </xf>
    <xf numFmtId="0" fontId="45" fillId="36" borderId="12" xfId="6" applyFont="1" applyFill="1" applyBorder="1" applyAlignment="1">
      <alignment vertical="center"/>
    </xf>
    <xf numFmtId="0" fontId="36" fillId="65" borderId="10" xfId="6" applyFont="1" applyFill="1" applyBorder="1" applyAlignment="1" applyProtection="1">
      <alignment horizontal="center" vertical="center"/>
      <protection locked="0"/>
    </xf>
    <xf numFmtId="0" fontId="36" fillId="65" borderId="9" xfId="6" applyFont="1" applyFill="1" applyBorder="1" applyAlignment="1" applyProtection="1">
      <alignment horizontal="left" vertical="center"/>
      <protection locked="0"/>
    </xf>
    <xf numFmtId="0" fontId="137" fillId="2" borderId="145" xfId="1" applyFont="1" applyFill="1" applyBorder="1" applyAlignment="1">
      <alignment horizontal="center" vertical="center"/>
    </xf>
    <xf numFmtId="0" fontId="137" fillId="2" borderId="95" xfId="1" applyFont="1" applyFill="1" applyBorder="1" applyAlignment="1">
      <alignment horizontal="center" vertical="center"/>
    </xf>
    <xf numFmtId="0" fontId="319" fillId="61" borderId="12" xfId="6" applyFont="1" applyFill="1" applyBorder="1" applyAlignment="1">
      <alignment horizontal="right" vertical="center"/>
    </xf>
    <xf numFmtId="0" fontId="233" fillId="61" borderId="27" xfId="6" applyFont="1" applyFill="1" applyBorder="1" applyAlignment="1">
      <alignment horizontal="left" vertical="center"/>
    </xf>
    <xf numFmtId="0" fontId="233" fillId="61" borderId="27" xfId="6" applyFont="1" applyFill="1" applyBorder="1" applyAlignment="1">
      <alignment horizontal="centerContinuous" vertical="center"/>
    </xf>
    <xf numFmtId="0" fontId="233" fillId="61" borderId="26" xfId="6" applyFont="1" applyFill="1" applyBorder="1" applyAlignment="1">
      <alignment horizontal="right" vertical="center"/>
    </xf>
    <xf numFmtId="0" fontId="12" fillId="2" borderId="12" xfId="0" applyFont="1" applyFill="1" applyBorder="1"/>
    <xf numFmtId="0" fontId="322" fillId="64" borderId="145" xfId="6" applyFont="1" applyFill="1" applyBorder="1" applyAlignment="1" applyProtection="1">
      <alignment horizontal="center" vertical="center"/>
      <protection locked="0"/>
    </xf>
    <xf numFmtId="0" fontId="12" fillId="13" borderId="95" xfId="0" applyFont="1" applyFill="1" applyBorder="1"/>
    <xf numFmtId="2" fontId="116" fillId="2" borderId="0" xfId="6" applyNumberFormat="1" applyFont="1" applyFill="1" applyAlignment="1" applyProtection="1">
      <alignment horizontal="right" vertical="center"/>
      <protection locked="0"/>
    </xf>
    <xf numFmtId="0" fontId="116" fillId="2" borderId="0" xfId="6" applyFont="1" applyFill="1" applyAlignment="1" applyProtection="1">
      <alignment horizontal="left" vertical="center"/>
      <protection locked="0"/>
    </xf>
    <xf numFmtId="214" fontId="116" fillId="2" borderId="0" xfId="1" applyNumberFormat="1" applyFont="1" applyFill="1" applyAlignment="1">
      <alignment horizontal="center" vertical="center"/>
    </xf>
    <xf numFmtId="1" fontId="116" fillId="2" borderId="0" xfId="6" applyNumberFormat="1" applyFont="1" applyFill="1" applyAlignment="1" applyProtection="1">
      <alignment horizontal="left" vertical="center"/>
      <protection locked="0"/>
    </xf>
    <xf numFmtId="213" fontId="116" fillId="2" borderId="0" xfId="6" applyNumberFormat="1" applyFont="1" applyFill="1" applyAlignment="1" applyProtection="1">
      <alignment horizontal="right" vertical="center"/>
      <protection locked="0"/>
    </xf>
    <xf numFmtId="1" fontId="116" fillId="2" borderId="12" xfId="6" applyNumberFormat="1" applyFont="1" applyFill="1" applyBorder="1" applyAlignment="1" applyProtection="1">
      <alignment horizontal="left" vertical="center"/>
      <protection locked="0"/>
    </xf>
    <xf numFmtId="0" fontId="138" fillId="2" borderId="202" xfId="6" applyFont="1" applyFill="1" applyBorder="1" applyAlignment="1" applyProtection="1">
      <alignment horizontal="right" vertical="center"/>
      <protection locked="0"/>
    </xf>
    <xf numFmtId="213" fontId="138" fillId="2" borderId="166" xfId="6" applyNumberFormat="1" applyFont="1" applyFill="1" applyBorder="1" applyAlignment="1" applyProtection="1">
      <alignment horizontal="center" vertical="center"/>
      <protection locked="0"/>
    </xf>
    <xf numFmtId="1" fontId="138" fillId="2" borderId="27" xfId="6" applyNumberFormat="1" applyFont="1" applyFill="1" applyBorder="1" applyAlignment="1" applyProtection="1">
      <alignment horizontal="left" vertical="center"/>
      <protection locked="0"/>
    </xf>
    <xf numFmtId="213" fontId="138" fillId="2" borderId="40" xfId="6" applyNumberFormat="1" applyFont="1" applyFill="1" applyBorder="1" applyAlignment="1" applyProtection="1">
      <alignment horizontal="right" vertical="center"/>
      <protection locked="0"/>
    </xf>
    <xf numFmtId="174" fontId="322" fillId="9" borderId="166" xfId="1" applyNumberFormat="1" applyFont="1" applyFill="1" applyBorder="1" applyAlignment="1">
      <alignment horizontal="center" vertical="center"/>
    </xf>
    <xf numFmtId="169" fontId="166" fillId="4" borderId="202" xfId="1" applyNumberFormat="1" applyFont="1" applyFill="1" applyBorder="1" applyAlignment="1">
      <alignment vertical="center"/>
    </xf>
    <xf numFmtId="169" fontId="166" fillId="2" borderId="201" xfId="1" applyNumberFormat="1" applyFont="1" applyFill="1" applyBorder="1" applyAlignment="1">
      <alignment vertical="center"/>
    </xf>
    <xf numFmtId="167" fontId="166" fillId="0" borderId="166" xfId="6" applyNumberFormat="1" applyFont="1" applyBorder="1" applyAlignment="1" applyProtection="1">
      <alignment horizontal="center" vertical="center"/>
      <protection locked="0"/>
    </xf>
    <xf numFmtId="169" fontId="138" fillId="0" borderId="202" xfId="1" applyNumberFormat="1" applyFont="1" applyBorder="1" applyAlignment="1">
      <alignment vertical="center"/>
    </xf>
    <xf numFmtId="169" fontId="166" fillId="0" borderId="202" xfId="1" applyNumberFormat="1" applyFont="1" applyBorder="1" applyAlignment="1">
      <alignment horizontal="center" vertical="center"/>
    </xf>
    <xf numFmtId="0" fontId="233" fillId="61" borderId="0" xfId="6" applyFont="1" applyFill="1" applyAlignment="1">
      <alignment horizontal="left" vertical="center"/>
    </xf>
    <xf numFmtId="0" fontId="233" fillId="61" borderId="0" xfId="6" applyFont="1" applyFill="1" applyAlignment="1">
      <alignment horizontal="centerContinuous" vertical="center"/>
    </xf>
    <xf numFmtId="0" fontId="326" fillId="55" borderId="0" xfId="6" applyFont="1" applyFill="1" applyAlignment="1">
      <alignment horizontal="left" vertical="center"/>
    </xf>
    <xf numFmtId="0" fontId="280" fillId="2" borderId="13" xfId="2" applyFont="1" applyFill="1" applyBorder="1" applyAlignment="1" applyProtection="1">
      <alignment horizontal="center"/>
      <protection hidden="1"/>
    </xf>
    <xf numFmtId="0" fontId="193" fillId="2" borderId="0" xfId="2" applyFont="1" applyFill="1" applyProtection="1">
      <protection hidden="1"/>
    </xf>
    <xf numFmtId="214" fontId="116" fillId="2" borderId="0" xfId="1" applyNumberFormat="1" applyFont="1" applyFill="1" applyAlignment="1">
      <alignment horizontal="right" vertical="center"/>
    </xf>
    <xf numFmtId="213" fontId="116" fillId="2" borderId="0" xfId="6" applyNumberFormat="1" applyFont="1" applyFill="1" applyAlignment="1" applyProtection="1">
      <alignment horizontal="center" vertical="center"/>
      <protection locked="0"/>
    </xf>
    <xf numFmtId="0" fontId="233" fillId="55" borderId="12" xfId="6" applyFont="1" applyFill="1" applyBorder="1" applyAlignment="1">
      <alignment horizontal="right" vertical="center"/>
    </xf>
    <xf numFmtId="0" fontId="329" fillId="55" borderId="0" xfId="6" applyFont="1" applyFill="1" applyAlignment="1">
      <alignment horizontal="centerContinuous" vertical="center"/>
    </xf>
    <xf numFmtId="0" fontId="101" fillId="2" borderId="54" xfId="6" applyFont="1" applyFill="1" applyBorder="1" applyAlignment="1" applyProtection="1">
      <alignment horizontal="center" vertical="center" wrapText="1"/>
      <protection locked="0"/>
    </xf>
    <xf numFmtId="167" fontId="138" fillId="2" borderId="127" xfId="6" applyNumberFormat="1" applyFont="1" applyFill="1" applyBorder="1" applyAlignment="1" applyProtection="1">
      <alignment horizontal="center" vertical="center"/>
      <protection locked="0"/>
    </xf>
    <xf numFmtId="1" fontId="138" fillId="2" borderId="26" xfId="6" applyNumberFormat="1" applyFont="1" applyFill="1" applyBorder="1" applyAlignment="1" applyProtection="1">
      <alignment horizontal="left" vertical="center"/>
      <protection locked="0"/>
    </xf>
    <xf numFmtId="0" fontId="319" fillId="55" borderId="12" xfId="6" applyFont="1" applyFill="1" applyBorder="1" applyAlignment="1">
      <alignment horizontal="right" vertical="center"/>
    </xf>
    <xf numFmtId="1" fontId="178" fillId="13" borderId="127" xfId="1" applyNumberFormat="1" applyFont="1" applyFill="1" applyBorder="1" applyAlignment="1">
      <alignment horizontal="center" vertical="center"/>
    </xf>
    <xf numFmtId="169" fontId="166" fillId="2" borderId="26" xfId="1" applyNumberFormat="1" applyFont="1" applyFill="1" applyBorder="1" applyAlignment="1">
      <alignment vertical="center"/>
    </xf>
    <xf numFmtId="0" fontId="193" fillId="0" borderId="0" xfId="6" applyFont="1" applyAlignment="1" applyProtection="1">
      <alignment horizontal="center" vertical="center" wrapText="1"/>
      <protection locked="0"/>
    </xf>
    <xf numFmtId="0" fontId="330" fillId="0" borderId="0" xfId="6" applyFont="1" applyAlignment="1" applyProtection="1">
      <alignment horizontal="center" vertical="center" wrapText="1"/>
      <protection locked="0"/>
    </xf>
    <xf numFmtId="0" fontId="183" fillId="64" borderId="145" xfId="6" applyFont="1" applyFill="1" applyBorder="1" applyAlignment="1" applyProtection="1">
      <alignment horizontal="center" vertical="center"/>
      <protection locked="0"/>
    </xf>
    <xf numFmtId="1" fontId="323" fillId="64" borderId="145" xfId="6" applyNumberFormat="1" applyFont="1" applyFill="1" applyBorder="1" applyAlignment="1" applyProtection="1">
      <alignment horizontal="center" vertical="center"/>
      <protection locked="0"/>
    </xf>
    <xf numFmtId="0" fontId="233" fillId="33" borderId="13" xfId="6" applyFont="1" applyFill="1" applyBorder="1" applyAlignment="1">
      <alignment horizontal="left" vertical="center"/>
    </xf>
    <xf numFmtId="0" fontId="138" fillId="33" borderId="13" xfId="6" applyFont="1" applyFill="1" applyBorder="1" applyAlignment="1">
      <alignment horizontal="left" vertical="center"/>
    </xf>
    <xf numFmtId="0" fontId="331" fillId="67" borderId="13" xfId="6" applyFont="1" applyFill="1" applyBorder="1" applyAlignment="1" applyProtection="1">
      <alignment vertical="center"/>
      <protection locked="0"/>
    </xf>
    <xf numFmtId="0" fontId="137" fillId="2" borderId="0" xfId="1" applyFont="1" applyFill="1" applyAlignment="1">
      <alignment horizontal="center" vertical="center"/>
    </xf>
    <xf numFmtId="0" fontId="325" fillId="61" borderId="97" xfId="6" applyFont="1" applyFill="1" applyBorder="1" applyAlignment="1">
      <alignment vertical="center"/>
    </xf>
    <xf numFmtId="0" fontId="233" fillId="61" borderId="97" xfId="6" applyFont="1" applyFill="1" applyBorder="1" applyAlignment="1">
      <alignment vertical="center"/>
    </xf>
    <xf numFmtId="0" fontId="233" fillId="61" borderId="149" xfId="6" applyFont="1" applyFill="1" applyBorder="1" applyAlignment="1">
      <alignment vertical="center"/>
    </xf>
    <xf numFmtId="0" fontId="137" fillId="2" borderId="12" xfId="1" applyFont="1" applyFill="1" applyBorder="1" applyAlignment="1">
      <alignment horizontal="center" vertical="center"/>
    </xf>
    <xf numFmtId="167" fontId="278" fillId="33" borderId="0" xfId="6" applyNumberFormat="1" applyFont="1" applyFill="1" applyAlignment="1" applyProtection="1">
      <alignment horizontal="right" vertical="center"/>
      <protection locked="0"/>
    </xf>
    <xf numFmtId="0" fontId="171" fillId="33" borderId="0" xfId="6" applyFont="1" applyFill="1"/>
    <xf numFmtId="168" fontId="189" fillId="33" borderId="0" xfId="7" applyNumberFormat="1" applyFont="1" applyFill="1" applyAlignment="1" applyProtection="1">
      <alignment horizontal="center" vertical="center"/>
      <protection locked="0"/>
    </xf>
    <xf numFmtId="0" fontId="326" fillId="33" borderId="12" xfId="6" applyFont="1" applyFill="1" applyBorder="1" applyAlignment="1">
      <alignment horizontal="center" vertical="center"/>
    </xf>
    <xf numFmtId="0" fontId="329" fillId="33" borderId="0" xfId="6" applyFont="1" applyFill="1" applyAlignment="1">
      <alignment horizontal="center" vertical="center"/>
    </xf>
    <xf numFmtId="0" fontId="326" fillId="33" borderId="0" xfId="6" applyFont="1" applyFill="1" applyAlignment="1">
      <alignment horizontal="center" vertical="center"/>
    </xf>
    <xf numFmtId="0" fontId="178" fillId="9" borderId="0" xfId="4" applyFont="1" applyFill="1" applyAlignment="1">
      <alignment horizontal="center" vertical="center"/>
    </xf>
    <xf numFmtId="169" fontId="322" fillId="64" borderId="0" xfId="6" applyNumberFormat="1" applyFont="1" applyFill="1" applyAlignment="1" applyProtection="1">
      <alignment vertical="center"/>
      <protection locked="0"/>
    </xf>
    <xf numFmtId="0" fontId="322" fillId="64" borderId="0" xfId="6" applyFont="1" applyFill="1" applyAlignment="1" applyProtection="1">
      <alignment vertical="center"/>
      <protection locked="0"/>
    </xf>
    <xf numFmtId="165" fontId="178" fillId="66" borderId="0" xfId="6" applyNumberFormat="1" applyFont="1" applyFill="1" applyAlignment="1" applyProtection="1">
      <alignment vertical="center"/>
      <protection locked="0"/>
    </xf>
    <xf numFmtId="167" fontId="138" fillId="67" borderId="0" xfId="6" applyNumberFormat="1" applyFont="1" applyFill="1" applyAlignment="1" applyProtection="1">
      <alignment vertical="center"/>
      <protection locked="0"/>
    </xf>
    <xf numFmtId="0" fontId="138" fillId="33" borderId="0" xfId="6" applyFont="1" applyFill="1" applyAlignment="1" applyProtection="1">
      <alignment vertical="center"/>
      <protection locked="0"/>
    </xf>
    <xf numFmtId="213" fontId="138" fillId="33" borderId="0" xfId="6" applyNumberFormat="1" applyFont="1" applyFill="1" applyAlignment="1" applyProtection="1">
      <alignment vertical="center"/>
      <protection locked="0"/>
    </xf>
    <xf numFmtId="216" fontId="138" fillId="33" borderId="0" xfId="1" applyNumberFormat="1" applyFont="1" applyFill="1" applyAlignment="1">
      <alignment vertical="center"/>
    </xf>
    <xf numFmtId="1" fontId="166" fillId="33" borderId="0" xfId="6" applyNumberFormat="1" applyFont="1" applyFill="1" applyAlignment="1" applyProtection="1">
      <alignment vertical="center"/>
      <protection locked="0"/>
    </xf>
    <xf numFmtId="1" fontId="166" fillId="33" borderId="12" xfId="6" applyNumberFormat="1" applyFont="1" applyFill="1" applyBorder="1" applyAlignment="1" applyProtection="1">
      <alignment vertical="center"/>
      <protection locked="0"/>
    </xf>
    <xf numFmtId="168" fontId="189" fillId="33" borderId="0" xfId="7" applyNumberFormat="1" applyFont="1" applyFill="1" applyAlignment="1" applyProtection="1">
      <alignment horizontal="center"/>
      <protection locked="0"/>
    </xf>
    <xf numFmtId="0" fontId="178" fillId="67" borderId="0" xfId="6" applyFont="1" applyFill="1" applyAlignment="1" applyProtection="1">
      <alignment vertical="center"/>
      <protection locked="0"/>
    </xf>
    <xf numFmtId="213" fontId="138" fillId="2" borderId="0" xfId="6" applyNumberFormat="1" applyFont="1" applyFill="1" applyAlignment="1" applyProtection="1">
      <alignment horizontal="center" vertical="center"/>
      <protection locked="0"/>
    </xf>
    <xf numFmtId="214" fontId="138" fillId="2" borderId="0" xfId="1" applyNumberFormat="1" applyFont="1" applyFill="1" applyAlignment="1">
      <alignment horizontal="center" vertical="center"/>
    </xf>
    <xf numFmtId="1" fontId="166" fillId="2" borderId="0" xfId="6" applyNumberFormat="1" applyFont="1" applyFill="1" applyAlignment="1" applyProtection="1">
      <alignment horizontal="center" vertical="center"/>
      <protection locked="0"/>
    </xf>
    <xf numFmtId="0" fontId="193" fillId="0" borderId="0" xfId="2" applyFont="1" applyProtection="1">
      <protection hidden="1"/>
    </xf>
    <xf numFmtId="0" fontId="126" fillId="2" borderId="0" xfId="1" applyFont="1" applyFill="1" applyAlignment="1">
      <alignment vertical="center"/>
    </xf>
    <xf numFmtId="0" fontId="11" fillId="2" borderId="209" xfId="1" applyFont="1" applyFill="1" applyBorder="1" applyAlignment="1">
      <alignment vertical="center"/>
    </xf>
    <xf numFmtId="0" fontId="12" fillId="2" borderId="129" xfId="1" applyFill="1" applyBorder="1"/>
    <xf numFmtId="0" fontId="12" fillId="2" borderId="206" xfId="1" applyFill="1" applyBorder="1"/>
    <xf numFmtId="0" fontId="71" fillId="2" borderId="42" xfId="1" applyFont="1" applyFill="1" applyBorder="1" applyAlignment="1">
      <alignment vertical="center"/>
    </xf>
    <xf numFmtId="0" fontId="12" fillId="2" borderId="207" xfId="1" applyFill="1" applyBorder="1"/>
    <xf numFmtId="0" fontId="121" fillId="2" borderId="42" xfId="1" applyFont="1" applyFill="1" applyBorder="1" applyAlignment="1">
      <alignment vertical="center"/>
    </xf>
    <xf numFmtId="0" fontId="121" fillId="2" borderId="40" xfId="1" applyFont="1" applyFill="1" applyBorder="1" applyAlignment="1">
      <alignment vertical="center"/>
    </xf>
    <xf numFmtId="0" fontId="193" fillId="33" borderId="0" xfId="2" applyFont="1" applyFill="1" applyProtection="1">
      <protection hidden="1"/>
    </xf>
    <xf numFmtId="0" fontId="12" fillId="33" borderId="157" xfId="1" applyFill="1" applyBorder="1" applyAlignment="1">
      <alignment vertical="center"/>
    </xf>
    <xf numFmtId="0" fontId="12" fillId="33" borderId="158" xfId="1" applyFill="1" applyBorder="1" applyAlignment="1">
      <alignment vertical="center"/>
    </xf>
    <xf numFmtId="0" fontId="193" fillId="33" borderId="158" xfId="2" applyFont="1" applyFill="1" applyBorder="1" applyProtection="1">
      <protection hidden="1"/>
    </xf>
    <xf numFmtId="0" fontId="12" fillId="33" borderId="158" xfId="1" applyFill="1" applyBorder="1"/>
    <xf numFmtId="0" fontId="12" fillId="33" borderId="159" xfId="1" applyFill="1" applyBorder="1" applyAlignment="1">
      <alignment vertical="center"/>
    </xf>
    <xf numFmtId="0" fontId="12" fillId="0" borderId="27" xfId="1" applyBorder="1"/>
    <xf numFmtId="0" fontId="12" fillId="0" borderId="39" xfId="1" applyBorder="1"/>
    <xf numFmtId="0" fontId="114" fillId="2" borderId="42" xfId="1" applyFont="1" applyFill="1" applyBorder="1" applyAlignment="1">
      <alignment vertical="center"/>
    </xf>
    <xf numFmtId="0" fontId="114" fillId="2" borderId="40" xfId="1" applyFont="1" applyFill="1" applyBorder="1" applyAlignment="1">
      <alignment vertical="center"/>
    </xf>
    <xf numFmtId="0" fontId="342" fillId="52" borderId="28" xfId="1" applyFont="1" applyFill="1" applyBorder="1" applyAlignment="1">
      <alignment horizontal="center" vertical="center"/>
    </xf>
    <xf numFmtId="0" fontId="342" fillId="52" borderId="27" xfId="1" applyFont="1" applyFill="1" applyBorder="1" applyAlignment="1">
      <alignment horizontal="center" vertical="center"/>
    </xf>
    <xf numFmtId="0" fontId="342" fillId="70" borderId="219" xfId="1" applyFont="1" applyFill="1" applyBorder="1" applyAlignment="1">
      <alignment horizontal="center" vertical="center"/>
    </xf>
    <xf numFmtId="0" fontId="342" fillId="52" borderId="26" xfId="1" applyFont="1" applyFill="1" applyBorder="1" applyAlignment="1">
      <alignment horizontal="center" vertical="center"/>
    </xf>
    <xf numFmtId="0" fontId="101" fillId="39" borderId="13" xfId="2" applyFont="1" applyFill="1" applyBorder="1" applyAlignment="1">
      <alignment vertical="center"/>
    </xf>
    <xf numFmtId="0" fontId="101" fillId="39" borderId="0" xfId="2" applyFont="1" applyFill="1" applyAlignment="1">
      <alignment vertical="center"/>
    </xf>
    <xf numFmtId="0" fontId="101" fillId="39" borderId="12" xfId="2" applyFont="1" applyFill="1" applyBorder="1" applyAlignment="1">
      <alignment horizontal="right" vertical="center"/>
    </xf>
    <xf numFmtId="165" fontId="194" fillId="39" borderId="13" xfId="5" applyNumberFormat="1" applyFont="1" applyFill="1" applyBorder="1" applyAlignment="1">
      <alignment vertical="center"/>
    </xf>
    <xf numFmtId="165" fontId="194" fillId="5" borderId="0" xfId="5" applyNumberFormat="1" applyFont="1" applyFill="1" applyAlignment="1">
      <alignment vertical="center"/>
    </xf>
    <xf numFmtId="165" fontId="194" fillId="5" borderId="12" xfId="5" applyNumberFormat="1" applyFont="1" applyFill="1" applyBorder="1" applyAlignment="1">
      <alignment vertical="center"/>
    </xf>
    <xf numFmtId="165" fontId="194" fillId="39" borderId="13" xfId="5" applyNumberFormat="1" applyFont="1" applyFill="1" applyBorder="1" applyAlignment="1">
      <alignment horizontal="left" vertical="center"/>
    </xf>
    <xf numFmtId="0" fontId="116" fillId="4" borderId="11" xfId="4" applyFont="1" applyFill="1" applyBorder="1" applyAlignment="1">
      <alignment vertical="center"/>
    </xf>
    <xf numFmtId="0" fontId="116" fillId="4" borderId="10" xfId="4" applyFont="1" applyFill="1" applyBorder="1" applyAlignment="1">
      <alignment vertical="center"/>
    </xf>
    <xf numFmtId="0" fontId="116" fillId="4" borderId="9" xfId="4" applyFont="1" applyFill="1" applyBorder="1" applyAlignment="1">
      <alignment vertical="center"/>
    </xf>
    <xf numFmtId="0" fontId="121" fillId="2" borderId="0" xfId="1" applyFont="1" applyFill="1" applyAlignment="1">
      <alignment vertical="center"/>
    </xf>
    <xf numFmtId="0" fontId="11" fillId="2" borderId="42" xfId="1" applyFont="1" applyFill="1" applyBorder="1" applyAlignment="1">
      <alignment vertical="center"/>
    </xf>
    <xf numFmtId="0" fontId="318" fillId="42" borderId="0" xfId="2" applyFont="1" applyFill="1" applyAlignment="1">
      <alignment horizontal="center" vertical="center"/>
    </xf>
    <xf numFmtId="0" fontId="170" fillId="2" borderId="207" xfId="2" applyFont="1" applyFill="1" applyBorder="1" applyAlignment="1">
      <alignment horizontal="center" vertical="center"/>
    </xf>
    <xf numFmtId="0" fontId="170" fillId="2" borderId="155" xfId="2" applyFont="1" applyFill="1" applyBorder="1" applyAlignment="1">
      <alignment horizontal="center" vertical="center"/>
    </xf>
    <xf numFmtId="0" fontId="10" fillId="30" borderId="0" xfId="0" applyFont="1" applyFill="1" applyAlignment="1">
      <alignment horizontal="center" vertical="center"/>
    </xf>
    <xf numFmtId="0" fontId="10" fillId="71" borderId="0" xfId="0" applyFont="1" applyFill="1" applyAlignment="1">
      <alignment horizontal="center" vertical="center"/>
    </xf>
    <xf numFmtId="0" fontId="170" fillId="33" borderId="0" xfId="2" applyFont="1" applyFill="1" applyAlignment="1">
      <alignment horizontal="center" vertical="center"/>
    </xf>
    <xf numFmtId="0" fontId="209" fillId="2" borderId="0" xfId="1" applyFont="1" applyFill="1" applyAlignment="1">
      <alignment vertical="center"/>
    </xf>
    <xf numFmtId="0" fontId="334" fillId="2" borderId="0" xfId="1" applyFont="1" applyFill="1" applyAlignment="1">
      <alignment vertical="center"/>
    </xf>
    <xf numFmtId="0" fontId="90" fillId="3" borderId="0" xfId="2" applyFont="1" applyFill="1"/>
    <xf numFmtId="0" fontId="242" fillId="24" borderId="64" xfId="2" applyFont="1" applyFill="1" applyBorder="1" applyAlignment="1">
      <alignment horizontal="center" vertical="center"/>
    </xf>
    <xf numFmtId="0" fontId="209" fillId="2" borderId="0" xfId="0" applyFont="1" applyFill="1" applyAlignment="1">
      <alignment vertical="center"/>
    </xf>
    <xf numFmtId="0" fontId="209" fillId="2" borderId="0" xfId="0" applyFont="1" applyFill="1" applyAlignment="1">
      <alignment horizontal="left" vertical="center"/>
    </xf>
    <xf numFmtId="0" fontId="209" fillId="5" borderId="0" xfId="1" applyFont="1" applyFill="1" applyAlignment="1">
      <alignment horizontal="center" vertical="center"/>
    </xf>
    <xf numFmtId="0" fontId="346" fillId="17" borderId="0" xfId="0" applyFont="1" applyFill="1" applyAlignment="1">
      <alignment vertical="center"/>
    </xf>
    <xf numFmtId="0" fontId="14" fillId="0" borderId="0" xfId="2" applyFont="1" applyAlignment="1" applyProtection="1">
      <alignment vertical="center"/>
      <protection hidden="1"/>
    </xf>
    <xf numFmtId="0" fontId="12" fillId="5" borderId="67" xfId="1" applyFill="1" applyBorder="1" applyAlignment="1">
      <alignment horizontal="center" vertical="center"/>
    </xf>
    <xf numFmtId="0" fontId="127" fillId="2" borderId="65" xfId="2" applyFont="1" applyFill="1" applyBorder="1" applyAlignment="1">
      <alignment horizontal="left" vertical="center"/>
    </xf>
    <xf numFmtId="0" fontId="101" fillId="2" borderId="0" xfId="0" applyFont="1" applyFill="1" applyAlignment="1">
      <alignment vertical="center"/>
    </xf>
    <xf numFmtId="0" fontId="101" fillId="2" borderId="0" xfId="0" applyFont="1" applyFill="1" applyAlignment="1">
      <alignment horizontal="right" vertical="center"/>
    </xf>
    <xf numFmtId="0" fontId="34" fillId="47" borderId="61" xfId="4" applyFont="1" applyFill="1" applyBorder="1" applyAlignment="1" applyProtection="1">
      <alignment horizontal="centerContinuous" vertical="center"/>
      <protection locked="0"/>
    </xf>
    <xf numFmtId="0" fontId="69" fillId="2" borderId="0" xfId="2" applyFont="1" applyFill="1" applyAlignment="1">
      <alignment vertical="center"/>
    </xf>
    <xf numFmtId="0" fontId="203" fillId="2" borderId="0" xfId="2" applyFont="1" applyFill="1" applyAlignment="1">
      <alignment vertical="center"/>
    </xf>
    <xf numFmtId="0" fontId="90" fillId="2" borderId="0" xfId="5" applyFont="1" applyFill="1" applyAlignment="1">
      <alignment horizontal="center" vertical="center"/>
    </xf>
    <xf numFmtId="0" fontId="95" fillId="2" borderId="0" xfId="2" applyFont="1" applyFill="1" applyAlignment="1">
      <alignment vertical="center"/>
    </xf>
    <xf numFmtId="0" fontId="316" fillId="2" borderId="0" xfId="6" applyFont="1" applyFill="1" applyAlignment="1">
      <alignment vertical="center"/>
    </xf>
    <xf numFmtId="0" fontId="49" fillId="2" borderId="0" xfId="2" applyFont="1" applyFill="1"/>
    <xf numFmtId="0" fontId="11" fillId="2" borderId="0" xfId="0" applyFont="1" applyFill="1"/>
    <xf numFmtId="0" fontId="254" fillId="2" borderId="0" xfId="1" applyFont="1" applyFill="1" applyAlignment="1">
      <alignment vertical="center"/>
    </xf>
    <xf numFmtId="0" fontId="68" fillId="24" borderId="209" xfId="2" applyFont="1" applyFill="1" applyBorder="1" applyAlignment="1">
      <alignment horizontal="center" vertical="center"/>
    </xf>
    <xf numFmtId="0" fontId="127" fillId="2" borderId="66" xfId="2" applyFont="1" applyFill="1" applyBorder="1" applyAlignment="1">
      <alignment horizontal="left" vertical="center"/>
    </xf>
    <xf numFmtId="0" fontId="0" fillId="2" borderId="95" xfId="0" applyFill="1" applyBorder="1"/>
    <xf numFmtId="0" fontId="121" fillId="2" borderId="0" xfId="1" applyFont="1" applyFill="1" applyAlignment="1" applyProtection="1">
      <alignment horizontal="right" vertical="center"/>
      <protection locked="0"/>
    </xf>
    <xf numFmtId="0" fontId="101" fillId="2" borderId="0" xfId="1" applyFont="1" applyFill="1" applyAlignment="1" applyProtection="1">
      <alignment horizontal="left" vertical="center"/>
      <protection locked="0"/>
    </xf>
    <xf numFmtId="0" fontId="72" fillId="49" borderId="13" xfId="2" applyFont="1" applyFill="1" applyBorder="1" applyAlignment="1">
      <alignment horizontal="left" vertical="center"/>
    </xf>
    <xf numFmtId="0" fontId="350" fillId="49" borderId="0" xfId="0" applyFont="1" applyFill="1"/>
    <xf numFmtId="0" fontId="302" fillId="49" borderId="0" xfId="0" applyFont="1" applyFill="1"/>
    <xf numFmtId="0" fontId="166" fillId="2" borderId="0" xfId="2" applyFont="1" applyFill="1" applyAlignment="1">
      <alignment horizontal="left"/>
    </xf>
    <xf numFmtId="0" fontId="165" fillId="2" borderId="0" xfId="0" applyFont="1" applyFill="1"/>
    <xf numFmtId="168" fontId="278" fillId="17" borderId="0" xfId="0" applyNumberFormat="1" applyFont="1" applyFill="1" applyAlignment="1">
      <alignment horizontal="center"/>
    </xf>
    <xf numFmtId="0" fontId="138" fillId="2" borderId="0" xfId="2" applyFont="1" applyFill="1" applyAlignment="1">
      <alignment horizontal="right"/>
    </xf>
    <xf numFmtId="9" fontId="178" fillId="2" borderId="0" xfId="0" applyNumberFormat="1" applyFont="1" applyFill="1" applyAlignment="1">
      <alignment horizontal="left"/>
    </xf>
    <xf numFmtId="168" fontId="101" fillId="2" borderId="0" xfId="0" applyNumberFormat="1" applyFont="1" applyFill="1" applyAlignment="1">
      <alignment horizontal="center"/>
    </xf>
    <xf numFmtId="0" fontId="0" fillId="2" borderId="0" xfId="0" applyFill="1" applyAlignment="1">
      <alignment horizontal="center"/>
    </xf>
    <xf numFmtId="0" fontId="97" fillId="2" borderId="0" xfId="0" applyFont="1" applyFill="1" applyAlignment="1">
      <alignment vertical="center"/>
    </xf>
    <xf numFmtId="0" fontId="0" fillId="2" borderId="10" xfId="0" applyFill="1" applyBorder="1" applyAlignment="1">
      <alignment horizontal="center"/>
    </xf>
    <xf numFmtId="174" fontId="101" fillId="2" borderId="0" xfId="0" applyNumberFormat="1" applyFont="1" applyFill="1" applyAlignment="1">
      <alignment horizontal="right" vertical="center"/>
    </xf>
    <xf numFmtId="0" fontId="90" fillId="2" borderId="0" xfId="2" applyFont="1" applyFill="1" applyAlignment="1">
      <alignment horizontal="right"/>
    </xf>
    <xf numFmtId="0" fontId="90" fillId="49" borderId="0" xfId="2" applyFont="1" applyFill="1" applyAlignment="1">
      <alignment horizontal="right"/>
    </xf>
    <xf numFmtId="186" fontId="183" fillId="17" borderId="0" xfId="0" applyNumberFormat="1" applyFont="1" applyFill="1" applyAlignment="1">
      <alignment horizontal="center"/>
    </xf>
    <xf numFmtId="0" fontId="189" fillId="2" borderId="10" xfId="0" applyFont="1" applyFill="1" applyBorder="1" applyAlignment="1">
      <alignment horizontal="center"/>
    </xf>
    <xf numFmtId="0" fontId="355" fillId="0" borderId="0" xfId="2" applyFont="1" applyAlignment="1" applyProtection="1">
      <alignment horizontal="center" vertical="center"/>
      <protection hidden="1"/>
    </xf>
    <xf numFmtId="0" fontId="356" fillId="13" borderId="0" xfId="17" applyFont="1" applyFill="1" applyAlignment="1">
      <alignment vertical="center"/>
    </xf>
    <xf numFmtId="0" fontId="358" fillId="2" borderId="0" xfId="2" applyFont="1" applyFill="1" applyAlignment="1">
      <alignment vertical="center"/>
    </xf>
    <xf numFmtId="0" fontId="210" fillId="2" borderId="0" xfId="2" applyFont="1" applyFill="1" applyAlignment="1">
      <alignment horizontal="left" vertical="center"/>
    </xf>
    <xf numFmtId="0" fontId="182" fillId="2" borderId="0" xfId="0" applyFont="1" applyFill="1"/>
    <xf numFmtId="0" fontId="359" fillId="2" borderId="0" xfId="2" applyFont="1" applyFill="1" applyAlignment="1">
      <alignment horizontal="center" vertical="center"/>
    </xf>
    <xf numFmtId="0" fontId="118" fillId="13" borderId="0" xfId="17" applyFont="1" applyFill="1" applyAlignment="1">
      <alignment vertical="center"/>
    </xf>
    <xf numFmtId="0" fontId="216" fillId="2" borderId="0" xfId="17" applyFont="1" applyFill="1" applyAlignment="1">
      <alignment vertical="center"/>
    </xf>
    <xf numFmtId="0" fontId="225" fillId="2" borderId="0" xfId="17" applyFill="1"/>
    <xf numFmtId="0" fontId="12" fillId="5" borderId="226" xfId="1" applyFill="1" applyBorder="1" applyAlignment="1">
      <alignment horizontal="center" vertical="center"/>
    </xf>
    <xf numFmtId="0" fontId="9" fillId="2" borderId="145" xfId="0" applyFont="1" applyFill="1" applyBorder="1"/>
    <xf numFmtId="0" fontId="0" fillId="2" borderId="145" xfId="0" applyFill="1" applyBorder="1" applyAlignment="1">
      <alignment horizontal="right" vertical="center"/>
    </xf>
    <xf numFmtId="0" fontId="10" fillId="24" borderId="95" xfId="0" applyFont="1" applyFill="1" applyBorder="1" applyAlignment="1">
      <alignment horizontal="center" vertical="center"/>
    </xf>
    <xf numFmtId="0" fontId="12" fillId="2" borderId="225" xfId="1" applyFill="1" applyBorder="1" applyAlignment="1">
      <alignment horizontal="left"/>
    </xf>
    <xf numFmtId="0" fontId="282" fillId="2" borderId="225" xfId="2" applyFont="1" applyFill="1" applyBorder="1" applyAlignment="1">
      <alignment horizontal="center" vertical="center"/>
    </xf>
    <xf numFmtId="0" fontId="9" fillId="2" borderId="0" xfId="0" applyFont="1" applyFill="1"/>
    <xf numFmtId="0" fontId="90" fillId="72" borderId="0" xfId="0" applyFont="1" applyFill="1"/>
    <xf numFmtId="168" fontId="78" fillId="2" borderId="0" xfId="0" applyNumberFormat="1" applyFont="1" applyFill="1" applyAlignment="1">
      <alignment horizontal="center" vertical="center"/>
    </xf>
    <xf numFmtId="174" fontId="90" fillId="72" borderId="0" xfId="0" applyNumberFormat="1" applyFont="1" applyFill="1" applyAlignment="1">
      <alignment horizontal="right" vertical="center"/>
    </xf>
    <xf numFmtId="174" fontId="90" fillId="2" borderId="0" xfId="0" applyNumberFormat="1" applyFont="1" applyFill="1" applyAlignment="1">
      <alignment horizontal="right" vertical="center"/>
    </xf>
    <xf numFmtId="0" fontId="9" fillId="0" borderId="0" xfId="0" applyFont="1"/>
    <xf numFmtId="0" fontId="121" fillId="2" borderId="0" xfId="0" applyFont="1" applyFill="1"/>
    <xf numFmtId="168" fontId="278" fillId="2" borderId="10" xfId="0" applyNumberFormat="1" applyFont="1" applyFill="1" applyBorder="1" applyAlignment="1">
      <alignment horizontal="center" vertical="center"/>
    </xf>
    <xf numFmtId="174" fontId="278" fillId="2" borderId="0" xfId="0" applyNumberFormat="1" applyFont="1" applyFill="1" applyAlignment="1">
      <alignment horizontal="right" vertical="center"/>
    </xf>
    <xf numFmtId="0" fontId="0" fillId="2" borderId="207" xfId="0" applyFill="1" applyBorder="1"/>
    <xf numFmtId="0" fontId="0" fillId="2" borderId="224" xfId="0" applyFill="1" applyBorder="1"/>
    <xf numFmtId="174" fontId="183" fillId="17" borderId="0" xfId="1" applyNumberFormat="1" applyFont="1" applyFill="1" applyAlignment="1" applyProtection="1">
      <alignment vertical="center"/>
      <protection locked="0"/>
    </xf>
    <xf numFmtId="168" fontId="9" fillId="2" borderId="0" xfId="0" applyNumberFormat="1" applyFont="1" applyFill="1" applyAlignment="1">
      <alignment horizontal="center" vertical="center"/>
    </xf>
    <xf numFmtId="174" fontId="9" fillId="2" borderId="0" xfId="0" applyNumberFormat="1" applyFont="1" applyFill="1" applyAlignment="1">
      <alignment horizontal="right" vertical="center"/>
    </xf>
    <xf numFmtId="174" fontId="183" fillId="2" borderId="42" xfId="0" applyNumberFormat="1" applyFont="1" applyFill="1" applyBorder="1" applyAlignment="1">
      <alignment vertical="center"/>
    </xf>
    <xf numFmtId="171" fontId="101" fillId="2" borderId="207" xfId="1" applyNumberFormat="1" applyFont="1" applyFill="1" applyBorder="1" applyAlignment="1" applyProtection="1">
      <alignment horizontal="center" vertical="center"/>
      <protection locked="0"/>
    </xf>
    <xf numFmtId="174" fontId="360" fillId="2" borderId="42" xfId="0" applyNumberFormat="1" applyFont="1" applyFill="1" applyBorder="1" applyAlignment="1">
      <alignment horizontal="right" vertical="center"/>
    </xf>
    <xf numFmtId="174" fontId="360" fillId="2" borderId="42" xfId="0" applyNumberFormat="1" applyFont="1" applyFill="1" applyBorder="1" applyAlignment="1">
      <alignment horizontal="center" vertical="center"/>
    </xf>
    <xf numFmtId="171" fontId="101" fillId="2" borderId="224" xfId="1" applyNumberFormat="1" applyFont="1" applyFill="1" applyBorder="1" applyAlignment="1" applyProtection="1">
      <alignment horizontal="center" vertical="center"/>
      <protection locked="0"/>
    </xf>
    <xf numFmtId="0" fontId="0" fillId="2" borderId="228" xfId="0" applyFill="1" applyBorder="1"/>
    <xf numFmtId="0" fontId="10" fillId="24" borderId="229" xfId="0" applyFont="1" applyFill="1" applyBorder="1" applyAlignment="1">
      <alignment horizontal="center" vertical="center"/>
    </xf>
    <xf numFmtId="0" fontId="282" fillId="2" borderId="42" xfId="2" applyFont="1" applyFill="1" applyBorder="1" applyAlignment="1">
      <alignment horizontal="center" vertical="center"/>
    </xf>
    <xf numFmtId="0" fontId="182" fillId="2" borderId="224" xfId="2" applyFont="1" applyFill="1" applyBorder="1" applyAlignment="1">
      <alignment horizontal="center" vertical="center"/>
    </xf>
    <xf numFmtId="0" fontId="189" fillId="2" borderId="0" xfId="1" applyFont="1" applyFill="1" applyAlignment="1" applyProtection="1">
      <alignment horizontal="left" vertical="center"/>
      <protection locked="0"/>
    </xf>
    <xf numFmtId="0" fontId="361" fillId="5" borderId="0" xfId="1" applyFont="1" applyFill="1" applyAlignment="1" applyProtection="1">
      <alignment horizontal="center" vertical="center"/>
      <protection locked="0"/>
    </xf>
    <xf numFmtId="0" fontId="352" fillId="2" borderId="0" xfId="1" applyFont="1" applyFill="1" applyAlignment="1" applyProtection="1">
      <alignment horizontal="right" vertical="center"/>
      <protection locked="0"/>
    </xf>
    <xf numFmtId="0" fontId="169" fillId="2" borderId="0" xfId="2" applyFont="1" applyFill="1" applyAlignment="1">
      <alignment horizontal="right" vertical="center"/>
    </xf>
    <xf numFmtId="0" fontId="362" fillId="2" borderId="0" xfId="1" applyFont="1" applyFill="1" applyAlignment="1" applyProtection="1">
      <alignment horizontal="right" vertical="center"/>
      <protection locked="0"/>
    </xf>
    <xf numFmtId="0" fontId="169" fillId="2" borderId="224" xfId="2" applyFont="1" applyFill="1" applyBorder="1" applyAlignment="1">
      <alignment horizontal="right" vertical="center"/>
    </xf>
    <xf numFmtId="174" fontId="189" fillId="2" borderId="0" xfId="1" applyNumberFormat="1" applyFont="1" applyFill="1" applyAlignment="1" applyProtection="1">
      <alignment horizontal="center" vertical="center"/>
      <protection locked="0"/>
    </xf>
    <xf numFmtId="0" fontId="11" fillId="2" borderId="10" xfId="0" applyFont="1" applyFill="1" applyBorder="1" applyAlignment="1">
      <alignment horizontal="center"/>
    </xf>
    <xf numFmtId="0" fontId="363" fillId="2" borderId="10" xfId="0" applyFont="1" applyFill="1" applyBorder="1" applyAlignment="1">
      <alignment horizontal="center"/>
    </xf>
    <xf numFmtId="0" fontId="137" fillId="2" borderId="0" xfId="0" quotePrefix="1" applyFont="1" applyFill="1" applyAlignment="1">
      <alignment horizontal="center"/>
    </xf>
    <xf numFmtId="174" fontId="352" fillId="2" borderId="0" xfId="1" applyNumberFormat="1" applyFont="1" applyFill="1" applyAlignment="1" applyProtection="1">
      <alignment horizontal="center" vertical="center"/>
      <protection locked="0"/>
    </xf>
    <xf numFmtId="174" fontId="101" fillId="2" borderId="10" xfId="1" applyNumberFormat="1" applyFont="1" applyFill="1" applyBorder="1" applyAlignment="1" applyProtection="1">
      <alignment horizontal="center" vertical="center"/>
      <protection locked="0"/>
    </xf>
    <xf numFmtId="0" fontId="362" fillId="2" borderId="10" xfId="0" applyFont="1" applyFill="1" applyBorder="1" applyAlignment="1">
      <alignment horizontal="center"/>
    </xf>
    <xf numFmtId="174" fontId="362" fillId="2" borderId="0" xfId="1" applyNumberFormat="1" applyFont="1" applyFill="1" applyAlignment="1" applyProtection="1">
      <alignment horizontal="center" vertical="center"/>
      <protection locked="0"/>
    </xf>
    <xf numFmtId="171" fontId="101" fillId="2" borderId="0" xfId="1" applyNumberFormat="1" applyFont="1" applyFill="1" applyAlignment="1" applyProtection="1">
      <alignment horizontal="center" vertical="center"/>
      <protection locked="0"/>
    </xf>
    <xf numFmtId="0" fontId="101" fillId="2" borderId="0" xfId="2" applyFont="1" applyFill="1" applyAlignment="1">
      <alignment horizontal="center" vertical="center"/>
    </xf>
    <xf numFmtId="0" fontId="101" fillId="2" borderId="224" xfId="2" applyFont="1" applyFill="1" applyBorder="1" applyAlignment="1">
      <alignment horizontal="center" vertical="center"/>
    </xf>
    <xf numFmtId="0" fontId="9" fillId="2" borderId="0" xfId="0" applyFont="1" applyFill="1" applyAlignment="1">
      <alignment horizontal="center"/>
    </xf>
    <xf numFmtId="174" fontId="101" fillId="2" borderId="0" xfId="1" applyNumberFormat="1" applyFont="1" applyFill="1" applyAlignment="1" applyProtection="1">
      <alignment horizontal="center" vertical="center"/>
      <protection locked="0"/>
    </xf>
    <xf numFmtId="0" fontId="121" fillId="2" borderId="10" xfId="0" applyFont="1" applyFill="1" applyBorder="1" applyAlignment="1">
      <alignment horizontal="center"/>
    </xf>
    <xf numFmtId="174" fontId="121" fillId="2" borderId="0" xfId="1" applyNumberFormat="1" applyFont="1" applyFill="1" applyAlignment="1" applyProtection="1">
      <alignment horizontal="center" vertical="center"/>
      <protection locked="0"/>
    </xf>
    <xf numFmtId="0" fontId="78" fillId="2" borderId="224" xfId="0" applyFont="1" applyFill="1" applyBorder="1" applyAlignment="1">
      <alignment horizontal="left" vertical="center"/>
    </xf>
    <xf numFmtId="0" fontId="189" fillId="2" borderId="0" xfId="1" applyFont="1" applyFill="1" applyAlignment="1" applyProtection="1">
      <alignment horizontal="right" vertical="center"/>
      <protection locked="0"/>
    </xf>
    <xf numFmtId="0" fontId="362" fillId="2" borderId="0" xfId="1" applyFont="1" applyFill="1" applyAlignment="1" applyProtection="1">
      <alignment horizontal="center" vertical="center"/>
      <protection locked="0"/>
    </xf>
    <xf numFmtId="0" fontId="9" fillId="2" borderId="10" xfId="0" applyFont="1" applyFill="1" applyBorder="1"/>
    <xf numFmtId="0" fontId="78" fillId="2" borderId="10" xfId="0" applyFont="1" applyFill="1" applyBorder="1" applyAlignment="1">
      <alignment horizontal="left" vertical="center"/>
    </xf>
    <xf numFmtId="0" fontId="361" fillId="2" borderId="225" xfId="1" applyFont="1" applyFill="1" applyBorder="1" applyAlignment="1" applyProtection="1">
      <alignment horizontal="center" vertical="center"/>
      <protection locked="0"/>
    </xf>
    <xf numFmtId="0" fontId="101" fillId="2" borderId="0" xfId="0" applyFont="1" applyFill="1" applyAlignment="1">
      <alignment horizontal="center"/>
    </xf>
    <xf numFmtId="0" fontId="9" fillId="2" borderId="13" xfId="0" applyFont="1" applyFill="1" applyBorder="1"/>
    <xf numFmtId="0" fontId="0" fillId="2" borderId="225" xfId="0" applyFill="1" applyBorder="1" applyAlignment="1">
      <alignment vertical="center"/>
    </xf>
    <xf numFmtId="0" fontId="9" fillId="2" borderId="231" xfId="0" applyFont="1" applyFill="1" applyBorder="1"/>
    <xf numFmtId="0" fontId="9" fillId="2" borderId="232" xfId="0" applyFont="1" applyFill="1" applyBorder="1"/>
    <xf numFmtId="0" fontId="9" fillId="2" borderId="233" xfId="0" applyFont="1" applyFill="1" applyBorder="1"/>
    <xf numFmtId="174" fontId="183" fillId="2" borderId="0" xfId="1" applyNumberFormat="1" applyFont="1" applyFill="1" applyAlignment="1" applyProtection="1">
      <alignment vertical="center"/>
      <protection locked="0"/>
    </xf>
    <xf numFmtId="174" fontId="138" fillId="2" borderId="42" xfId="0" applyNumberFormat="1" applyFont="1" applyFill="1" applyBorder="1" applyAlignment="1">
      <alignment horizontal="center" vertical="center"/>
    </xf>
    <xf numFmtId="174" fontId="138" fillId="2" borderId="0" xfId="0" applyNumberFormat="1" applyFont="1" applyFill="1" applyAlignment="1">
      <alignment horizontal="center" vertical="center"/>
    </xf>
    <xf numFmtId="174" fontId="360" fillId="2" borderId="207" xfId="0" applyNumberFormat="1" applyFont="1" applyFill="1" applyBorder="1" applyAlignment="1">
      <alignment horizontal="center" vertical="center"/>
    </xf>
    <xf numFmtId="174" fontId="138" fillId="17" borderId="27" xfId="0" applyNumberFormat="1" applyFont="1" applyFill="1" applyBorder="1" applyAlignment="1">
      <alignment horizontal="center" vertical="center"/>
    </xf>
    <xf numFmtId="174" fontId="360" fillId="17" borderId="27" xfId="0" applyNumberFormat="1" applyFont="1" applyFill="1" applyBorder="1" applyAlignment="1">
      <alignment horizontal="right" vertical="center"/>
    </xf>
    <xf numFmtId="171" fontId="101" fillId="17" borderId="27" xfId="1" applyNumberFormat="1" applyFont="1" applyFill="1" applyBorder="1" applyAlignment="1" applyProtection="1">
      <alignment horizontal="center" vertical="center"/>
      <protection locked="0"/>
    </xf>
    <xf numFmtId="174" fontId="360" fillId="17" borderId="27" xfId="0" applyNumberFormat="1" applyFont="1" applyFill="1" applyBorder="1" applyAlignment="1">
      <alignment horizontal="center" vertical="center"/>
    </xf>
    <xf numFmtId="171" fontId="101" fillId="17" borderId="235" xfId="1" applyNumberFormat="1" applyFont="1" applyFill="1" applyBorder="1" applyAlignment="1" applyProtection="1">
      <alignment horizontal="center" vertical="center"/>
      <protection locked="0"/>
    </xf>
    <xf numFmtId="0" fontId="0" fillId="2" borderId="236" xfId="0" applyFill="1" applyBorder="1" applyAlignment="1">
      <alignment vertical="center"/>
    </xf>
    <xf numFmtId="0" fontId="138" fillId="2" borderId="221" xfId="2" applyFont="1" applyFill="1" applyBorder="1" applyAlignment="1">
      <alignment horizontal="right"/>
    </xf>
    <xf numFmtId="174" fontId="183" fillId="2" borderId="221" xfId="1" applyNumberFormat="1" applyFont="1" applyFill="1" applyBorder="1" applyAlignment="1" applyProtection="1">
      <alignment vertical="center"/>
      <protection locked="0"/>
    </xf>
    <xf numFmtId="0" fontId="9" fillId="2" borderId="221" xfId="0" applyFont="1" applyFill="1" applyBorder="1"/>
    <xf numFmtId="168" fontId="9" fillId="2" borderId="221" xfId="0" applyNumberFormat="1" applyFont="1" applyFill="1" applyBorder="1" applyAlignment="1">
      <alignment horizontal="center" vertical="center"/>
    </xf>
    <xf numFmtId="174" fontId="9" fillId="2" borderId="221" xfId="0" applyNumberFormat="1" applyFont="1" applyFill="1" applyBorder="1" applyAlignment="1">
      <alignment horizontal="right" vertical="center"/>
    </xf>
    <xf numFmtId="174" fontId="138" fillId="2" borderId="221" xfId="0" applyNumberFormat="1" applyFont="1" applyFill="1" applyBorder="1" applyAlignment="1">
      <alignment horizontal="center" vertical="center"/>
    </xf>
    <xf numFmtId="174" fontId="360" fillId="2" borderId="221" xfId="0" applyNumberFormat="1" applyFont="1" applyFill="1" applyBorder="1" applyAlignment="1">
      <alignment horizontal="right" vertical="center"/>
    </xf>
    <xf numFmtId="171" fontId="101" fillId="2" borderId="221" xfId="1" applyNumberFormat="1" applyFont="1" applyFill="1" applyBorder="1" applyAlignment="1" applyProtection="1">
      <alignment horizontal="center" vertical="center"/>
      <protection locked="0"/>
    </xf>
    <xf numFmtId="174" fontId="360" fillId="2" borderId="221" xfId="0" applyNumberFormat="1" applyFont="1" applyFill="1" applyBorder="1" applyAlignment="1">
      <alignment horizontal="center" vertical="center"/>
    </xf>
    <xf numFmtId="171" fontId="101" fillId="2" borderId="237" xfId="1" applyNumberFormat="1" applyFont="1" applyFill="1" applyBorder="1" applyAlignment="1" applyProtection="1">
      <alignment horizontal="center" vertical="center"/>
      <protection locked="0"/>
    </xf>
    <xf numFmtId="0" fontId="9" fillId="2" borderId="225" xfId="0" applyFont="1" applyFill="1" applyBorder="1"/>
    <xf numFmtId="174" fontId="360" fillId="2" borderId="0" xfId="0" applyNumberFormat="1" applyFont="1" applyFill="1" applyAlignment="1">
      <alignment horizontal="right" vertical="center"/>
    </xf>
    <xf numFmtId="174" fontId="360" fillId="2" borderId="0" xfId="0" applyNumberFormat="1" applyFont="1" applyFill="1" applyAlignment="1">
      <alignment horizontal="center" vertical="center"/>
    </xf>
    <xf numFmtId="0" fontId="10" fillId="30" borderId="227" xfId="12" applyFont="1" applyFill="1" applyBorder="1" applyAlignment="1" applyProtection="1">
      <alignment horizontal="center" vertical="center"/>
      <protection hidden="1"/>
    </xf>
    <xf numFmtId="0" fontId="225" fillId="0" borderId="104" xfId="17" applyBorder="1" applyAlignment="1">
      <alignment vertical="center"/>
    </xf>
    <xf numFmtId="0" fontId="10" fillId="30" borderId="104" xfId="12" applyFont="1" applyFill="1" applyBorder="1" applyAlignment="1" applyProtection="1">
      <alignment horizontal="center" vertical="center"/>
      <protection hidden="1"/>
    </xf>
    <xf numFmtId="0" fontId="225" fillId="2" borderId="104" xfId="17" applyFill="1" applyBorder="1"/>
    <xf numFmtId="0" fontId="302" fillId="2" borderId="0" xfId="0" applyFont="1" applyFill="1"/>
    <xf numFmtId="0" fontId="12" fillId="2" borderId="148" xfId="1" applyFill="1" applyBorder="1" applyAlignment="1">
      <alignment horizontal="left"/>
    </xf>
    <xf numFmtId="0" fontId="127" fillId="2" borderId="97" xfId="2" applyFont="1" applyFill="1" applyBorder="1" applyAlignment="1">
      <alignment horizontal="left" vertical="center"/>
    </xf>
    <xf numFmtId="0" fontId="0" fillId="2" borderId="97" xfId="0" applyFill="1" applyBorder="1"/>
    <xf numFmtId="0" fontId="0" fillId="2" borderId="97" xfId="0" applyFill="1" applyBorder="1" applyAlignment="1">
      <alignment horizontal="right" vertical="center"/>
    </xf>
    <xf numFmtId="0" fontId="101" fillId="2" borderId="97" xfId="0" applyFont="1" applyFill="1" applyBorder="1" applyAlignment="1">
      <alignment horizontal="center"/>
    </xf>
    <xf numFmtId="0" fontId="12" fillId="2" borderId="13" xfId="1" applyFill="1" applyBorder="1" applyAlignment="1">
      <alignment horizontal="left"/>
    </xf>
    <xf numFmtId="0" fontId="101" fillId="2" borderId="149" xfId="0" applyFont="1" applyFill="1" applyBorder="1" applyAlignment="1">
      <alignment horizontal="center"/>
    </xf>
    <xf numFmtId="0" fontId="0" fillId="2" borderId="0" xfId="0" applyFill="1" applyAlignment="1">
      <alignment horizontal="right" vertical="center"/>
    </xf>
    <xf numFmtId="0" fontId="364" fillId="2" borderId="0" xfId="2" applyFont="1" applyFill="1" applyAlignment="1">
      <alignment horizontal="center" vertical="center"/>
    </xf>
    <xf numFmtId="0" fontId="365" fillId="2" borderId="0" xfId="2" applyFont="1" applyFill="1" applyAlignment="1">
      <alignment horizontal="center" vertical="center"/>
    </xf>
    <xf numFmtId="0" fontId="282" fillId="2" borderId="13" xfId="2" applyFont="1" applyFill="1" applyBorder="1" applyAlignment="1">
      <alignment horizontal="center" vertical="center"/>
    </xf>
    <xf numFmtId="0" fontId="366" fillId="2" borderId="0" xfId="2" applyFont="1" applyFill="1" applyAlignment="1">
      <alignment horizontal="center" vertical="center"/>
    </xf>
    <xf numFmtId="0" fontId="90" fillId="30" borderId="0" xfId="2" applyFont="1" applyFill="1" applyAlignment="1">
      <alignment horizontal="right"/>
    </xf>
    <xf numFmtId="0" fontId="90" fillId="2" borderId="13" xfId="2" applyFont="1" applyFill="1" applyBorder="1" applyAlignment="1">
      <alignment horizontal="right"/>
    </xf>
    <xf numFmtId="0" fontId="278" fillId="2" borderId="0" xfId="2" applyFont="1" applyFill="1" applyAlignment="1">
      <alignment horizontal="right"/>
    </xf>
    <xf numFmtId="168" fontId="278" fillId="17" borderId="0" xfId="0" applyNumberFormat="1" applyFont="1" applyFill="1" applyAlignment="1">
      <alignment horizontal="center" vertical="center"/>
    </xf>
    <xf numFmtId="0" fontId="11" fillId="0" borderId="0" xfId="0" applyFont="1" applyAlignment="1">
      <alignment horizontal="center"/>
    </xf>
    <xf numFmtId="168" fontId="281" fillId="17" borderId="0" xfId="0" applyNumberFormat="1" applyFont="1" applyFill="1" applyAlignment="1">
      <alignment horizontal="center" vertical="center"/>
    </xf>
    <xf numFmtId="0" fontId="183" fillId="2" borderId="0" xfId="2" applyFont="1" applyFill="1" applyAlignment="1">
      <alignment horizontal="right"/>
    </xf>
    <xf numFmtId="174" fontId="0" fillId="2" borderId="0" xfId="0" applyNumberFormat="1" applyFill="1" applyAlignment="1">
      <alignment horizontal="center" vertical="center"/>
    </xf>
    <xf numFmtId="0" fontId="9" fillId="2" borderId="68" xfId="0" applyFont="1" applyFill="1" applyBorder="1"/>
    <xf numFmtId="0" fontId="368" fillId="33" borderId="12" xfId="0" applyFont="1" applyFill="1" applyBorder="1" applyAlignment="1">
      <alignment horizontal="right" vertical="center"/>
    </xf>
    <xf numFmtId="0" fontId="90" fillId="40" borderId="0" xfId="0" applyFont="1" applyFill="1"/>
    <xf numFmtId="174" fontId="90" fillId="40" borderId="0" xfId="0" applyNumberFormat="1" applyFont="1" applyFill="1" applyAlignment="1">
      <alignment horizontal="right" vertical="center"/>
    </xf>
    <xf numFmtId="0" fontId="90" fillId="73" borderId="0" xfId="0" applyFont="1" applyFill="1"/>
    <xf numFmtId="174" fontId="90" fillId="73" borderId="0" xfId="0" applyNumberFormat="1" applyFont="1" applyFill="1" applyAlignment="1">
      <alignment horizontal="right" vertical="center"/>
    </xf>
    <xf numFmtId="174" fontId="0" fillId="2" borderId="0" xfId="0" applyNumberFormat="1" applyFill="1" applyAlignment="1">
      <alignment horizontal="right" vertical="center"/>
    </xf>
    <xf numFmtId="0" fontId="71" fillId="2" borderId="0" xfId="0" applyFont="1" applyFill="1"/>
    <xf numFmtId="168" fontId="369" fillId="2" borderId="10" xfId="0" applyNumberFormat="1" applyFont="1" applyFill="1" applyBorder="1" applyAlignment="1">
      <alignment horizontal="center" vertical="center"/>
    </xf>
    <xf numFmtId="169" fontId="0" fillId="2" borderId="0" xfId="0" applyNumberFormat="1" applyFill="1"/>
    <xf numFmtId="168" fontId="0" fillId="2" borderId="0" xfId="0" applyNumberFormat="1" applyFill="1" applyAlignment="1">
      <alignment horizontal="center" vertical="center"/>
    </xf>
    <xf numFmtId="0" fontId="361" fillId="5" borderId="13" xfId="1" applyFont="1" applyFill="1" applyBorder="1" applyAlignment="1" applyProtection="1">
      <alignment horizontal="center" vertical="center"/>
      <protection locked="0"/>
    </xf>
    <xf numFmtId="168" fontId="363" fillId="2" borderId="10" xfId="0" applyNumberFormat="1" applyFont="1" applyFill="1" applyBorder="1" applyAlignment="1">
      <alignment horizontal="center"/>
    </xf>
    <xf numFmtId="0" fontId="0" fillId="2" borderId="0" xfId="0" applyFill="1" applyAlignment="1">
      <alignment horizontal="right"/>
    </xf>
    <xf numFmtId="0" fontId="137" fillId="2" borderId="0" xfId="0" applyFont="1" applyFill="1" applyAlignment="1">
      <alignment horizontal="left" vertical="center"/>
    </xf>
    <xf numFmtId="0" fontId="137" fillId="2" borderId="0" xfId="0" applyFont="1" applyFill="1" applyAlignment="1">
      <alignment horizontal="right" vertical="center"/>
    </xf>
    <xf numFmtId="174" fontId="138" fillId="2" borderId="0" xfId="1" applyNumberFormat="1" applyFont="1" applyFill="1" applyAlignment="1" applyProtection="1">
      <alignment horizontal="center" vertical="center"/>
      <protection locked="0"/>
    </xf>
    <xf numFmtId="0" fontId="101" fillId="2" borderId="0" xfId="0" applyFont="1" applyFill="1" applyAlignment="1">
      <alignment horizontal="left" vertical="center"/>
    </xf>
    <xf numFmtId="0" fontId="0" fillId="2" borderId="68" xfId="0" applyFill="1" applyBorder="1"/>
    <xf numFmtId="0" fontId="101" fillId="2" borderId="145" xfId="0" applyFont="1" applyFill="1" applyBorder="1" applyAlignment="1">
      <alignment horizontal="left" vertical="center"/>
    </xf>
    <xf numFmtId="0" fontId="0" fillId="2" borderId="13" xfId="0" applyFill="1" applyBorder="1" applyAlignment="1">
      <alignment horizontal="center"/>
    </xf>
    <xf numFmtId="0" fontId="0" fillId="2" borderId="12" xfId="0" applyFill="1" applyBorder="1" applyAlignment="1">
      <alignment horizontal="center"/>
    </xf>
    <xf numFmtId="0" fontId="10" fillId="2" borderId="13" xfId="2" applyFont="1" applyFill="1" applyBorder="1" applyAlignment="1">
      <alignment horizontal="right"/>
    </xf>
    <xf numFmtId="0" fontId="10" fillId="40" borderId="0" xfId="2" applyFont="1" applyFill="1" applyAlignment="1">
      <alignment horizontal="right"/>
    </xf>
    <xf numFmtId="168" fontId="10" fillId="40" borderId="0" xfId="0" applyNumberFormat="1" applyFont="1" applyFill="1" applyAlignment="1">
      <alignment horizontal="center" vertical="center"/>
    </xf>
    <xf numFmtId="0" fontId="370" fillId="2" borderId="0" xfId="2" applyFont="1" applyFill="1" applyAlignment="1">
      <alignment horizontal="right"/>
    </xf>
    <xf numFmtId="0" fontId="10" fillId="74" borderId="0" xfId="2" applyFont="1" applyFill="1" applyAlignment="1">
      <alignment horizontal="right"/>
    </xf>
    <xf numFmtId="168" fontId="10" fillId="74" borderId="0" xfId="0" applyNumberFormat="1" applyFont="1" applyFill="1" applyAlignment="1">
      <alignment horizontal="center" vertical="center"/>
    </xf>
    <xf numFmtId="0" fontId="101" fillId="2" borderId="12" xfId="0" applyFont="1" applyFill="1" applyBorder="1" applyAlignment="1">
      <alignment horizontal="left" vertical="center"/>
    </xf>
    <xf numFmtId="0" fontId="0" fillId="2" borderId="0" xfId="0" applyFill="1" applyAlignment="1">
      <alignment horizontal="left"/>
    </xf>
    <xf numFmtId="0" fontId="0" fillId="2" borderId="13" xfId="0" applyFill="1" applyBorder="1" applyAlignment="1">
      <alignment horizontal="left" vertical="center"/>
    </xf>
    <xf numFmtId="0" fontId="0" fillId="2" borderId="0" xfId="0" applyFill="1" applyAlignment="1">
      <alignment horizontal="left" vertical="center"/>
    </xf>
    <xf numFmtId="0" fontId="137" fillId="2" borderId="12" xfId="0" applyFont="1" applyFill="1" applyBorder="1" applyAlignment="1">
      <alignment horizontal="left" vertical="center"/>
    </xf>
    <xf numFmtId="174" fontId="78" fillId="2" borderId="13" xfId="1" applyNumberFormat="1" applyFont="1" applyFill="1" applyBorder="1" applyAlignment="1" applyProtection="1">
      <alignment horizontal="center" vertical="center"/>
      <protection locked="0"/>
    </xf>
    <xf numFmtId="174" fontId="351" fillId="2" borderId="0" xfId="1" applyNumberFormat="1" applyFont="1" applyFill="1" applyAlignment="1" applyProtection="1">
      <alignment horizontal="center" vertical="center"/>
      <protection locked="0"/>
    </xf>
    <xf numFmtId="174" fontId="78" fillId="2" borderId="0" xfId="1" applyNumberFormat="1" applyFont="1" applyFill="1" applyAlignment="1" applyProtection="1">
      <alignment horizontal="center" vertical="center"/>
      <protection locked="0"/>
    </xf>
    <xf numFmtId="0" fontId="278" fillId="2" borderId="36" xfId="0" quotePrefix="1" applyFont="1" applyFill="1" applyBorder="1" applyAlignment="1">
      <alignment horizontal="right" vertical="top"/>
    </xf>
    <xf numFmtId="0" fontId="0" fillId="0" borderId="11" xfId="0" applyBorder="1"/>
    <xf numFmtId="0" fontId="101" fillId="2" borderId="95" xfId="0" applyFont="1" applyFill="1" applyBorder="1" applyAlignment="1">
      <alignment horizontal="left" vertical="center"/>
    </xf>
    <xf numFmtId="0" fontId="9" fillId="2" borderId="161" xfId="0" applyFont="1" applyFill="1" applyBorder="1"/>
    <xf numFmtId="0" fontId="9" fillId="2" borderId="197" xfId="0" applyFont="1" applyFill="1" applyBorder="1"/>
    <xf numFmtId="0" fontId="0" fillId="2" borderId="214" xfId="0" applyFill="1" applyBorder="1"/>
    <xf numFmtId="0" fontId="0" fillId="2" borderId="148" xfId="0" applyFill="1" applyBorder="1"/>
    <xf numFmtId="0" fontId="101" fillId="2" borderId="97" xfId="0" applyFont="1" applyFill="1" applyBorder="1" applyAlignment="1">
      <alignment horizontal="left" vertical="center"/>
    </xf>
    <xf numFmtId="0" fontId="0" fillId="2" borderId="149" xfId="0" applyFill="1" applyBorder="1"/>
    <xf numFmtId="0" fontId="367" fillId="2" borderId="0" xfId="2" applyFont="1" applyFill="1" applyAlignment="1">
      <alignment horizontal="center" vertical="center"/>
    </xf>
    <xf numFmtId="0" fontId="278" fillId="2" borderId="0" xfId="0" applyFont="1" applyFill="1"/>
    <xf numFmtId="168" fontId="278" fillId="2" borderId="0" xfId="0" applyNumberFormat="1" applyFont="1" applyFill="1" applyAlignment="1">
      <alignment horizontal="center" vertical="center"/>
    </xf>
    <xf numFmtId="168" fontId="78" fillId="2" borderId="10" xfId="0" applyNumberFormat="1" applyFont="1" applyFill="1" applyBorder="1" applyAlignment="1">
      <alignment horizontal="center" vertical="center"/>
    </xf>
    <xf numFmtId="174" fontId="78" fillId="2" borderId="0" xfId="0" applyNumberFormat="1" applyFont="1" applyFill="1" applyAlignment="1">
      <alignment horizontal="right" vertical="center"/>
    </xf>
    <xf numFmtId="0" fontId="9" fillId="2" borderId="0" xfId="0" applyFont="1" applyFill="1" applyAlignment="1">
      <alignment horizontal="right"/>
    </xf>
    <xf numFmtId="168" fontId="369" fillId="2" borderId="0" xfId="0" applyNumberFormat="1" applyFont="1" applyFill="1" applyAlignment="1">
      <alignment horizontal="center" vertical="center"/>
    </xf>
    <xf numFmtId="0" fontId="101" fillId="2" borderId="0" xfId="0" applyFont="1" applyFill="1"/>
    <xf numFmtId="0" fontId="0" fillId="49" borderId="0" xfId="0" applyFill="1"/>
    <xf numFmtId="0" fontId="0" fillId="49" borderId="12" xfId="0" applyFill="1" applyBorder="1"/>
    <xf numFmtId="0" fontId="183" fillId="2" borderId="0" xfId="0" applyFont="1" applyFill="1"/>
    <xf numFmtId="186" fontId="183" fillId="2" borderId="0" xfId="0" applyNumberFormat="1" applyFont="1" applyFill="1" applyAlignment="1">
      <alignment horizontal="center" vertical="center"/>
    </xf>
    <xf numFmtId="174" fontId="183" fillId="2" borderId="0" xfId="0" applyNumberFormat="1" applyFont="1" applyFill="1" applyAlignment="1">
      <alignment horizontal="right" vertical="center"/>
    </xf>
    <xf numFmtId="0" fontId="372" fillId="2" borderId="0" xfId="2" applyFont="1" applyFill="1" applyAlignment="1">
      <alignment horizontal="center" vertical="center"/>
    </xf>
    <xf numFmtId="0" fontId="138" fillId="39" borderId="0" xfId="2" applyFont="1" applyFill="1" applyAlignment="1">
      <alignment horizontal="right"/>
    </xf>
    <xf numFmtId="186" fontId="360" fillId="17" borderId="0" xfId="0" applyNumberFormat="1" applyFont="1" applyFill="1" applyAlignment="1">
      <alignment horizontal="center"/>
    </xf>
    <xf numFmtId="0" fontId="360" fillId="2" borderId="0" xfId="0" applyFont="1" applyFill="1"/>
    <xf numFmtId="186" fontId="360" fillId="2" borderId="0" xfId="0" applyNumberFormat="1" applyFont="1" applyFill="1" applyAlignment="1">
      <alignment horizontal="center" vertical="center"/>
    </xf>
    <xf numFmtId="186" fontId="278" fillId="17" borderId="0" xfId="0" applyNumberFormat="1" applyFont="1" applyFill="1" applyAlignment="1">
      <alignment horizontal="center" vertical="center"/>
    </xf>
    <xf numFmtId="0" fontId="369" fillId="2" borderId="0" xfId="2" applyFont="1" applyFill="1" applyAlignment="1">
      <alignment horizontal="right"/>
    </xf>
    <xf numFmtId="186" fontId="281" fillId="17" borderId="0" xfId="0" applyNumberFormat="1" applyFont="1" applyFill="1" applyAlignment="1">
      <alignment horizontal="center" vertical="center"/>
    </xf>
    <xf numFmtId="186" fontId="278" fillId="2" borderId="0" xfId="0" applyNumberFormat="1" applyFont="1" applyFill="1" applyAlignment="1">
      <alignment horizontal="center" vertical="center"/>
    </xf>
    <xf numFmtId="186" fontId="369" fillId="2" borderId="0" xfId="0" applyNumberFormat="1" applyFont="1" applyFill="1" applyAlignment="1">
      <alignment horizontal="center" vertical="center"/>
    </xf>
    <xf numFmtId="171" fontId="101" fillId="2" borderId="12" xfId="1" applyNumberFormat="1" applyFont="1" applyFill="1" applyBorder="1" applyAlignment="1" applyProtection="1">
      <alignment horizontal="center" vertical="center"/>
      <protection locked="0"/>
    </xf>
    <xf numFmtId="186" fontId="0" fillId="2" borderId="0" xfId="0" applyNumberFormat="1" applyFill="1" applyAlignment="1">
      <alignment horizontal="center" vertical="center"/>
    </xf>
    <xf numFmtId="0" fontId="101" fillId="2" borderId="0" xfId="2" applyFont="1" applyFill="1" applyAlignment="1">
      <alignment horizontal="right"/>
    </xf>
    <xf numFmtId="174" fontId="138" fillId="2" borderId="0" xfId="1" applyNumberFormat="1" applyFont="1" applyFill="1" applyAlignment="1" applyProtection="1">
      <alignment vertical="center"/>
      <protection locked="0"/>
    </xf>
    <xf numFmtId="186" fontId="10" fillId="40" borderId="0" xfId="0" applyNumberFormat="1" applyFont="1" applyFill="1" applyAlignment="1">
      <alignment horizontal="center" vertical="center"/>
    </xf>
    <xf numFmtId="186" fontId="10" fillId="74" borderId="0" xfId="0" applyNumberFormat="1" applyFont="1" applyFill="1" applyAlignment="1">
      <alignment horizontal="center" vertical="center"/>
    </xf>
    <xf numFmtId="0" fontId="360" fillId="2" borderId="0" xfId="0" applyFont="1" applyFill="1" applyAlignment="1">
      <alignment horizontal="left" vertical="center"/>
    </xf>
    <xf numFmtId="0" fontId="373" fillId="2" borderId="12" xfId="0" applyFont="1" applyFill="1" applyBorder="1"/>
    <xf numFmtId="186" fontId="121" fillId="2" borderId="10" xfId="0" applyNumberFormat="1" applyFont="1" applyFill="1" applyBorder="1" applyAlignment="1">
      <alignment horizontal="center"/>
    </xf>
    <xf numFmtId="171" fontId="362" fillId="2" borderId="12" xfId="1" applyNumberFormat="1" applyFont="1" applyFill="1" applyBorder="1" applyAlignment="1" applyProtection="1">
      <alignment horizontal="left" vertical="center"/>
      <protection locked="0"/>
    </xf>
    <xf numFmtId="186" fontId="371" fillId="2" borderId="10" xfId="0" applyNumberFormat="1" applyFont="1" applyFill="1" applyBorder="1" applyAlignment="1">
      <alignment horizontal="center"/>
    </xf>
    <xf numFmtId="168" fontId="78" fillId="2" borderId="0" xfId="0" applyNumberFormat="1" applyFont="1" applyFill="1" applyAlignment="1">
      <alignment horizontal="left" vertical="center"/>
    </xf>
    <xf numFmtId="168" fontId="360" fillId="17" borderId="0" xfId="0" applyNumberFormat="1" applyFont="1" applyFill="1" applyAlignment="1">
      <alignment horizontal="center"/>
    </xf>
    <xf numFmtId="0" fontId="12" fillId="2" borderId="0" xfId="1" applyFill="1" applyAlignment="1">
      <alignment horizontal="left"/>
    </xf>
    <xf numFmtId="186" fontId="360" fillId="2" borderId="0" xfId="0" applyNumberFormat="1" applyFont="1" applyFill="1" applyAlignment="1">
      <alignment horizontal="right" vertical="center"/>
    </xf>
    <xf numFmtId="0" fontId="90" fillId="40" borderId="0" xfId="0" applyFont="1" applyFill="1" applyAlignment="1">
      <alignment horizontal="right"/>
    </xf>
    <xf numFmtId="0" fontId="90" fillId="73" borderId="0" xfId="0" applyFont="1" applyFill="1" applyAlignment="1">
      <alignment horizontal="right"/>
    </xf>
    <xf numFmtId="0" fontId="10" fillId="2" borderId="0" xfId="2" applyFont="1" applyFill="1" applyAlignment="1">
      <alignment horizontal="right"/>
    </xf>
    <xf numFmtId="0" fontId="362" fillId="2" borderId="0" xfId="0" applyFont="1" applyFill="1" applyAlignment="1">
      <alignment horizontal="left" vertical="center"/>
    </xf>
    <xf numFmtId="0" fontId="68" fillId="2" borderId="0" xfId="2" applyFont="1" applyFill="1" applyAlignment="1">
      <alignment vertical="center"/>
    </xf>
    <xf numFmtId="0" fontId="127" fillId="2" borderId="0" xfId="2" applyFont="1" applyFill="1" applyAlignment="1">
      <alignment vertical="center" textRotation="90"/>
    </xf>
    <xf numFmtId="0" fontId="0" fillId="2" borderId="0" xfId="0" applyFill="1" applyAlignment="1">
      <alignment vertical="center"/>
    </xf>
    <xf numFmtId="0" fontId="60" fillId="2" borderId="0" xfId="2" applyFont="1" applyFill="1" applyAlignment="1">
      <alignment vertical="center"/>
    </xf>
    <xf numFmtId="0" fontId="166" fillId="2" borderId="0" xfId="0" applyFont="1" applyFill="1" applyAlignment="1">
      <alignment vertical="center"/>
    </xf>
    <xf numFmtId="0" fontId="138" fillId="2" borderId="0" xfId="2" applyFont="1" applyFill="1" applyAlignment="1">
      <alignment vertical="center"/>
    </xf>
    <xf numFmtId="0" fontId="348" fillId="2" borderId="0" xfId="2" applyFont="1" applyFill="1" applyAlignment="1">
      <alignment vertical="center"/>
    </xf>
    <xf numFmtId="0" fontId="349" fillId="2" borderId="0" xfId="2" applyFont="1" applyFill="1" applyAlignment="1">
      <alignment vertical="center"/>
    </xf>
    <xf numFmtId="0" fontId="11" fillId="2" borderId="0" xfId="0" quotePrefix="1" applyFont="1" applyFill="1" applyAlignment="1">
      <alignment vertical="center"/>
    </xf>
    <xf numFmtId="0" fontId="122" fillId="2" borderId="0" xfId="1" applyFont="1" applyFill="1" applyAlignment="1" applyProtection="1">
      <alignment vertical="center"/>
      <protection locked="0"/>
    </xf>
    <xf numFmtId="0" fontId="121" fillId="2" borderId="0" xfId="1" applyFont="1" applyFill="1" applyAlignment="1" applyProtection="1">
      <alignment vertical="center"/>
      <protection locked="0"/>
    </xf>
    <xf numFmtId="0" fontId="101" fillId="2" borderId="0" xfId="1" applyFont="1" applyFill="1" applyAlignment="1" applyProtection="1">
      <alignment vertical="center"/>
      <protection locked="0"/>
    </xf>
    <xf numFmtId="0" fontId="34" fillId="2" borderId="0" xfId="2" applyFont="1" applyFill="1" applyAlignment="1">
      <alignment vertical="center"/>
    </xf>
    <xf numFmtId="0" fontId="10" fillId="2" borderId="0" xfId="1" applyFont="1" applyFill="1" applyAlignment="1" applyProtection="1">
      <alignment vertical="center"/>
      <protection locked="0"/>
    </xf>
    <xf numFmtId="0" fontId="10" fillId="2" borderId="0" xfId="2" applyFont="1" applyFill="1" applyAlignment="1">
      <alignment vertical="center"/>
    </xf>
    <xf numFmtId="0" fontId="10" fillId="2" borderId="0" xfId="0" applyFont="1" applyFill="1" applyAlignment="1">
      <alignment vertical="center"/>
    </xf>
    <xf numFmtId="0" fontId="104" fillId="2" borderId="0" xfId="1" applyFont="1" applyFill="1" applyAlignment="1" applyProtection="1">
      <alignment vertical="center"/>
      <protection locked="0"/>
    </xf>
    <xf numFmtId="0" fontId="99" fillId="2" borderId="0" xfId="0" applyFont="1" applyFill="1" applyAlignment="1">
      <alignment vertical="center"/>
    </xf>
    <xf numFmtId="0" fontId="34" fillId="2" borderId="0" xfId="0" applyFont="1" applyFill="1" applyAlignment="1">
      <alignment vertical="center"/>
    </xf>
    <xf numFmtId="0" fontId="273" fillId="2" borderId="0" xfId="0" quotePrefix="1" applyFont="1" applyFill="1" applyAlignment="1">
      <alignment vertical="center"/>
    </xf>
    <xf numFmtId="0" fontId="34" fillId="2" borderId="0" xfId="1" applyFont="1" applyFill="1" applyAlignment="1" applyProtection="1">
      <alignment vertical="center"/>
      <protection locked="0"/>
    </xf>
    <xf numFmtId="0" fontId="10" fillId="30" borderId="0" xfId="12" applyFont="1" applyFill="1" applyAlignment="1" applyProtection="1">
      <alignment vertical="center"/>
      <protection hidden="1"/>
    </xf>
    <xf numFmtId="0" fontId="275" fillId="2" borderId="0" xfId="0" applyFont="1" applyFill="1"/>
    <xf numFmtId="0" fontId="374" fillId="2" borderId="0" xfId="0" applyFont="1" applyFill="1" applyAlignment="1">
      <alignment vertical="center"/>
    </xf>
    <xf numFmtId="0" fontId="0" fillId="2" borderId="0" xfId="0" applyFill="1" applyAlignment="1">
      <alignment horizontal="left" vertical="center" indent="1"/>
    </xf>
    <xf numFmtId="0" fontId="375" fillId="39" borderId="0" xfId="0" applyFont="1" applyFill="1" applyAlignment="1">
      <alignment horizontal="center"/>
    </xf>
    <xf numFmtId="0" fontId="375" fillId="39" borderId="0" xfId="0" applyFont="1" applyFill="1"/>
    <xf numFmtId="0" fontId="376" fillId="2" borderId="0" xfId="0" applyFont="1" applyFill="1" applyAlignment="1">
      <alignment vertical="center"/>
    </xf>
    <xf numFmtId="0" fontId="375" fillId="2" borderId="0" xfId="0" applyFont="1" applyFill="1" applyAlignment="1">
      <alignment vertical="center"/>
    </xf>
    <xf numFmtId="0" fontId="377" fillId="2" borderId="0" xfId="0" applyFont="1" applyFill="1" applyAlignment="1">
      <alignment vertical="center"/>
    </xf>
    <xf numFmtId="0" fontId="137" fillId="2" borderId="0" xfId="0" applyFont="1" applyFill="1"/>
    <xf numFmtId="0" fontId="275" fillId="39" borderId="0" xfId="0" applyFont="1" applyFill="1"/>
    <xf numFmtId="0" fontId="378" fillId="30" borderId="13" xfId="12" applyFont="1" applyFill="1" applyBorder="1" applyAlignment="1" applyProtection="1">
      <alignment vertical="center"/>
      <protection hidden="1"/>
    </xf>
    <xf numFmtId="0" fontId="216" fillId="17" borderId="0" xfId="17" applyFont="1" applyFill="1"/>
    <xf numFmtId="0" fontId="0" fillId="2" borderId="240" xfId="0" applyFill="1" applyBorder="1"/>
    <xf numFmtId="0" fontId="0" fillId="2" borderId="230" xfId="0" applyFill="1" applyBorder="1"/>
    <xf numFmtId="0" fontId="0" fillId="2" borderId="241" xfId="0" applyFill="1" applyBorder="1"/>
    <xf numFmtId="0" fontId="12" fillId="5" borderId="242" xfId="1" applyFill="1" applyBorder="1" applyAlignment="1">
      <alignment horizontal="center" vertical="center"/>
    </xf>
    <xf numFmtId="0" fontId="10" fillId="24" borderId="12" xfId="0" applyFont="1" applyFill="1" applyBorder="1" applyAlignment="1">
      <alignment horizontal="center" vertical="center"/>
    </xf>
    <xf numFmtId="0" fontId="0" fillId="17" borderId="246" xfId="0" applyFill="1" applyBorder="1" applyAlignment="1">
      <alignment horizontal="center" vertical="center" wrapText="1"/>
    </xf>
    <xf numFmtId="0" fontId="189" fillId="13" borderId="246" xfId="0" applyFont="1" applyFill="1" applyBorder="1" applyAlignment="1">
      <alignment horizontal="center" vertical="center" wrapText="1"/>
    </xf>
    <xf numFmtId="0" fontId="0" fillId="17" borderId="247" xfId="0" applyFill="1" applyBorder="1" applyAlignment="1">
      <alignment horizontal="center" vertical="center" wrapText="1"/>
    </xf>
    <xf numFmtId="0" fontId="0" fillId="17" borderId="251" xfId="0" applyFill="1" applyBorder="1" applyAlignment="1">
      <alignment horizontal="center" vertical="center" wrapText="1"/>
    </xf>
    <xf numFmtId="0" fontId="121" fillId="13" borderId="251" xfId="0" applyFont="1" applyFill="1" applyBorder="1" applyAlignment="1">
      <alignment horizontal="center" vertical="center" wrapText="1"/>
    </xf>
    <xf numFmtId="0" fontId="121" fillId="13" borderId="252" xfId="0" applyFont="1" applyFill="1" applyBorder="1" applyAlignment="1">
      <alignment horizontal="center" vertical="center" wrapText="1"/>
    </xf>
    <xf numFmtId="0" fontId="0" fillId="17" borderId="257" xfId="0" applyFill="1" applyBorder="1" applyAlignment="1">
      <alignment horizontal="center" vertical="center" wrapText="1"/>
    </xf>
    <xf numFmtId="0" fontId="121" fillId="17" borderId="257" xfId="0" applyFont="1" applyFill="1" applyBorder="1" applyAlignment="1">
      <alignment horizontal="center" vertical="center" wrapText="1"/>
    </xf>
    <xf numFmtId="0" fontId="121" fillId="13" borderId="258" xfId="0" applyFont="1" applyFill="1" applyBorder="1" applyAlignment="1">
      <alignment horizontal="center" vertical="center" wrapText="1"/>
    </xf>
    <xf numFmtId="0" fontId="0" fillId="39" borderId="263" xfId="0" applyFill="1" applyBorder="1" applyAlignment="1">
      <alignment horizontal="center" vertical="center" wrapText="1"/>
    </xf>
    <xf numFmtId="2" fontId="0" fillId="39" borderId="263" xfId="0" applyNumberFormat="1" applyFill="1" applyBorder="1" applyAlignment="1">
      <alignment horizontal="center" vertical="center" wrapText="1"/>
    </xf>
    <xf numFmtId="2" fontId="0" fillId="39" borderId="264" xfId="0" applyNumberFormat="1" applyFill="1" applyBorder="1" applyAlignment="1">
      <alignment horizontal="center" vertical="center" wrapText="1"/>
    </xf>
    <xf numFmtId="0" fontId="0" fillId="39" borderId="268" xfId="0" applyFill="1" applyBorder="1" applyAlignment="1">
      <alignment horizontal="center" vertical="center" wrapText="1"/>
    </xf>
    <xf numFmtId="2" fontId="0" fillId="39" borderId="268" xfId="0" applyNumberFormat="1" applyFill="1" applyBorder="1" applyAlignment="1">
      <alignment horizontal="center" vertical="center" wrapText="1"/>
    </xf>
    <xf numFmtId="2" fontId="0" fillId="39" borderId="269" xfId="0" applyNumberFormat="1" applyFill="1" applyBorder="1" applyAlignment="1">
      <alignment horizontal="center" vertical="center" wrapText="1"/>
    </xf>
    <xf numFmtId="0" fontId="11" fillId="0" borderId="270" xfId="0" applyFont="1" applyBorder="1" applyAlignment="1">
      <alignment horizontal="center" vertical="center" wrapText="1"/>
    </xf>
    <xf numFmtId="0" fontId="0" fillId="39" borderId="274" xfId="0" applyFill="1" applyBorder="1" applyAlignment="1">
      <alignment horizontal="center" vertical="center" wrapText="1"/>
    </xf>
    <xf numFmtId="2" fontId="0" fillId="39" borderId="274" xfId="0" applyNumberFormat="1" applyFill="1" applyBorder="1" applyAlignment="1">
      <alignment horizontal="center" vertical="center" wrapText="1"/>
    </xf>
    <xf numFmtId="2" fontId="0" fillId="39" borderId="275" xfId="0" applyNumberFormat="1" applyFill="1" applyBorder="1" applyAlignment="1">
      <alignment horizontal="center" vertical="center" wrapText="1"/>
    </xf>
    <xf numFmtId="0" fontId="11" fillId="2" borderId="13" xfId="0" applyFont="1" applyFill="1" applyBorder="1"/>
    <xf numFmtId="0" fontId="302" fillId="30" borderId="13" xfId="12" applyFont="1" applyFill="1" applyBorder="1" applyAlignment="1" applyProtection="1">
      <alignment vertical="center"/>
      <protection hidden="1"/>
    </xf>
    <xf numFmtId="0" fontId="202" fillId="13" borderId="0" xfId="17" applyFont="1" applyFill="1" applyAlignment="1">
      <alignment vertical="center"/>
    </xf>
    <xf numFmtId="0" fontId="202" fillId="2" borderId="0" xfId="17" applyFont="1" applyFill="1" applyAlignment="1">
      <alignment vertical="center"/>
    </xf>
    <xf numFmtId="0" fontId="9" fillId="2" borderId="11" xfId="0" applyFont="1" applyFill="1" applyBorder="1"/>
    <xf numFmtId="0" fontId="12" fillId="5" borderId="276" xfId="1" applyFill="1" applyBorder="1" applyAlignment="1">
      <alignment horizontal="center" vertical="center"/>
    </xf>
    <xf numFmtId="0" fontId="127" fillId="2" borderId="266" xfId="2" applyFont="1" applyFill="1" applyBorder="1" applyAlignment="1">
      <alignment horizontal="left" vertical="center"/>
    </xf>
    <xf numFmtId="0" fontId="121" fillId="75" borderId="281" xfId="0" applyFont="1" applyFill="1" applyBorder="1" applyAlignment="1" applyProtection="1">
      <alignment horizontal="center"/>
      <protection locked="0"/>
    </xf>
    <xf numFmtId="0" fontId="121" fillId="75" borderId="282" xfId="0" applyFont="1" applyFill="1" applyBorder="1" applyAlignment="1" applyProtection="1">
      <alignment horizontal="center"/>
      <protection locked="0"/>
    </xf>
    <xf numFmtId="0" fontId="121" fillId="75" borderId="286" xfId="0" applyFont="1" applyFill="1" applyBorder="1" applyAlignment="1" applyProtection="1">
      <alignment horizontal="center"/>
      <protection locked="0"/>
    </xf>
    <xf numFmtId="0" fontId="121" fillId="75" borderId="287" xfId="0" applyFont="1" applyFill="1" applyBorder="1" applyAlignment="1" applyProtection="1">
      <alignment horizontal="center"/>
      <protection locked="0"/>
    </xf>
    <xf numFmtId="0" fontId="121" fillId="75" borderId="288" xfId="0" applyFont="1" applyFill="1" applyBorder="1" applyAlignment="1" applyProtection="1">
      <alignment horizontal="center"/>
      <protection locked="0"/>
    </xf>
    <xf numFmtId="0" fontId="189" fillId="75" borderId="287" xfId="0" applyFont="1" applyFill="1" applyBorder="1" applyAlignment="1" applyProtection="1">
      <alignment horizontal="center"/>
      <protection locked="0"/>
    </xf>
    <xf numFmtId="167" fontId="0" fillId="76" borderId="281" xfId="0" applyNumberFormat="1" applyFill="1" applyBorder="1" applyAlignment="1">
      <alignment horizontal="center"/>
    </xf>
    <xf numFmtId="167" fontId="0" fillId="76" borderId="282" xfId="0" applyNumberFormat="1" applyFill="1" applyBorder="1" applyAlignment="1">
      <alignment horizontal="center"/>
    </xf>
    <xf numFmtId="0" fontId="0" fillId="77" borderId="281" xfId="0" applyFill="1" applyBorder="1" applyAlignment="1">
      <alignment horizontal="center"/>
    </xf>
    <xf numFmtId="167" fontId="0" fillId="76" borderId="251" xfId="0" applyNumberFormat="1" applyFill="1" applyBorder="1" applyAlignment="1">
      <alignment horizontal="center"/>
    </xf>
    <xf numFmtId="167" fontId="0" fillId="76" borderId="252" xfId="0" applyNumberFormat="1" applyFill="1" applyBorder="1" applyAlignment="1">
      <alignment horizontal="center"/>
    </xf>
    <xf numFmtId="0" fontId="0" fillId="77" borderId="251" xfId="0" applyFill="1" applyBorder="1" applyAlignment="1">
      <alignment horizontal="center"/>
    </xf>
    <xf numFmtId="0" fontId="0" fillId="77" borderId="287" xfId="0" applyFill="1" applyBorder="1" applyAlignment="1">
      <alignment horizontal="center"/>
    </xf>
    <xf numFmtId="167" fontId="0" fillId="76" borderId="287" xfId="0" applyNumberFormat="1" applyFill="1" applyBorder="1" applyAlignment="1">
      <alignment horizontal="center"/>
    </xf>
    <xf numFmtId="167" fontId="0" fillId="77" borderId="287" xfId="0" applyNumberFormat="1" applyFill="1" applyBorder="1" applyAlignment="1">
      <alignment horizontal="center"/>
    </xf>
    <xf numFmtId="167" fontId="0" fillId="77" borderId="288" xfId="0" applyNumberFormat="1" applyFill="1" applyBorder="1" applyAlignment="1">
      <alignment horizontal="center"/>
    </xf>
    <xf numFmtId="167" fontId="0" fillId="78" borderId="296" xfId="0" applyNumberFormat="1" applyFill="1" applyBorder="1" applyAlignment="1">
      <alignment horizontal="center"/>
    </xf>
    <xf numFmtId="167" fontId="0" fillId="78" borderId="297" xfId="0" applyNumberFormat="1" applyFill="1" applyBorder="1" applyAlignment="1">
      <alignment horizontal="center"/>
    </xf>
    <xf numFmtId="0" fontId="0" fillId="17" borderId="300" xfId="0" applyFill="1" applyBorder="1" applyAlignment="1">
      <alignment horizontal="center" vertical="center" wrapText="1"/>
    </xf>
    <xf numFmtId="0" fontId="189" fillId="13" borderId="300" xfId="0" applyFont="1" applyFill="1" applyBorder="1" applyAlignment="1">
      <alignment horizontal="center" vertical="center" wrapText="1"/>
    </xf>
    <xf numFmtId="0" fontId="0" fillId="17" borderId="301" xfId="0" applyFill="1" applyBorder="1" applyAlignment="1">
      <alignment horizontal="center" vertical="center" wrapText="1"/>
    </xf>
    <xf numFmtId="0" fontId="9" fillId="13" borderId="0" xfId="0" applyFont="1" applyFill="1"/>
    <xf numFmtId="0" fontId="0" fillId="13" borderId="12" xfId="0" applyFill="1" applyBorder="1"/>
    <xf numFmtId="0" fontId="0" fillId="13" borderId="0" xfId="0" applyFill="1"/>
    <xf numFmtId="0" fontId="9" fillId="13" borderId="10" xfId="0" applyFont="1" applyFill="1" applyBorder="1"/>
    <xf numFmtId="0" fontId="0" fillId="13" borderId="9" xfId="0" applyFill="1" applyBorder="1"/>
    <xf numFmtId="0" fontId="198" fillId="72" borderId="0" xfId="4" applyFont="1" applyFill="1" applyAlignment="1" applyProtection="1">
      <alignment horizontal="center" vertical="center"/>
      <protection locked="0"/>
    </xf>
    <xf numFmtId="0" fontId="101" fillId="2" borderId="10" xfId="0" applyFont="1" applyFill="1" applyBorder="1" applyAlignment="1">
      <alignment horizontal="center"/>
    </xf>
    <xf numFmtId="0" fontId="198" fillId="72" borderId="37" xfId="4" applyFont="1" applyFill="1" applyBorder="1" applyAlignment="1" applyProtection="1">
      <alignment horizontal="center" vertical="center"/>
      <protection locked="0"/>
    </xf>
    <xf numFmtId="0" fontId="198" fillId="72" borderId="36" xfId="4" applyFont="1" applyFill="1" applyBorder="1" applyAlignment="1" applyProtection="1">
      <alignment horizontal="center" vertical="center"/>
      <protection locked="0"/>
    </xf>
    <xf numFmtId="0" fontId="198" fillId="72" borderId="35" xfId="4" applyFont="1" applyFill="1" applyBorder="1" applyAlignment="1" applyProtection="1">
      <alignment horizontal="center" vertical="center"/>
      <protection locked="0"/>
    </xf>
    <xf numFmtId="0" fontId="9" fillId="2" borderId="13" xfId="0" applyFont="1" applyFill="1" applyBorder="1" applyAlignment="1">
      <alignment horizontal="center"/>
    </xf>
    <xf numFmtId="0" fontId="9" fillId="2" borderId="12" xfId="0" applyFont="1" applyFill="1" applyBorder="1" applyAlignment="1">
      <alignment horizontal="center"/>
    </xf>
    <xf numFmtId="0" fontId="0" fillId="0" borderId="277" xfId="0" applyBorder="1" applyAlignment="1">
      <alignment horizontal="center" vertical="center"/>
    </xf>
    <xf numFmtId="0" fontId="198" fillId="72" borderId="13" xfId="4" applyFont="1" applyFill="1" applyBorder="1" applyAlignment="1" applyProtection="1">
      <alignment horizontal="center" vertical="center"/>
      <protection locked="0"/>
    </xf>
    <xf numFmtId="0" fontId="198" fillId="72" borderId="12" xfId="4" applyFont="1" applyFill="1" applyBorder="1" applyAlignment="1" applyProtection="1">
      <alignment horizontal="center" vertical="center"/>
      <protection locked="0"/>
    </xf>
    <xf numFmtId="0" fontId="34" fillId="2" borderId="13" xfId="1" applyFont="1" applyFill="1" applyBorder="1" applyAlignment="1">
      <alignment horizontal="right" vertical="center"/>
    </xf>
    <xf numFmtId="0" fontId="45" fillId="2" borderId="0" xfId="1" applyFont="1" applyFill="1" applyAlignment="1">
      <alignment horizontal="center" vertical="center"/>
    </xf>
    <xf numFmtId="1" fontId="34" fillId="2" borderId="0" xfId="1" applyNumberFormat="1" applyFont="1" applyFill="1" applyAlignment="1">
      <alignment horizontal="center" vertical="center"/>
    </xf>
    <xf numFmtId="0" fontId="14" fillId="2" borderId="0" xfId="1" applyFont="1" applyFill="1" applyAlignment="1">
      <alignment horizontal="center" vertical="center"/>
    </xf>
    <xf numFmtId="174" fontId="45" fillId="2" borderId="0" xfId="4" applyNumberFormat="1" applyFont="1" applyFill="1" applyAlignment="1">
      <alignment horizontal="left" vertical="center"/>
    </xf>
    <xf numFmtId="1" fontId="34" fillId="2" borderId="0" xfId="1" applyNumberFormat="1" applyFont="1" applyFill="1" applyAlignment="1">
      <alignment horizontal="right" vertical="center"/>
    </xf>
    <xf numFmtId="0" fontId="117" fillId="2" borderId="0" xfId="3" applyFont="1" applyFill="1" applyAlignment="1">
      <alignment horizontal="center" vertical="center"/>
    </xf>
    <xf numFmtId="0" fontId="216" fillId="2" borderId="0" xfId="3" applyFont="1" applyFill="1" applyAlignment="1">
      <alignment horizontal="center" vertical="center"/>
    </xf>
    <xf numFmtId="0" fontId="14" fillId="2" borderId="96" xfId="2" applyFont="1" applyFill="1" applyBorder="1" applyAlignment="1" applyProtection="1">
      <alignment horizontal="center" vertical="center"/>
      <protection hidden="1"/>
    </xf>
    <xf numFmtId="0" fontId="69" fillId="8" borderId="49" xfId="2" applyFont="1" applyFill="1" applyBorder="1" applyAlignment="1">
      <alignment horizontal="center" vertical="center"/>
    </xf>
    <xf numFmtId="0" fontId="112" fillId="2" borderId="0" xfId="2" applyFont="1" applyFill="1" applyAlignment="1">
      <alignment horizontal="center" vertical="center" wrapText="1"/>
    </xf>
    <xf numFmtId="0" fontId="156" fillId="2" borderId="0" xfId="2" applyFont="1" applyFill="1" applyAlignment="1">
      <alignment horizontal="center" vertical="center" wrapText="1"/>
    </xf>
    <xf numFmtId="0" fontId="156" fillId="2" borderId="12" xfId="2" applyFont="1" applyFill="1" applyBorder="1" applyAlignment="1">
      <alignment horizontal="center" vertical="center" wrapText="1"/>
    </xf>
    <xf numFmtId="0" fontId="117" fillId="2" borderId="0" xfId="3" applyFont="1" applyFill="1" applyAlignment="1">
      <alignment horizontal="left" vertical="center"/>
    </xf>
    <xf numFmtId="0" fontId="13" fillId="2" borderId="10" xfId="2" applyFill="1" applyBorder="1" applyAlignment="1">
      <alignment horizontal="center" vertical="center"/>
    </xf>
    <xf numFmtId="0" fontId="13" fillId="2" borderId="42" xfId="2" applyFill="1" applyBorder="1" applyAlignment="1">
      <alignment horizontal="center" vertical="center" wrapText="1"/>
    </xf>
    <xf numFmtId="0" fontId="126" fillId="2" borderId="0" xfId="1" applyFont="1" applyFill="1" applyAlignment="1">
      <alignment horizontal="center" vertical="center" wrapText="1"/>
    </xf>
    <xf numFmtId="0" fontId="78" fillId="5" borderId="0" xfId="2" applyFont="1" applyFill="1" applyAlignment="1">
      <alignment horizontal="center" vertical="center"/>
    </xf>
    <xf numFmtId="0" fontId="78" fillId="2" borderId="0" xfId="5" applyFont="1" applyFill="1" applyAlignment="1">
      <alignment horizontal="center" vertical="top" wrapText="1"/>
    </xf>
    <xf numFmtId="0" fontId="78" fillId="2" borderId="13" xfId="5" applyFont="1" applyFill="1" applyBorder="1" applyAlignment="1">
      <alignment horizontal="center" vertical="top" wrapText="1"/>
    </xf>
    <xf numFmtId="2" fontId="175" fillId="34" borderId="0" xfId="2" applyNumberFormat="1" applyFont="1" applyFill="1" applyAlignment="1" applyProtection="1">
      <alignment horizontal="center" vertical="center" wrapText="1"/>
      <protection locked="0"/>
    </xf>
    <xf numFmtId="197" fontId="167" fillId="33" borderId="0" xfId="2" applyNumberFormat="1" applyFont="1" applyFill="1" applyAlignment="1">
      <alignment horizontal="center" vertical="center"/>
    </xf>
    <xf numFmtId="0" fontId="176" fillId="5" borderId="0" xfId="2" applyFont="1" applyFill="1" applyAlignment="1">
      <alignment horizontal="center" vertical="center"/>
    </xf>
    <xf numFmtId="0" fontId="137" fillId="2" borderId="0" xfId="2" applyFont="1" applyFill="1" applyAlignment="1">
      <alignment horizontal="center" vertical="center" wrapText="1"/>
    </xf>
    <xf numFmtId="0" fontId="11" fillId="2" borderId="15" xfId="1" applyFont="1" applyFill="1" applyBorder="1" applyAlignment="1">
      <alignment horizontal="center" vertical="center"/>
    </xf>
    <xf numFmtId="1" fontId="101" fillId="2" borderId="97" xfId="18" applyNumberFormat="1" applyFont="1" applyFill="1" applyBorder="1" applyAlignment="1">
      <alignment horizontal="center" vertical="center"/>
    </xf>
    <xf numFmtId="165" fontId="78" fillId="2" borderId="0" xfId="0" applyNumberFormat="1" applyFont="1" applyFill="1" applyAlignment="1">
      <alignment horizontal="center" vertical="center"/>
    </xf>
    <xf numFmtId="165" fontId="78" fillId="2" borderId="145" xfId="0" applyNumberFormat="1" applyFont="1" applyFill="1" applyBorder="1" applyAlignment="1">
      <alignment horizontal="center" vertical="center"/>
    </xf>
    <xf numFmtId="0" fontId="101" fillId="2" borderId="95" xfId="0" applyFont="1" applyFill="1" applyBorder="1" applyAlignment="1">
      <alignment horizontal="center" vertical="center"/>
    </xf>
    <xf numFmtId="0" fontId="101" fillId="2" borderId="13" xfId="18" applyFont="1" applyFill="1" applyBorder="1" applyAlignment="1">
      <alignment horizontal="right" vertical="center" wrapText="1"/>
    </xf>
    <xf numFmtId="175" fontId="69" fillId="2" borderId="0" xfId="4" applyNumberFormat="1" applyFont="1" applyFill="1" applyAlignment="1">
      <alignment horizontal="right" vertical="center" wrapText="1"/>
    </xf>
    <xf numFmtId="0" fontId="71" fillId="2" borderId="13" xfId="7" applyFont="1" applyFill="1" applyBorder="1" applyAlignment="1">
      <alignment horizontal="center" vertical="center" wrapText="1"/>
    </xf>
    <xf numFmtId="0" fontId="71" fillId="2" borderId="0" xfId="6" applyFont="1" applyFill="1" applyAlignment="1">
      <alignment horizontal="center" vertical="center" wrapText="1"/>
    </xf>
    <xf numFmtId="0" fontId="71" fillId="2" borderId="0" xfId="7" applyFont="1" applyFill="1" applyAlignment="1">
      <alignment horizontal="center" vertical="center" wrapText="1"/>
    </xf>
    <xf numFmtId="0" fontId="197" fillId="2" borderId="0" xfId="6" applyFont="1" applyFill="1" applyAlignment="1">
      <alignment horizontal="center" vertical="center"/>
    </xf>
    <xf numFmtId="0" fontId="69" fillId="2" borderId="0" xfId="2" applyFont="1" applyFill="1" applyAlignment="1">
      <alignment horizontal="center" vertical="center"/>
    </xf>
    <xf numFmtId="0" fontId="328" fillId="0" borderId="0" xfId="6" applyFont="1" applyAlignment="1" applyProtection="1">
      <alignment horizontal="center" vertical="center" wrapText="1"/>
      <protection locked="0"/>
    </xf>
    <xf numFmtId="0" fontId="101" fillId="2" borderId="12" xfId="23" applyFont="1" applyFill="1" applyBorder="1" applyAlignment="1">
      <alignment horizontal="center" vertical="center" wrapText="1"/>
    </xf>
    <xf numFmtId="214" fontId="138" fillId="2" borderId="27" xfId="1" applyNumberFormat="1" applyFont="1" applyFill="1" applyBorder="1" applyAlignment="1">
      <alignment horizontal="center" vertical="center"/>
    </xf>
    <xf numFmtId="179" fontId="323" fillId="9" borderId="166" xfId="1" applyNumberFormat="1" applyFont="1" applyFill="1" applyBorder="1" applyAlignment="1" applyProtection="1">
      <alignment horizontal="center" vertical="center"/>
      <protection locked="0"/>
    </xf>
    <xf numFmtId="0" fontId="0" fillId="5" borderId="0" xfId="0" applyFill="1" applyAlignment="1">
      <alignment horizontal="center"/>
    </xf>
    <xf numFmtId="0" fontId="0" fillId="2" borderId="12" xfId="0" applyFill="1" applyBorder="1" applyAlignment="1">
      <alignment vertical="center"/>
    </xf>
    <xf numFmtId="0" fontId="0" fillId="0" borderId="0" xfId="0" applyAlignment="1">
      <alignment vertical="center"/>
    </xf>
    <xf numFmtId="0" fontId="16" fillId="0" borderId="0" xfId="0" applyFont="1" applyAlignment="1">
      <alignment vertical="center"/>
    </xf>
    <xf numFmtId="0" fontId="117" fillId="13" borderId="0" xfId="17" applyFont="1" applyFill="1" applyAlignment="1">
      <alignment vertical="center"/>
    </xf>
    <xf numFmtId="0" fontId="165" fillId="2" borderId="13" xfId="0" applyFont="1" applyFill="1" applyBorder="1" applyAlignment="1">
      <alignment vertical="center"/>
    </xf>
    <xf numFmtId="0" fontId="16" fillId="2" borderId="0" xfId="0" applyFont="1" applyFill="1" applyAlignment="1">
      <alignment vertical="center"/>
    </xf>
    <xf numFmtId="0" fontId="9" fillId="2" borderId="97" xfId="0" applyFont="1" applyFill="1" applyBorder="1"/>
    <xf numFmtId="0" fontId="11" fillId="2" borderId="242" xfId="0" applyFont="1" applyFill="1" applyBorder="1"/>
    <xf numFmtId="0" fontId="78" fillId="2" borderId="9" xfId="0" applyFont="1" applyFill="1" applyBorder="1" applyAlignment="1">
      <alignment horizontal="left" vertical="center"/>
    </xf>
    <xf numFmtId="0" fontId="12" fillId="2" borderId="161" xfId="0" applyFont="1" applyFill="1" applyBorder="1"/>
    <xf numFmtId="0" fontId="78" fillId="2" borderId="12" xfId="0" applyFont="1" applyFill="1" applyBorder="1" applyAlignment="1">
      <alignment horizontal="left" vertical="center"/>
    </xf>
    <xf numFmtId="0" fontId="202" fillId="0" borderId="0" xfId="17" applyFont="1" applyAlignment="1">
      <alignment vertical="center"/>
    </xf>
    <xf numFmtId="0" fontId="10" fillId="30" borderId="13" xfId="12" applyFont="1" applyFill="1" applyBorder="1" applyAlignment="1" applyProtection="1">
      <alignment vertical="center"/>
      <protection hidden="1"/>
    </xf>
    <xf numFmtId="0" fontId="101" fillId="2" borderId="95" xfId="2" applyFont="1" applyFill="1" applyBorder="1" applyAlignment="1">
      <alignment horizontal="center" vertical="center"/>
    </xf>
    <xf numFmtId="0" fontId="101" fillId="2" borderId="145" xfId="2" applyFont="1" applyFill="1" applyBorder="1" applyAlignment="1">
      <alignment horizontal="center" vertical="center"/>
    </xf>
    <xf numFmtId="0" fontId="12" fillId="2" borderId="68" xfId="0" applyFont="1" applyFill="1" applyBorder="1"/>
    <xf numFmtId="0" fontId="101" fillId="2" borderId="12" xfId="2" applyFont="1" applyFill="1" applyBorder="1" applyAlignment="1">
      <alignment horizontal="center" vertical="center"/>
    </xf>
    <xf numFmtId="0" fontId="12" fillId="2" borderId="13" xfId="0" applyFont="1" applyFill="1" applyBorder="1" applyAlignment="1">
      <alignment vertical="center"/>
    </xf>
    <xf numFmtId="0" fontId="12" fillId="2" borderId="13" xfId="0" applyFont="1" applyFill="1" applyBorder="1"/>
    <xf numFmtId="220" fontId="101" fillId="2" borderId="12" xfId="1" applyNumberFormat="1" applyFont="1" applyFill="1" applyBorder="1" applyAlignment="1" applyProtection="1">
      <alignment horizontal="center" vertical="center"/>
      <protection locked="0"/>
    </xf>
    <xf numFmtId="220" fontId="101" fillId="2" borderId="0" xfId="1" applyNumberFormat="1" applyFont="1" applyFill="1" applyAlignment="1" applyProtection="1">
      <alignment horizontal="center" vertical="center"/>
      <protection locked="0"/>
    </xf>
    <xf numFmtId="0" fontId="11" fillId="2" borderId="0" xfId="0" applyFont="1" applyFill="1" applyAlignment="1">
      <alignment horizontal="right" vertical="center"/>
    </xf>
    <xf numFmtId="0" fontId="116" fillId="2" borderId="13" xfId="2" applyFont="1" applyFill="1" applyBorder="1" applyAlignment="1">
      <alignment horizontal="left"/>
    </xf>
    <xf numFmtId="220" fontId="189" fillId="13" borderId="12" xfId="1" applyNumberFormat="1" applyFont="1" applyFill="1" applyBorder="1" applyAlignment="1" applyProtection="1">
      <alignment horizontal="center" vertical="center"/>
      <protection locked="0"/>
    </xf>
    <xf numFmtId="220" fontId="121" fillId="13" borderId="0" xfId="1" applyNumberFormat="1" applyFont="1" applyFill="1" applyAlignment="1" applyProtection="1">
      <alignment horizontal="center" vertical="center"/>
      <protection locked="0"/>
    </xf>
    <xf numFmtId="0" fontId="11" fillId="2" borderId="0" xfId="0" applyFont="1" applyFill="1" applyAlignment="1">
      <alignment horizontal="left" vertical="center"/>
    </xf>
    <xf numFmtId="220" fontId="189" fillId="13" borderId="0" xfId="1" applyNumberFormat="1" applyFont="1" applyFill="1" applyAlignment="1" applyProtection="1">
      <alignment horizontal="center" vertical="center"/>
      <protection locked="0"/>
    </xf>
    <xf numFmtId="0" fontId="0" fillId="2" borderId="266" xfId="0" applyFill="1" applyBorder="1" applyAlignment="1">
      <alignment horizontal="right" vertical="center"/>
    </xf>
    <xf numFmtId="0" fontId="0" fillId="2" borderId="266" xfId="0" applyFill="1" applyBorder="1"/>
    <xf numFmtId="0" fontId="101" fillId="2" borderId="13" xfId="2" applyFont="1" applyFill="1" applyBorder="1" applyAlignment="1">
      <alignment horizontal="left"/>
    </xf>
    <xf numFmtId="0" fontId="11" fillId="2" borderId="13" xfId="0" applyFont="1" applyFill="1" applyBorder="1" applyAlignment="1">
      <alignment vertical="center"/>
    </xf>
    <xf numFmtId="0" fontId="197" fillId="2" borderId="0" xfId="0" applyFont="1" applyFill="1" applyAlignment="1">
      <alignment horizontal="right" vertical="center" wrapText="1"/>
    </xf>
    <xf numFmtId="0" fontId="138" fillId="2" borderId="12" xfId="2" applyFont="1" applyFill="1" applyBorder="1" applyAlignment="1">
      <alignment horizontal="center"/>
    </xf>
    <xf numFmtId="0" fontId="138" fillId="2" borderId="0" xfId="2" applyFont="1" applyFill="1" applyAlignment="1">
      <alignment horizontal="center"/>
    </xf>
    <xf numFmtId="0" fontId="197" fillId="2" borderId="0" xfId="0" applyFont="1" applyFill="1" applyAlignment="1">
      <alignment horizontal="center" vertical="center" wrapText="1"/>
    </xf>
    <xf numFmtId="0" fontId="138" fillId="2" borderId="13" xfId="2" applyFont="1" applyFill="1" applyBorder="1" applyAlignment="1">
      <alignment horizontal="center"/>
    </xf>
    <xf numFmtId="0" fontId="101" fillId="2" borderId="12" xfId="2" applyFont="1" applyFill="1" applyBorder="1" applyAlignment="1">
      <alignment horizontal="center"/>
    </xf>
    <xf numFmtId="0" fontId="101" fillId="2" borderId="0" xfId="2" applyFont="1" applyFill="1" applyAlignment="1">
      <alignment horizontal="center"/>
    </xf>
    <xf numFmtId="0" fontId="101" fillId="2" borderId="13" xfId="2" applyFont="1" applyFill="1" applyBorder="1" applyAlignment="1">
      <alignment horizontal="center"/>
    </xf>
    <xf numFmtId="0" fontId="78" fillId="2" borderId="145" xfId="0" applyFont="1" applyFill="1" applyBorder="1" applyAlignment="1">
      <alignment horizontal="left" vertical="center"/>
    </xf>
    <xf numFmtId="0" fontId="11" fillId="2" borderId="0" xfId="0" applyFont="1" applyFill="1" applyAlignment="1">
      <alignment horizontal="right"/>
    </xf>
    <xf numFmtId="0" fontId="11" fillId="2" borderId="0" xfId="0" applyFont="1" applyFill="1" applyAlignment="1">
      <alignment horizontal="center" vertical="center" wrapText="1"/>
    </xf>
    <xf numFmtId="0" fontId="12" fillId="2" borderId="0" xfId="0" applyFont="1" applyFill="1" applyAlignment="1">
      <alignment horizontal="center" vertical="center"/>
    </xf>
    <xf numFmtId="0" fontId="278" fillId="2" borderId="0" xfId="0" quotePrefix="1" applyFont="1" applyFill="1" applyAlignment="1">
      <alignment horizontal="left" vertical="top"/>
    </xf>
    <xf numFmtId="0" fontId="278" fillId="2" borderId="0" xfId="0" quotePrefix="1" applyFont="1" applyFill="1" applyAlignment="1">
      <alignment horizontal="center" vertical="top"/>
    </xf>
    <xf numFmtId="174" fontId="101" fillId="2" borderId="0" xfId="1" quotePrefix="1" applyNumberFormat="1" applyFont="1" applyFill="1" applyAlignment="1" applyProtection="1">
      <alignment horizontal="right" vertical="center"/>
      <protection locked="0"/>
    </xf>
    <xf numFmtId="0" fontId="362" fillId="2" borderId="0" xfId="0" applyFont="1" applyFill="1" applyAlignment="1">
      <alignment horizontal="left"/>
    </xf>
    <xf numFmtId="0" fontId="9" fillId="2" borderId="12" xfId="0" applyFont="1" applyFill="1" applyBorder="1" applyAlignment="1">
      <alignment horizontal="left"/>
    </xf>
    <xf numFmtId="0" fontId="9" fillId="2" borderId="0" xfId="0" applyFont="1" applyFill="1" applyAlignment="1">
      <alignment horizontal="left"/>
    </xf>
    <xf numFmtId="0" fontId="9" fillId="2" borderId="13" xfId="0" applyFont="1" applyFill="1" applyBorder="1" applyAlignment="1">
      <alignment horizontal="left"/>
    </xf>
    <xf numFmtId="0" fontId="78" fillId="2" borderId="12" xfId="2" applyFont="1" applyFill="1" applyBorder="1" applyAlignment="1">
      <alignment horizontal="center"/>
    </xf>
    <xf numFmtId="0" fontId="78" fillId="2" borderId="0" xfId="2" applyFont="1" applyFill="1" applyAlignment="1">
      <alignment horizontal="center"/>
    </xf>
    <xf numFmtId="0" fontId="78" fillId="2" borderId="13" xfId="2" applyFont="1" applyFill="1" applyBorder="1" applyAlignment="1">
      <alignment horizontal="center"/>
    </xf>
    <xf numFmtId="0" fontId="166" fillId="2" borderId="12" xfId="2" applyFont="1" applyFill="1" applyBorder="1" applyAlignment="1">
      <alignment horizontal="center"/>
    </xf>
    <xf numFmtId="0" fontId="166" fillId="2" borderId="0" xfId="2" applyFont="1" applyFill="1" applyAlignment="1">
      <alignment horizontal="center"/>
    </xf>
    <xf numFmtId="0" fontId="166" fillId="2" borderId="13" xfId="2" applyFont="1" applyFill="1" applyBorder="1" applyAlignment="1">
      <alignment horizontal="center"/>
    </xf>
    <xf numFmtId="0" fontId="0" fillId="2" borderId="11" xfId="0" applyFill="1" applyBorder="1"/>
    <xf numFmtId="0" fontId="0" fillId="2" borderId="95" xfId="0" applyFill="1" applyBorder="1" applyAlignment="1">
      <alignment vertical="center"/>
    </xf>
    <xf numFmtId="0" fontId="0" fillId="2" borderId="145" xfId="0" applyFill="1" applyBorder="1" applyAlignment="1">
      <alignment vertical="center"/>
    </xf>
    <xf numFmtId="0" fontId="0" fillId="0" borderId="68" xfId="0" applyBorder="1"/>
    <xf numFmtId="0" fontId="11" fillId="2" borderId="68" xfId="0" applyFont="1" applyFill="1" applyBorder="1" applyAlignment="1">
      <alignment vertical="center"/>
    </xf>
    <xf numFmtId="0" fontId="138" fillId="2" borderId="0" xfId="2" applyFont="1" applyFill="1" applyAlignment="1">
      <alignment horizontal="left"/>
    </xf>
    <xf numFmtId="220" fontId="360" fillId="2" borderId="0" xfId="1" applyNumberFormat="1" applyFont="1" applyFill="1" applyAlignment="1" applyProtection="1">
      <alignment horizontal="left" vertical="center"/>
      <protection locked="0"/>
    </xf>
    <xf numFmtId="0" fontId="278" fillId="2" borderId="0" xfId="0" quotePrefix="1" applyFont="1" applyFill="1" applyAlignment="1">
      <alignment horizontal="right" vertical="top"/>
    </xf>
    <xf numFmtId="0" fontId="0" fillId="0" borderId="0" xfId="0" applyAlignment="1">
      <alignment horizontal="center" vertical="center"/>
    </xf>
    <xf numFmtId="0" fontId="0" fillId="2" borderId="37" xfId="0" applyFill="1" applyBorder="1"/>
    <xf numFmtId="0" fontId="137" fillId="2" borderId="0" xfId="0" quotePrefix="1" applyFont="1" applyFill="1" applyAlignment="1">
      <alignment vertical="center"/>
    </xf>
    <xf numFmtId="167" fontId="101" fillId="2" borderId="0" xfId="1" applyNumberFormat="1" applyFont="1" applyFill="1" applyAlignment="1" applyProtection="1">
      <alignment horizontal="center" vertical="center"/>
      <protection locked="0"/>
    </xf>
    <xf numFmtId="0" fontId="278" fillId="2" borderId="0" xfId="0" quotePrefix="1" applyFont="1" applyFill="1" applyAlignment="1">
      <alignment horizontal="center" vertical="center"/>
    </xf>
    <xf numFmtId="0" fontId="0" fillId="2" borderId="0" xfId="0" applyFill="1" applyAlignment="1">
      <alignment vertical="top"/>
    </xf>
    <xf numFmtId="0" fontId="362" fillId="13" borderId="36" xfId="0" applyFont="1" applyFill="1" applyBorder="1" applyAlignment="1">
      <alignment horizontal="center" vertical="center"/>
    </xf>
    <xf numFmtId="176" fontId="189" fillId="13" borderId="0" xfId="1" applyNumberFormat="1" applyFont="1" applyFill="1" applyAlignment="1" applyProtection="1">
      <alignment horizontal="center" vertical="center"/>
      <protection locked="0"/>
    </xf>
    <xf numFmtId="0" fontId="0" fillId="5" borderId="0" xfId="0" applyFill="1"/>
    <xf numFmtId="0" fontId="137" fillId="5" borderId="0" xfId="0" applyFont="1" applyFill="1"/>
    <xf numFmtId="176" fontId="101" fillId="2" borderId="0" xfId="1" applyNumberFormat="1" applyFont="1" applyFill="1" applyAlignment="1" applyProtection="1">
      <alignment horizontal="center" vertical="center"/>
      <protection locked="0"/>
    </xf>
    <xf numFmtId="176" fontId="121" fillId="13" borderId="0" xfId="1" applyNumberFormat="1" applyFont="1" applyFill="1" applyAlignment="1" applyProtection="1">
      <alignment horizontal="center" vertical="center"/>
      <protection locked="0"/>
    </xf>
    <xf numFmtId="174" fontId="101" fillId="2" borderId="0" xfId="1" quotePrefix="1" applyNumberFormat="1" applyFont="1" applyFill="1" applyAlignment="1" applyProtection="1">
      <alignment horizontal="center" vertical="center"/>
      <protection locked="0"/>
    </xf>
    <xf numFmtId="0" fontId="11" fillId="2" borderId="0" xfId="0" quotePrefix="1" applyFont="1" applyFill="1"/>
    <xf numFmtId="0" fontId="0" fillId="2" borderId="210" xfId="0" applyFill="1" applyBorder="1"/>
    <xf numFmtId="0" fontId="101" fillId="2" borderId="221" xfId="2" applyFont="1" applyFill="1" applyBorder="1" applyAlignment="1">
      <alignment horizontal="center" vertical="center"/>
    </xf>
    <xf numFmtId="0" fontId="12" fillId="2" borderId="203" xfId="0" applyFont="1" applyFill="1" applyBorder="1"/>
    <xf numFmtId="0" fontId="101" fillId="2" borderId="10" xfId="0" applyFont="1" applyFill="1" applyBorder="1" applyAlignment="1">
      <alignment horizontal="left"/>
    </xf>
    <xf numFmtId="0" fontId="11" fillId="2" borderId="10" xfId="0" applyFont="1" applyFill="1" applyBorder="1" applyAlignment="1">
      <alignment horizontal="left" vertical="center"/>
    </xf>
    <xf numFmtId="0" fontId="282" fillId="2" borderId="0" xfId="2" applyFont="1" applyFill="1" applyAlignment="1">
      <alignment horizontal="center" vertical="center"/>
    </xf>
    <xf numFmtId="0" fontId="11" fillId="2" borderId="10" xfId="0" applyFont="1" applyFill="1" applyBorder="1"/>
    <xf numFmtId="0" fontId="373" fillId="2" borderId="0" xfId="2" applyFont="1" applyFill="1" applyAlignment="1">
      <alignment horizontal="center" vertical="center"/>
    </xf>
    <xf numFmtId="0" fontId="0" fillId="33" borderId="149" xfId="0" applyFill="1" applyBorder="1" applyAlignment="1">
      <alignment horizontal="center"/>
    </xf>
    <xf numFmtId="0" fontId="0" fillId="33" borderId="97" xfId="0" applyFill="1" applyBorder="1" applyAlignment="1">
      <alignment horizontal="center"/>
    </xf>
    <xf numFmtId="0" fontId="0" fillId="33" borderId="242" xfId="0" applyFill="1" applyBorder="1" applyAlignment="1">
      <alignment horizontal="center"/>
    </xf>
    <xf numFmtId="174" fontId="11" fillId="2" borderId="0" xfId="0" applyNumberFormat="1" applyFont="1" applyFill="1" applyAlignment="1">
      <alignment horizontal="center" vertical="center"/>
    </xf>
    <xf numFmtId="0" fontId="282" fillId="2" borderId="13" xfId="2" applyFont="1" applyFill="1" applyBorder="1" applyAlignment="1">
      <alignment horizontal="right" vertical="center"/>
    </xf>
    <xf numFmtId="0" fontId="0" fillId="2" borderId="13" xfId="0" applyFill="1" applyBorder="1" applyAlignment="1">
      <alignment horizontal="right"/>
    </xf>
    <xf numFmtId="211" fontId="101" fillId="2" borderId="0" xfId="1" applyNumberFormat="1" applyFont="1" applyFill="1" applyAlignment="1" applyProtection="1">
      <alignment horizontal="center" vertical="center"/>
      <protection locked="0"/>
    </xf>
    <xf numFmtId="0" fontId="101" fillId="2" borderId="0" xfId="0" applyFont="1" applyFill="1" applyAlignment="1">
      <alignment horizontal="right"/>
    </xf>
    <xf numFmtId="0" fontId="78" fillId="0" borderId="0" xfId="0" applyFont="1"/>
    <xf numFmtId="0" fontId="373" fillId="2" borderId="13" xfId="2" applyFont="1" applyFill="1" applyBorder="1" applyAlignment="1">
      <alignment horizontal="right" vertical="center"/>
    </xf>
    <xf numFmtId="0" fontId="11" fillId="33" borderId="12" xfId="0" applyFont="1" applyFill="1" applyBorder="1" applyAlignment="1">
      <alignment horizontal="center" vertical="center"/>
    </xf>
    <xf numFmtId="0" fontId="11" fillId="33" borderId="0" xfId="0" applyFont="1" applyFill="1" applyAlignment="1">
      <alignment horizontal="center" vertical="center"/>
    </xf>
    <xf numFmtId="0" fontId="11" fillId="33" borderId="13" xfId="0" applyFont="1" applyFill="1" applyBorder="1" applyAlignment="1">
      <alignment horizontal="center" vertical="center"/>
    </xf>
    <xf numFmtId="176" fontId="11" fillId="2" borderId="0" xfId="0" applyNumberFormat="1" applyFont="1" applyFill="1" applyAlignment="1">
      <alignment horizontal="center" vertical="center"/>
    </xf>
    <xf numFmtId="176" fontId="189" fillId="17" borderId="0" xfId="1" applyNumberFormat="1" applyFont="1" applyFill="1" applyAlignment="1" applyProtection="1">
      <alignment horizontal="center" vertical="center"/>
      <protection locked="0"/>
    </xf>
    <xf numFmtId="174" fontId="209" fillId="2" borderId="0" xfId="1" quotePrefix="1" applyNumberFormat="1" applyFont="1" applyFill="1" applyAlignment="1" applyProtection="1">
      <alignment horizontal="center" vertical="center"/>
      <protection locked="0"/>
    </xf>
    <xf numFmtId="176" fontId="121" fillId="17" borderId="0" xfId="1" applyNumberFormat="1" applyFont="1" applyFill="1" applyAlignment="1" applyProtection="1">
      <alignment horizontal="center" vertical="center"/>
      <protection locked="0"/>
    </xf>
    <xf numFmtId="0" fontId="0" fillId="2" borderId="309" xfId="0" applyFill="1" applyBorder="1"/>
    <xf numFmtId="0" fontId="0" fillId="2" borderId="310" xfId="0" applyFill="1" applyBorder="1"/>
    <xf numFmtId="0" fontId="78" fillId="2" borderId="310" xfId="0" applyFont="1" applyFill="1" applyBorder="1" applyAlignment="1">
      <alignment horizontal="left" vertical="center"/>
    </xf>
    <xf numFmtId="0" fontId="9" fillId="2" borderId="310" xfId="0" applyFont="1" applyFill="1" applyBorder="1"/>
    <xf numFmtId="0" fontId="12" fillId="2" borderId="311" xfId="0" applyFont="1" applyFill="1" applyBorder="1"/>
    <xf numFmtId="0" fontId="379" fillId="2" borderId="0" xfId="1" applyFont="1" applyFill="1" applyAlignment="1" applyProtection="1">
      <alignment horizontal="center" vertical="center"/>
      <protection locked="0"/>
    </xf>
    <xf numFmtId="0" fontId="379" fillId="33" borderId="0" xfId="1" applyFont="1" applyFill="1" applyAlignment="1" applyProtection="1">
      <alignment horizontal="center" vertical="center"/>
      <protection locked="0"/>
    </xf>
    <xf numFmtId="174" fontId="101" fillId="2" borderId="0" xfId="1" applyNumberFormat="1" applyFont="1" applyFill="1" applyAlignment="1" applyProtection="1">
      <alignment vertical="center"/>
      <protection locked="0"/>
    </xf>
    <xf numFmtId="0" fontId="362" fillId="2" borderId="0" xfId="0" applyFont="1" applyFill="1" applyAlignment="1">
      <alignment vertical="center"/>
    </xf>
    <xf numFmtId="174" fontId="101" fillId="2" borderId="0" xfId="1" applyNumberFormat="1" applyFont="1" applyFill="1" applyAlignment="1" applyProtection="1">
      <alignment horizontal="left" vertical="center"/>
      <protection locked="0"/>
    </xf>
    <xf numFmtId="0" fontId="78" fillId="2" borderId="0" xfId="0" applyFont="1" applyFill="1" applyAlignment="1">
      <alignment vertical="center"/>
    </xf>
    <xf numFmtId="0" fontId="362" fillId="13" borderId="10" xfId="0" applyFont="1" applyFill="1" applyBorder="1" applyAlignment="1">
      <alignment horizontal="center" vertical="center"/>
    </xf>
    <xf numFmtId="176" fontId="121" fillId="13" borderId="10" xfId="1" applyNumberFormat="1" applyFont="1" applyFill="1" applyBorder="1" applyAlignment="1" applyProtection="1">
      <alignment horizontal="center" vertical="center"/>
      <protection locked="0"/>
    </xf>
    <xf numFmtId="0" fontId="380" fillId="4" borderId="13" xfId="2" applyFont="1" applyFill="1" applyBorder="1" applyAlignment="1">
      <alignment horizontal="center" vertical="center"/>
    </xf>
    <xf numFmtId="0" fontId="0" fillId="2" borderId="0" xfId="0" quotePrefix="1" applyFill="1" applyAlignment="1">
      <alignment vertical="top"/>
    </xf>
    <xf numFmtId="0" fontId="11" fillId="2" borderId="0" xfId="0" quotePrefix="1" applyFont="1" applyFill="1" applyAlignment="1">
      <alignment horizontal="right" vertical="top"/>
    </xf>
    <xf numFmtId="0" fontId="11" fillId="2" borderId="13" xfId="0" applyFont="1" applyFill="1" applyBorder="1" applyAlignment="1">
      <alignment horizontal="right" vertical="center"/>
    </xf>
    <xf numFmtId="0" fontId="381" fillId="4" borderId="13" xfId="2" applyFont="1" applyFill="1" applyBorder="1" applyAlignment="1">
      <alignment horizontal="center" vertical="center"/>
    </xf>
    <xf numFmtId="0" fontId="0" fillId="2" borderId="100" xfId="0" applyFill="1" applyBorder="1"/>
    <xf numFmtId="0" fontId="0" fillId="2" borderId="2" xfId="0" applyFill="1" applyBorder="1"/>
    <xf numFmtId="0" fontId="0" fillId="2" borderId="2" xfId="0" applyFill="1" applyBorder="1" applyAlignment="1">
      <alignment horizontal="left"/>
    </xf>
    <xf numFmtId="0" fontId="0" fillId="2" borderId="2" xfId="0" applyFill="1" applyBorder="1" applyAlignment="1">
      <alignment vertical="center"/>
    </xf>
    <xf numFmtId="0" fontId="0" fillId="2" borderId="101" xfId="0" applyFill="1" applyBorder="1"/>
    <xf numFmtId="0" fontId="362" fillId="13" borderId="0" xfId="0" applyFont="1" applyFill="1" applyAlignment="1">
      <alignment horizontal="center" vertical="center"/>
    </xf>
    <xf numFmtId="0" fontId="0" fillId="79" borderId="239" xfId="0" applyFill="1" applyBorder="1"/>
    <xf numFmtId="0" fontId="0" fillId="79" borderId="238" xfId="0" applyFill="1" applyBorder="1"/>
    <xf numFmtId="0" fontId="0" fillId="79" borderId="238" xfId="0" applyFill="1" applyBorder="1" applyAlignment="1">
      <alignment horizontal="left"/>
    </xf>
    <xf numFmtId="0" fontId="0" fillId="79" borderId="315" xfId="0" applyFill="1" applyBorder="1"/>
    <xf numFmtId="0" fontId="0" fillId="79" borderId="12" xfId="0" applyFill="1" applyBorder="1"/>
    <xf numFmtId="0" fontId="16" fillId="79" borderId="0" xfId="0" quotePrefix="1" applyFont="1" applyFill="1" applyAlignment="1">
      <alignment horizontal="right" vertical="center"/>
    </xf>
    <xf numFmtId="0" fontId="0" fillId="79" borderId="0" xfId="0" applyFill="1" applyAlignment="1">
      <alignment horizontal="left"/>
    </xf>
    <xf numFmtId="0" fontId="0" fillId="79" borderId="316" xfId="0" applyFill="1" applyBorder="1"/>
    <xf numFmtId="0" fontId="0" fillId="79" borderId="210" xfId="0" applyFill="1" applyBorder="1"/>
    <xf numFmtId="0" fontId="0" fillId="79" borderId="221" xfId="0" applyFill="1" applyBorder="1"/>
    <xf numFmtId="0" fontId="0" fillId="79" borderId="209" xfId="0" applyFill="1" applyBorder="1"/>
    <xf numFmtId="0" fontId="101" fillId="2" borderId="10" xfId="0" applyFont="1" applyFill="1" applyBorder="1" applyAlignment="1">
      <alignment horizontal="center" vertical="center"/>
    </xf>
    <xf numFmtId="0" fontId="101" fillId="2" borderId="0" xfId="1" applyFont="1" applyFill="1" applyAlignment="1" applyProtection="1">
      <alignment horizontal="center" vertical="center"/>
      <protection locked="0"/>
    </xf>
    <xf numFmtId="0" fontId="382" fillId="4" borderId="13" xfId="2" applyFont="1" applyFill="1" applyBorder="1" applyAlignment="1">
      <alignment horizontal="center" vertical="center"/>
    </xf>
    <xf numFmtId="0" fontId="0" fillId="2" borderId="239" xfId="0" applyFill="1" applyBorder="1"/>
    <xf numFmtId="0" fontId="0" fillId="2" borderId="238" xfId="0" applyFill="1" applyBorder="1"/>
    <xf numFmtId="0" fontId="0" fillId="2" borderId="220" xfId="0" applyFill="1" applyBorder="1"/>
    <xf numFmtId="0" fontId="165" fillId="2" borderId="0" xfId="0" applyFont="1" applyFill="1" applyAlignment="1">
      <alignment vertical="center"/>
    </xf>
    <xf numFmtId="0" fontId="165" fillId="2" borderId="13" xfId="0" applyFont="1" applyFill="1" applyBorder="1"/>
    <xf numFmtId="0" fontId="0" fillId="2" borderId="145" xfId="0" applyFill="1" applyBorder="1" applyAlignment="1">
      <alignment horizontal="left" vertical="center"/>
    </xf>
    <xf numFmtId="0" fontId="0" fillId="2" borderId="97" xfId="0" applyFill="1" applyBorder="1" applyAlignment="1">
      <alignment horizontal="left" vertical="center"/>
    </xf>
    <xf numFmtId="0" fontId="0" fillId="2" borderId="242" xfId="0" applyFill="1" applyBorder="1"/>
    <xf numFmtId="221" fontId="101" fillId="2" borderId="0" xfId="1" applyNumberFormat="1" applyFont="1" applyFill="1" applyAlignment="1" applyProtection="1">
      <alignment horizontal="center" vertical="center"/>
      <protection locked="0"/>
    </xf>
    <xf numFmtId="222" fontId="101" fillId="2" borderId="0" xfId="1" applyNumberFormat="1" applyFont="1" applyFill="1" applyAlignment="1" applyProtection="1">
      <alignment horizontal="center" vertical="center"/>
      <protection locked="0"/>
    </xf>
    <xf numFmtId="176" fontId="101" fillId="2" borderId="12" xfId="1" applyNumberFormat="1" applyFont="1" applyFill="1" applyBorder="1" applyAlignment="1" applyProtection="1">
      <alignment horizontal="center" vertical="center"/>
      <protection locked="0"/>
    </xf>
    <xf numFmtId="211" fontId="121" fillId="2" borderId="0" xfId="1" applyNumberFormat="1" applyFont="1" applyFill="1" applyAlignment="1" applyProtection="1">
      <alignment horizontal="center" vertical="center"/>
      <protection locked="0"/>
    </xf>
    <xf numFmtId="0" fontId="362" fillId="2" borderId="0" xfId="0" applyFont="1" applyFill="1" applyAlignment="1">
      <alignment horizontal="right"/>
    </xf>
    <xf numFmtId="211" fontId="121" fillId="13" borderId="0" xfId="1" applyNumberFormat="1" applyFont="1" applyFill="1" applyAlignment="1" applyProtection="1">
      <alignment horizontal="center" vertical="center"/>
      <protection locked="0"/>
    </xf>
    <xf numFmtId="171" fontId="362" fillId="2" borderId="0" xfId="1" applyNumberFormat="1" applyFont="1" applyFill="1" applyAlignment="1" applyProtection="1">
      <alignment horizontal="left" vertical="center"/>
      <protection locked="0"/>
    </xf>
    <xf numFmtId="176" fontId="362" fillId="2" borderId="0" xfId="1" applyNumberFormat="1" applyFont="1" applyFill="1" applyAlignment="1" applyProtection="1">
      <alignment horizontal="center" vertical="center"/>
      <protection locked="0"/>
    </xf>
    <xf numFmtId="174" fontId="101" fillId="2" borderId="10" xfId="1" applyNumberFormat="1" applyFont="1" applyFill="1" applyBorder="1" applyAlignment="1" applyProtection="1">
      <alignment horizontal="left" vertical="center"/>
      <protection locked="0"/>
    </xf>
    <xf numFmtId="0" fontId="101" fillId="2" borderId="10" xfId="1" applyFont="1" applyFill="1" applyBorder="1" applyAlignment="1" applyProtection="1">
      <alignment horizontal="center" vertical="center"/>
      <protection locked="0"/>
    </xf>
    <xf numFmtId="174" fontId="101" fillId="2" borderId="10" xfId="1" quotePrefix="1" applyNumberFormat="1" applyFont="1" applyFill="1" applyBorder="1" applyAlignment="1" applyProtection="1">
      <alignment horizontal="center" vertical="center"/>
      <protection locked="0"/>
    </xf>
    <xf numFmtId="0" fontId="362" fillId="2" borderId="0" xfId="0" applyFont="1" applyFill="1" applyAlignment="1">
      <alignment horizontal="center" vertical="center"/>
    </xf>
    <xf numFmtId="176" fontId="101" fillId="2" borderId="10" xfId="1" applyNumberFormat="1" applyFont="1" applyFill="1" applyBorder="1" applyAlignment="1" applyProtection="1">
      <alignment horizontal="center" vertical="center"/>
      <protection locked="0"/>
    </xf>
    <xf numFmtId="0" fontId="189" fillId="13" borderId="10" xfId="1" applyFont="1" applyFill="1" applyBorder="1" applyAlignment="1" applyProtection="1">
      <alignment horizontal="center" vertical="center"/>
      <protection locked="0"/>
    </xf>
    <xf numFmtId="0" fontId="11" fillId="2" borderId="13" xfId="0" applyFont="1" applyFill="1" applyBorder="1" applyAlignment="1">
      <alignment horizontal="right"/>
    </xf>
    <xf numFmtId="0" fontId="137" fillId="2" borderId="0" xfId="0" quotePrefix="1" applyFont="1" applyFill="1" applyAlignment="1">
      <alignment horizontal="center" vertical="center"/>
    </xf>
    <xf numFmtId="0" fontId="0" fillId="2" borderId="0" xfId="0" quotePrefix="1" applyFill="1" applyAlignment="1">
      <alignment horizontal="right" vertical="top"/>
    </xf>
    <xf numFmtId="176" fontId="189" fillId="13" borderId="10" xfId="1" applyNumberFormat="1" applyFont="1" applyFill="1" applyBorder="1" applyAlignment="1" applyProtection="1">
      <alignment horizontal="center" vertical="center"/>
      <protection locked="0"/>
    </xf>
    <xf numFmtId="0" fontId="165" fillId="2" borderId="0" xfId="0" quotePrefix="1" applyFont="1" applyFill="1" applyAlignment="1">
      <alignment horizontal="right" vertical="top"/>
    </xf>
    <xf numFmtId="0" fontId="68" fillId="24" borderId="0" xfId="2" applyFont="1" applyFill="1" applyAlignment="1">
      <alignment horizontal="center" vertical="center"/>
    </xf>
    <xf numFmtId="0" fontId="0" fillId="2" borderId="221" xfId="0" applyFill="1" applyBorder="1"/>
    <xf numFmtId="0" fontId="0" fillId="0" borderId="145" xfId="0" applyBorder="1"/>
    <xf numFmtId="0" fontId="11" fillId="2" borderId="145" xfId="0" applyFont="1" applyFill="1" applyBorder="1" applyAlignment="1">
      <alignment vertical="top"/>
    </xf>
    <xf numFmtId="0" fontId="0" fillId="2" borderId="0" xfId="0" applyFill="1" applyAlignment="1">
      <alignment horizontal="right" vertical="top"/>
    </xf>
    <xf numFmtId="0" fontId="11" fillId="2" borderId="13" xfId="0" applyFont="1" applyFill="1" applyBorder="1" applyAlignment="1">
      <alignment vertical="top"/>
    </xf>
    <xf numFmtId="0" fontId="78" fillId="2" borderId="0" xfId="0" applyFont="1" applyFill="1" applyAlignment="1">
      <alignment horizontal="right" vertical="center"/>
    </xf>
    <xf numFmtId="176" fontId="189" fillId="13" borderId="36" xfId="1" applyNumberFormat="1" applyFont="1" applyFill="1" applyBorder="1" applyAlignment="1" applyProtection="1">
      <alignment horizontal="center" vertical="center"/>
      <protection locked="0"/>
    </xf>
    <xf numFmtId="211" fontId="362" fillId="2" borderId="0" xfId="1" applyNumberFormat="1" applyFont="1" applyFill="1" applyAlignment="1" applyProtection="1">
      <alignment horizontal="left" vertical="center"/>
      <protection locked="0"/>
    </xf>
    <xf numFmtId="0" fontId="371" fillId="2" borderId="10" xfId="0" applyFont="1" applyFill="1" applyBorder="1" applyAlignment="1">
      <alignment horizontal="center"/>
    </xf>
    <xf numFmtId="0" fontId="11" fillId="2" borderId="13" xfId="0" applyFont="1" applyFill="1" applyBorder="1" applyAlignment="1">
      <alignment horizontal="left" vertical="center"/>
    </xf>
    <xf numFmtId="0" fontId="78" fillId="2" borderId="0" xfId="0" applyFont="1" applyFill="1" applyAlignment="1">
      <alignment horizontal="left"/>
    </xf>
    <xf numFmtId="0" fontId="11" fillId="2" borderId="0" xfId="0" applyFont="1" applyFill="1" applyAlignment="1">
      <alignment vertical="top"/>
    </xf>
    <xf numFmtId="0" fontId="0" fillId="0" borderId="309" xfId="0" applyBorder="1"/>
    <xf numFmtId="0" fontId="0" fillId="0" borderId="310" xfId="0" applyBorder="1"/>
    <xf numFmtId="0" fontId="0" fillId="2" borderId="5" xfId="0" applyFill="1" applyBorder="1"/>
    <xf numFmtId="176" fontId="101" fillId="2" borderId="0" xfId="1" applyNumberFormat="1" applyFont="1" applyFill="1" applyAlignment="1" applyProtection="1">
      <alignment horizontal="left" vertical="center"/>
      <protection locked="0"/>
    </xf>
    <xf numFmtId="0" fontId="362" fillId="2" borderId="0" xfId="0" applyFont="1" applyFill="1" applyAlignment="1">
      <alignment horizontal="center"/>
    </xf>
    <xf numFmtId="0" fontId="362" fillId="13" borderId="0" xfId="0" applyFont="1" applyFill="1" applyAlignment="1">
      <alignment horizontal="center"/>
    </xf>
    <xf numFmtId="0" fontId="0" fillId="2" borderId="317" xfId="0" applyFill="1" applyBorder="1"/>
    <xf numFmtId="174" fontId="101" fillId="2" borderId="10" xfId="1" applyNumberFormat="1" applyFont="1" applyFill="1" applyBorder="1" applyAlignment="1" applyProtection="1">
      <alignment vertical="center"/>
      <protection locked="0"/>
    </xf>
    <xf numFmtId="0" fontId="0" fillId="2" borderId="10" xfId="0" applyFill="1" applyBorder="1" applyAlignment="1">
      <alignment vertical="center"/>
    </xf>
    <xf numFmtId="176" fontId="189" fillId="2" borderId="0" xfId="1" applyNumberFormat="1" applyFont="1" applyFill="1" applyAlignment="1" applyProtection="1">
      <alignment horizontal="center" vertical="center"/>
      <protection locked="0"/>
    </xf>
    <xf numFmtId="0" fontId="244" fillId="2" borderId="5" xfId="2" applyFont="1" applyFill="1" applyBorder="1" applyAlignment="1">
      <alignment horizontal="center" vertical="center"/>
    </xf>
    <xf numFmtId="0" fontId="78" fillId="2" borderId="145" xfId="0" applyFont="1" applyFill="1" applyBorder="1" applyAlignment="1">
      <alignment horizontal="right" vertical="center"/>
    </xf>
    <xf numFmtId="0" fontId="0" fillId="2" borderId="145" xfId="0" applyFill="1" applyBorder="1" applyAlignment="1">
      <alignment horizontal="center"/>
    </xf>
    <xf numFmtId="0" fontId="377" fillId="2" borderId="145" xfId="0" applyFont="1" applyFill="1" applyBorder="1" applyAlignment="1">
      <alignment vertical="center"/>
    </xf>
    <xf numFmtId="0" fontId="362" fillId="13" borderId="10" xfId="0" applyFont="1" applyFill="1" applyBorder="1" applyAlignment="1">
      <alignment horizontal="center"/>
    </xf>
    <xf numFmtId="0" fontId="0" fillId="2" borderId="10" xfId="0" applyFill="1" applyBorder="1" applyAlignment="1">
      <alignment horizontal="left"/>
    </xf>
    <xf numFmtId="0" fontId="11" fillId="2" borderId="145" xfId="0" applyFont="1" applyFill="1" applyBorder="1" applyAlignment="1">
      <alignment vertical="center"/>
    </xf>
    <xf numFmtId="0" fontId="244" fillId="4" borderId="5" xfId="2" applyFont="1" applyFill="1" applyBorder="1" applyAlignment="1">
      <alignment horizontal="center" vertical="center"/>
    </xf>
    <xf numFmtId="0" fontId="12" fillId="2" borderId="0" xfId="0" applyFont="1" applyFill="1" applyAlignment="1">
      <alignment vertical="center"/>
    </xf>
    <xf numFmtId="0" fontId="12" fillId="2" borderId="145" xfId="0" applyFont="1" applyFill="1" applyBorder="1" applyAlignment="1">
      <alignment vertical="center"/>
    </xf>
    <xf numFmtId="0" fontId="0" fillId="2" borderId="318" xfId="0" applyFill="1" applyBorder="1"/>
    <xf numFmtId="0" fontId="12" fillId="2" borderId="319" xfId="0" applyFont="1" applyFill="1" applyBorder="1" applyAlignment="1">
      <alignment vertical="center"/>
    </xf>
    <xf numFmtId="0" fontId="0" fillId="0" borderId="5" xfId="0" applyBorder="1"/>
    <xf numFmtId="0" fontId="78" fillId="2" borderId="0" xfId="2" applyFont="1" applyFill="1" applyAlignment="1">
      <alignment vertical="center"/>
    </xf>
    <xf numFmtId="0" fontId="242" fillId="24" borderId="203" xfId="2" applyFont="1" applyFill="1" applyBorder="1" applyAlignment="1">
      <alignment horizontal="center" vertical="center"/>
    </xf>
    <xf numFmtId="0" fontId="375" fillId="39" borderId="11" xfId="0" applyFont="1" applyFill="1" applyBorder="1" applyAlignment="1">
      <alignment horizontal="center"/>
    </xf>
    <xf numFmtId="0" fontId="375" fillId="39" borderId="37" xfId="0" applyFont="1" applyFill="1" applyBorder="1" applyAlignment="1">
      <alignment horizontal="center"/>
    </xf>
    <xf numFmtId="0" fontId="0" fillId="39" borderId="209" xfId="0" applyFill="1" applyBorder="1"/>
    <xf numFmtId="0" fontId="0" fillId="39" borderId="221" xfId="0" applyFill="1" applyBorder="1"/>
    <xf numFmtId="0" fontId="0" fillId="39" borderId="210" xfId="0" applyFill="1" applyBorder="1"/>
    <xf numFmtId="0" fontId="0" fillId="39" borderId="315" xfId="0" applyFill="1" applyBorder="1"/>
    <xf numFmtId="0" fontId="0" fillId="39" borderId="238" xfId="0" applyFill="1" applyBorder="1"/>
    <xf numFmtId="0" fontId="0" fillId="39" borderId="239" xfId="0" applyFill="1" applyBorder="1"/>
    <xf numFmtId="0" fontId="69" fillId="8" borderId="320" xfId="2" applyFont="1" applyFill="1" applyBorder="1" applyAlignment="1">
      <alignment horizontal="center" vertical="center"/>
    </xf>
    <xf numFmtId="0" fontId="97" fillId="5" borderId="68" xfId="1" applyFont="1" applyFill="1" applyBorder="1" applyAlignment="1">
      <alignment horizontal="center" vertical="center"/>
    </xf>
    <xf numFmtId="0" fontId="14" fillId="2" borderId="145" xfId="2" applyFont="1" applyFill="1" applyBorder="1" applyAlignment="1">
      <alignment horizontal="left" vertical="center"/>
    </xf>
    <xf numFmtId="0" fontId="13" fillId="2" borderId="145" xfId="0" applyFont="1" applyFill="1" applyBorder="1"/>
    <xf numFmtId="0" fontId="64" fillId="0" borderId="145" xfId="6" applyBorder="1"/>
    <xf numFmtId="0" fontId="14" fillId="2" borderId="145" xfId="0" applyFont="1" applyFill="1" applyBorder="1" applyAlignment="1">
      <alignment horizontal="right" vertical="center"/>
    </xf>
    <xf numFmtId="0" fontId="385" fillId="24" borderId="95" xfId="0" applyFont="1" applyFill="1" applyBorder="1" applyAlignment="1">
      <alignment horizontal="center" vertical="center"/>
    </xf>
    <xf numFmtId="0" fontId="13" fillId="2" borderId="13" xfId="0" applyFont="1" applyFill="1" applyBorder="1"/>
    <xf numFmtId="0" fontId="13" fillId="2" borderId="0" xfId="0" applyFont="1" applyFill="1"/>
    <xf numFmtId="0" fontId="64" fillId="2" borderId="12" xfId="6" applyFill="1" applyBorder="1"/>
    <xf numFmtId="0" fontId="64" fillId="2" borderId="13" xfId="6" applyFill="1" applyBorder="1"/>
    <xf numFmtId="0" fontId="15" fillId="2" borderId="0" xfId="6" applyFont="1" applyFill="1" applyAlignment="1" applyProtection="1">
      <alignment vertical="center"/>
      <protection locked="0"/>
    </xf>
    <xf numFmtId="0" fontId="15" fillId="2" borderId="0" xfId="6" applyFont="1" applyFill="1" applyAlignment="1" applyProtection="1">
      <alignment horizontal="right" vertical="center"/>
      <protection locked="0"/>
    </xf>
    <xf numFmtId="0" fontId="386" fillId="59" borderId="0" xfId="2" applyFont="1" applyFill="1" applyAlignment="1">
      <alignment horizontal="center" vertical="center"/>
    </xf>
    <xf numFmtId="207" fontId="189" fillId="59" borderId="0" xfId="2" applyNumberFormat="1" applyFont="1" applyFill="1" applyAlignment="1">
      <alignment vertical="center"/>
    </xf>
    <xf numFmtId="0" fontId="15" fillId="2" borderId="0" xfId="0" applyFont="1" applyFill="1" applyAlignment="1">
      <alignment vertical="center"/>
    </xf>
    <xf numFmtId="0" fontId="27" fillId="2" borderId="0" xfId="0" applyFont="1" applyFill="1"/>
    <xf numFmtId="0" fontId="27" fillId="2" borderId="0" xfId="0" applyFont="1" applyFill="1" applyAlignment="1">
      <alignment horizontal="right"/>
    </xf>
    <xf numFmtId="0" fontId="15" fillId="2" borderId="0" xfId="5" applyFont="1" applyFill="1" applyAlignment="1">
      <alignment vertical="center"/>
    </xf>
    <xf numFmtId="0" fontId="15" fillId="2" borderId="0" xfId="5" applyFont="1" applyFill="1" applyAlignment="1">
      <alignment horizontal="right" vertical="center"/>
    </xf>
    <xf numFmtId="207" fontId="101" fillId="58" borderId="0" xfId="2" applyNumberFormat="1" applyFont="1" applyFill="1" applyAlignment="1">
      <alignment vertical="center"/>
    </xf>
    <xf numFmtId="0" fontId="15" fillId="2" borderId="0" xfId="0" applyFont="1" applyFill="1" applyAlignment="1">
      <alignment horizontal="center" vertical="center"/>
    </xf>
    <xf numFmtId="0" fontId="15" fillId="58" borderId="0" xfId="2" applyFont="1" applyFill="1" applyAlignment="1">
      <alignment horizontal="center" vertical="center"/>
    </xf>
    <xf numFmtId="0" fontId="64" fillId="2" borderId="12" xfId="6" applyFill="1" applyBorder="1" applyAlignment="1">
      <alignment horizontal="center"/>
    </xf>
    <xf numFmtId="0" fontId="27" fillId="2" borderId="13" xfId="0" applyFont="1" applyFill="1" applyBorder="1"/>
    <xf numFmtId="0" fontId="15" fillId="2" borderId="0" xfId="0" applyFont="1" applyFill="1" applyAlignment="1">
      <alignment horizontal="right" vertical="center"/>
    </xf>
    <xf numFmtId="0" fontId="15" fillId="58" borderId="0" xfId="2" applyFont="1" applyFill="1" applyAlignment="1">
      <alignment horizontal="left" vertical="center"/>
    </xf>
    <xf numFmtId="207" fontId="15" fillId="58" borderId="0" xfId="2" applyNumberFormat="1" applyFont="1" applyFill="1" applyAlignment="1">
      <alignment vertical="center"/>
    </xf>
    <xf numFmtId="207" fontId="15" fillId="2" borderId="0" xfId="0" applyNumberFormat="1" applyFont="1" applyFill="1" applyAlignment="1">
      <alignment horizontal="center" vertical="center"/>
    </xf>
    <xf numFmtId="165" fontId="194" fillId="8" borderId="13" xfId="5" applyNumberFormat="1" applyFont="1" applyFill="1" applyBorder="1" applyAlignment="1">
      <alignment vertical="center"/>
    </xf>
    <xf numFmtId="165" fontId="194" fillId="7" borderId="0" xfId="5" applyNumberFormat="1" applyFont="1" applyFill="1" applyAlignment="1">
      <alignment vertical="center"/>
    </xf>
    <xf numFmtId="165" fontId="194" fillId="7" borderId="12" xfId="5" applyNumberFormat="1" applyFont="1" applyFill="1" applyBorder="1" applyAlignment="1">
      <alignment vertical="center"/>
    </xf>
    <xf numFmtId="0" fontId="78" fillId="4" borderId="11" xfId="4" applyFont="1" applyFill="1" applyBorder="1" applyAlignment="1">
      <alignment vertical="center"/>
    </xf>
    <xf numFmtId="0" fontId="78" fillId="4" borderId="10" xfId="4" applyFont="1" applyFill="1" applyBorder="1" applyAlignment="1">
      <alignment vertical="center"/>
    </xf>
    <xf numFmtId="0" fontId="64" fillId="2" borderId="9" xfId="6" applyFill="1" applyBorder="1"/>
    <xf numFmtId="207" fontId="34" fillId="58" borderId="0" xfId="2" applyNumberFormat="1" applyFont="1" applyFill="1" applyAlignment="1">
      <alignment horizontal="center" vertical="center"/>
    </xf>
    <xf numFmtId="0" fontId="27" fillId="0" borderId="0" xfId="0" applyFont="1"/>
    <xf numFmtId="207" fontId="15" fillId="58" borderId="0" xfId="2" applyNumberFormat="1" applyFont="1" applyFill="1" applyAlignment="1">
      <alignment horizontal="left" vertical="center"/>
    </xf>
    <xf numFmtId="0" fontId="36" fillId="63" borderId="97" xfId="6" applyFont="1" applyFill="1" applyBorder="1" applyAlignment="1" applyProtection="1">
      <alignment horizontal="center" vertical="center"/>
      <protection locked="0"/>
    </xf>
    <xf numFmtId="0" fontId="36" fillId="63" borderId="97" xfId="6" applyFont="1" applyFill="1" applyBorder="1" applyAlignment="1" applyProtection="1">
      <alignment horizontal="left" vertical="center"/>
      <protection locked="0"/>
    </xf>
    <xf numFmtId="169" fontId="296" fillId="64" borderId="165" xfId="6" applyNumberFormat="1" applyFont="1" applyFill="1" applyBorder="1" applyAlignment="1" applyProtection="1">
      <alignment horizontal="center" vertical="center"/>
      <protection locked="0"/>
    </xf>
    <xf numFmtId="169" fontId="25" fillId="63" borderId="200" xfId="6" applyNumberFormat="1" applyFont="1" applyFill="1" applyBorder="1" applyAlignment="1" applyProtection="1">
      <alignment horizontal="center" vertical="center"/>
      <protection locked="0"/>
    </xf>
    <xf numFmtId="213" fontId="34" fillId="4" borderId="97" xfId="6" applyNumberFormat="1" applyFont="1" applyFill="1" applyBorder="1" applyAlignment="1" applyProtection="1">
      <alignment horizontal="right" vertical="center"/>
      <protection locked="0"/>
    </xf>
    <xf numFmtId="215" fontId="34" fillId="4" borderId="97" xfId="0" applyNumberFormat="1" applyFont="1" applyFill="1" applyBorder="1" applyAlignment="1">
      <alignment horizontal="center" vertical="center"/>
    </xf>
    <xf numFmtId="1" fontId="13" fillId="4" borderId="146" xfId="6" applyNumberFormat="1" applyFont="1" applyFill="1" applyBorder="1" applyAlignment="1" applyProtection="1">
      <alignment horizontal="left" vertical="center"/>
      <protection locked="0"/>
    </xf>
    <xf numFmtId="213" fontId="34" fillId="4" borderId="200" xfId="6" applyNumberFormat="1" applyFont="1" applyFill="1" applyBorder="1" applyAlignment="1" applyProtection="1">
      <alignment horizontal="right" vertical="center"/>
      <protection locked="0"/>
    </xf>
    <xf numFmtId="214" fontId="34" fillId="4" borderId="97" xfId="0" applyNumberFormat="1" applyFont="1" applyFill="1" applyBorder="1" applyAlignment="1">
      <alignment horizontal="center" vertical="center"/>
    </xf>
    <xf numFmtId="1" fontId="13" fillId="4" borderId="149" xfId="6" applyNumberFormat="1" applyFont="1" applyFill="1" applyBorder="1" applyAlignment="1" applyProtection="1">
      <alignment horizontal="left" vertical="center"/>
      <protection locked="0"/>
    </xf>
    <xf numFmtId="0" fontId="0" fillId="2" borderId="164" xfId="0" applyFill="1" applyBorder="1"/>
    <xf numFmtId="0" fontId="54" fillId="65" borderId="325" xfId="6" applyFont="1" applyFill="1" applyBorder="1" applyAlignment="1" applyProtection="1">
      <alignment horizontal="right" vertical="center" wrapText="1"/>
      <protection locked="0"/>
    </xf>
    <xf numFmtId="0" fontId="36" fillId="65" borderId="325" xfId="6" applyFont="1" applyFill="1" applyBorder="1" applyAlignment="1" applyProtection="1">
      <alignment horizontal="center" vertical="center"/>
      <protection locked="0"/>
    </xf>
    <xf numFmtId="0" fontId="36" fillId="65" borderId="325" xfId="6" applyFont="1" applyFill="1" applyBorder="1" applyAlignment="1" applyProtection="1">
      <alignment horizontal="left" vertical="center"/>
      <protection locked="0"/>
    </xf>
    <xf numFmtId="169" fontId="296" fillId="65" borderId="325" xfId="6" applyNumberFormat="1" applyFont="1" applyFill="1" applyBorder="1" applyAlignment="1" applyProtection="1">
      <alignment horizontal="center" vertical="center"/>
      <protection locked="0"/>
    </xf>
    <xf numFmtId="169" fontId="25" fillId="65" borderId="325" xfId="6" applyNumberFormat="1" applyFont="1" applyFill="1" applyBorder="1" applyAlignment="1" applyProtection="1">
      <alignment horizontal="center" vertical="center"/>
      <protection locked="0"/>
    </xf>
    <xf numFmtId="0" fontId="25" fillId="2" borderId="325" xfId="6" applyFont="1" applyFill="1" applyBorder="1" applyAlignment="1" applyProtection="1">
      <alignment horizontal="left" vertical="center"/>
      <protection locked="0"/>
    </xf>
    <xf numFmtId="213" fontId="34" fillId="2" borderId="325" xfId="6" applyNumberFormat="1" applyFont="1" applyFill="1" applyBorder="1" applyAlignment="1" applyProtection="1">
      <alignment horizontal="right" vertical="center"/>
      <protection locked="0"/>
    </xf>
    <xf numFmtId="215" fontId="34" fillId="2" borderId="325" xfId="0" applyNumberFormat="1" applyFont="1" applyFill="1" applyBorder="1" applyAlignment="1">
      <alignment horizontal="center" vertical="center"/>
    </xf>
    <xf numFmtId="1" fontId="13" fillId="2" borderId="325" xfId="6" applyNumberFormat="1" applyFont="1" applyFill="1" applyBorder="1" applyAlignment="1" applyProtection="1">
      <alignment horizontal="left" vertical="center"/>
      <protection locked="0"/>
    </xf>
    <xf numFmtId="214" fontId="34" fillId="2" borderId="325" xfId="0" applyNumberFormat="1" applyFont="1" applyFill="1" applyBorder="1" applyAlignment="1">
      <alignment horizontal="center" vertical="center"/>
    </xf>
    <xf numFmtId="1" fontId="13" fillId="2" borderId="326" xfId="6" applyNumberFormat="1" applyFont="1" applyFill="1" applyBorder="1" applyAlignment="1" applyProtection="1">
      <alignment horizontal="left" vertical="center"/>
      <protection locked="0"/>
    </xf>
    <xf numFmtId="0" fontId="0" fillId="2" borderId="68" xfId="0" applyFill="1" applyBorder="1" applyAlignment="1">
      <alignment vertical="center"/>
    </xf>
    <xf numFmtId="0" fontId="54" fillId="65" borderId="145" xfId="6" applyFont="1" applyFill="1" applyBorder="1" applyAlignment="1" applyProtection="1">
      <alignment horizontal="right" vertical="center" wrapText="1"/>
      <protection locked="0"/>
    </xf>
    <xf numFmtId="0" fontId="36" fillId="65" borderId="145" xfId="6" applyFont="1" applyFill="1" applyBorder="1" applyAlignment="1" applyProtection="1">
      <alignment horizontal="center" vertical="center"/>
      <protection locked="0"/>
    </xf>
    <xf numFmtId="0" fontId="36" fillId="65" borderId="145" xfId="6" applyFont="1" applyFill="1" applyBorder="1" applyAlignment="1" applyProtection="1">
      <alignment horizontal="left" vertical="center"/>
      <protection locked="0"/>
    </xf>
    <xf numFmtId="169" fontId="296" fillId="65" borderId="145" xfId="6" applyNumberFormat="1" applyFont="1" applyFill="1" applyBorder="1" applyAlignment="1" applyProtection="1">
      <alignment horizontal="center" vertical="center"/>
      <protection locked="0"/>
    </xf>
    <xf numFmtId="169" fontId="25" fillId="65" borderId="145" xfId="6" applyNumberFormat="1" applyFont="1" applyFill="1" applyBorder="1" applyAlignment="1" applyProtection="1">
      <alignment horizontal="center" vertical="center"/>
      <protection locked="0"/>
    </xf>
    <xf numFmtId="0" fontId="25" fillId="2" borderId="145" xfId="6" applyFont="1" applyFill="1" applyBorder="1" applyAlignment="1" applyProtection="1">
      <alignment horizontal="left" vertical="center"/>
      <protection locked="0"/>
    </xf>
    <xf numFmtId="213" fontId="34" fillId="2" borderId="145" xfId="6" applyNumberFormat="1" applyFont="1" applyFill="1" applyBorder="1" applyAlignment="1" applyProtection="1">
      <alignment horizontal="right" vertical="center"/>
      <protection locked="0"/>
    </xf>
    <xf numFmtId="215" fontId="34" fillId="2" borderId="145" xfId="0" applyNumberFormat="1" applyFont="1" applyFill="1" applyBorder="1" applyAlignment="1">
      <alignment horizontal="center" vertical="center"/>
    </xf>
    <xf numFmtId="1" fontId="13" fillId="2" borderId="145" xfId="6" applyNumberFormat="1" applyFont="1" applyFill="1" applyBorder="1" applyAlignment="1" applyProtection="1">
      <alignment horizontal="left" vertical="center"/>
      <protection locked="0"/>
    </xf>
    <xf numFmtId="214" fontId="34" fillId="2" borderId="145" xfId="0" applyNumberFormat="1" applyFont="1" applyFill="1" applyBorder="1" applyAlignment="1">
      <alignment horizontal="center" vertical="center"/>
    </xf>
    <xf numFmtId="1" fontId="13" fillId="2" borderId="95" xfId="6" applyNumberFormat="1" applyFont="1" applyFill="1" applyBorder="1" applyAlignment="1" applyProtection="1">
      <alignment horizontal="left" vertical="center"/>
      <protection locked="0"/>
    </xf>
    <xf numFmtId="0" fontId="296" fillId="66" borderId="33" xfId="6" applyFont="1" applyFill="1" applyBorder="1" applyAlignment="1" applyProtection="1">
      <alignment horizontal="center" vertical="center"/>
      <protection locked="0"/>
    </xf>
    <xf numFmtId="207" fontId="101" fillId="58" borderId="0" xfId="2" applyNumberFormat="1" applyFont="1" applyFill="1" applyAlignment="1">
      <alignment horizontal="center" vertical="center"/>
    </xf>
    <xf numFmtId="207" fontId="101" fillId="58" borderId="0" xfId="2" applyNumberFormat="1" applyFont="1" applyFill="1" applyAlignment="1">
      <alignment horizontal="left" vertical="center"/>
    </xf>
    <xf numFmtId="0" fontId="166" fillId="2" borderId="325" xfId="5" applyFont="1" applyFill="1" applyBorder="1" applyAlignment="1">
      <alignment horizontal="right" vertical="center"/>
    </xf>
    <xf numFmtId="207" fontId="101" fillId="58" borderId="325" xfId="2" applyNumberFormat="1" applyFont="1" applyFill="1" applyBorder="1" applyAlignment="1">
      <alignment horizontal="center" vertical="center"/>
    </xf>
    <xf numFmtId="207" fontId="101" fillId="58" borderId="325" xfId="2" applyNumberFormat="1" applyFont="1" applyFill="1" applyBorder="1" applyAlignment="1">
      <alignment horizontal="left" vertical="center"/>
    </xf>
    <xf numFmtId="0" fontId="0" fillId="2" borderId="325" xfId="0" applyFill="1" applyBorder="1"/>
    <xf numFmtId="0" fontId="27" fillId="2" borderId="326" xfId="2" applyFont="1" applyFill="1" applyBorder="1"/>
    <xf numFmtId="0" fontId="0" fillId="2" borderId="11" xfId="0" applyFill="1" applyBorder="1" applyAlignment="1">
      <alignment vertical="center"/>
    </xf>
    <xf numFmtId="0" fontId="104" fillId="2" borderId="0" xfId="0" applyFont="1" applyFill="1" applyAlignment="1">
      <alignment horizontal="center" vertical="center"/>
    </xf>
    <xf numFmtId="0" fontId="104" fillId="2" borderId="145" xfId="0" applyFont="1" applyFill="1" applyBorder="1" applyAlignment="1">
      <alignment horizontal="center" vertical="center"/>
    </xf>
    <xf numFmtId="0" fontId="64" fillId="2" borderId="95" xfId="6" applyFill="1" applyBorder="1"/>
    <xf numFmtId="0" fontId="12" fillId="5" borderId="220" xfId="1" applyFill="1" applyBorder="1" applyAlignment="1">
      <alignment horizontal="center" vertical="center"/>
    </xf>
    <xf numFmtId="0" fontId="127" fillId="2" borderId="238" xfId="2" applyFont="1" applyFill="1" applyBorder="1" applyAlignment="1">
      <alignment horizontal="left" vertical="center"/>
    </xf>
    <xf numFmtId="0" fontId="225" fillId="2" borderId="238" xfId="17" applyFill="1" applyBorder="1" applyAlignment="1">
      <alignment vertical="center"/>
    </xf>
    <xf numFmtId="0" fontId="11" fillId="2" borderId="239" xfId="0" applyFont="1" applyFill="1" applyBorder="1" applyAlignment="1">
      <alignment horizontal="center"/>
    </xf>
    <xf numFmtId="207" fontId="104" fillId="59" borderId="0" xfId="2" applyNumberFormat="1" applyFont="1" applyFill="1" applyAlignment="1">
      <alignment vertical="center"/>
    </xf>
    <xf numFmtId="207" fontId="84" fillId="59" borderId="0" xfId="2" applyNumberFormat="1" applyFont="1" applyFill="1" applyAlignment="1">
      <alignment vertical="center"/>
    </xf>
    <xf numFmtId="0" fontId="34" fillId="8" borderId="24" xfId="9" applyFont="1" applyFill="1" applyBorder="1" applyAlignment="1" applyProtection="1">
      <alignment horizontal="left" vertical="center"/>
      <protection locked="0"/>
    </xf>
    <xf numFmtId="0" fontId="166" fillId="2" borderId="13" xfId="2" applyFont="1" applyFill="1" applyBorder="1" applyAlignment="1">
      <alignment horizontal="left"/>
    </xf>
    <xf numFmtId="0" fontId="0" fillId="2" borderId="0" xfId="0" applyFill="1" applyAlignment="1">
      <alignment wrapText="1"/>
    </xf>
    <xf numFmtId="0" fontId="0" fillId="2" borderId="0" xfId="0" applyFill="1" applyAlignment="1">
      <alignment vertical="center" wrapText="1"/>
    </xf>
    <xf numFmtId="0" fontId="0" fillId="2" borderId="12" xfId="0" applyFill="1" applyBorder="1" applyAlignment="1">
      <alignment vertical="center" wrapText="1"/>
    </xf>
    <xf numFmtId="0" fontId="68" fillId="24" borderId="327" xfId="2" applyFont="1" applyFill="1" applyBorder="1" applyAlignment="1">
      <alignment horizontal="center" vertical="center"/>
    </xf>
    <xf numFmtId="223" fontId="101" fillId="2" borderId="0" xfId="1" applyNumberFormat="1" applyFont="1" applyFill="1" applyAlignment="1" applyProtection="1">
      <alignment horizontal="center" vertical="center"/>
      <protection locked="0"/>
    </xf>
    <xf numFmtId="0" fontId="248" fillId="2" borderId="0" xfId="0" applyFont="1" applyFill="1" applyAlignment="1">
      <alignment horizontal="right"/>
    </xf>
    <xf numFmtId="0" fontId="387" fillId="2" borderId="0" xfId="2" applyFont="1" applyFill="1" applyAlignment="1" applyProtection="1">
      <alignment horizontal="right" vertical="center" wrapText="1"/>
      <protection hidden="1"/>
    </xf>
    <xf numFmtId="220" fontId="189" fillId="2" borderId="0" xfId="1" applyNumberFormat="1" applyFont="1" applyFill="1" applyAlignment="1" applyProtection="1">
      <alignment horizontal="center" vertical="center"/>
      <protection locked="0"/>
    </xf>
    <xf numFmtId="0" fontId="388" fillId="0" borderId="0" xfId="0" applyFont="1" applyAlignment="1">
      <alignment horizontal="right" vertical="center"/>
    </xf>
    <xf numFmtId="223" fontId="328" fillId="2" borderId="0" xfId="1" applyNumberFormat="1" applyFont="1" applyFill="1" applyAlignment="1" applyProtection="1">
      <alignment horizontal="left" vertical="center"/>
      <protection locked="0"/>
    </xf>
    <xf numFmtId="0" fontId="57" fillId="2" borderId="0" xfId="2" applyFont="1" applyFill="1" applyAlignment="1">
      <alignment horizontal="center" vertical="center"/>
    </xf>
    <xf numFmtId="0" fontId="11" fillId="2" borderId="0" xfId="0" quotePrefix="1" applyFont="1" applyFill="1" applyAlignment="1">
      <alignment horizontal="center"/>
    </xf>
    <xf numFmtId="223" fontId="0" fillId="2" borderId="0" xfId="0" applyNumberFormat="1" applyFill="1"/>
    <xf numFmtId="223" fontId="0" fillId="2" borderId="0" xfId="0" applyNumberFormat="1" applyFill="1" applyAlignment="1">
      <alignment horizontal="center" vertical="center"/>
    </xf>
    <xf numFmtId="0" fontId="11" fillId="2" borderId="0" xfId="0" quotePrefix="1" applyFont="1" applyFill="1" applyAlignment="1">
      <alignment horizontal="right"/>
    </xf>
    <xf numFmtId="223" fontId="0" fillId="2" borderId="10" xfId="0" applyNumberFormat="1" applyFill="1" applyBorder="1" applyAlignment="1">
      <alignment horizontal="center" vertical="center"/>
    </xf>
    <xf numFmtId="223" fontId="11" fillId="2" borderId="0" xfId="0" applyNumberFormat="1" applyFont="1" applyFill="1" applyAlignment="1">
      <alignment horizontal="center" vertical="center"/>
    </xf>
    <xf numFmtId="223" fontId="138" fillId="2" borderId="0" xfId="1" applyNumberFormat="1" applyFont="1" applyFill="1" applyAlignment="1" applyProtection="1">
      <alignment horizontal="center" vertical="center"/>
      <protection locked="0"/>
    </xf>
    <xf numFmtId="0" fontId="12" fillId="0" borderId="0" xfId="0" applyFont="1"/>
    <xf numFmtId="0" fontId="57" fillId="2" borderId="0" xfId="2" applyFont="1" applyFill="1" applyAlignment="1">
      <alignment vertical="center"/>
    </xf>
    <xf numFmtId="0" fontId="57" fillId="2" borderId="0" xfId="2" applyFont="1" applyFill="1" applyAlignment="1">
      <alignment horizontal="left" vertical="center"/>
    </xf>
    <xf numFmtId="0" fontId="57" fillId="2" borderId="12" xfId="2" applyFont="1" applyFill="1" applyBorder="1" applyAlignment="1">
      <alignment horizontal="left" vertical="center"/>
    </xf>
    <xf numFmtId="0" fontId="12" fillId="5" borderId="333" xfId="1" applyFill="1" applyBorder="1" applyAlignment="1">
      <alignment horizontal="center" vertical="center"/>
    </xf>
    <xf numFmtId="0" fontId="10" fillId="24" borderId="155" xfId="0" applyFont="1" applyFill="1" applyBorder="1" applyAlignment="1">
      <alignment horizontal="center" vertical="center"/>
    </xf>
    <xf numFmtId="0" fontId="168" fillId="2" borderId="327" xfId="0" applyFont="1" applyFill="1" applyBorder="1" applyAlignment="1">
      <alignment horizontal="center"/>
    </xf>
    <xf numFmtId="0" fontId="189" fillId="2" borderId="325" xfId="0" applyFont="1" applyFill="1" applyBorder="1" applyAlignment="1">
      <alignment vertical="center"/>
    </xf>
    <xf numFmtId="0" fontId="0" fillId="2" borderId="332" xfId="0" applyFill="1" applyBorder="1"/>
    <xf numFmtId="0" fontId="57" fillId="2" borderId="316" xfId="2" applyFont="1" applyFill="1" applyBorder="1" applyAlignment="1">
      <alignment horizontal="center" vertical="center"/>
    </xf>
    <xf numFmtId="0" fontId="121" fillId="2" borderId="0" xfId="0" applyFont="1" applyFill="1" applyAlignment="1">
      <alignment vertical="center"/>
    </xf>
    <xf numFmtId="0" fontId="11" fillId="2" borderId="316" xfId="0" applyFont="1" applyFill="1" applyBorder="1"/>
    <xf numFmtId="0" fontId="0" fillId="2" borderId="316" xfId="0" applyFill="1" applyBorder="1"/>
    <xf numFmtId="0" fontId="0" fillId="2" borderId="315" xfId="0" applyFill="1" applyBorder="1"/>
    <xf numFmtId="0" fontId="168" fillId="2" borderId="13" xfId="1" applyFont="1" applyFill="1" applyBorder="1" applyAlignment="1">
      <alignment horizontal="center" vertical="center"/>
    </xf>
    <xf numFmtId="0" fontId="182" fillId="2" borderId="0" xfId="0" applyFont="1" applyFill="1" applyAlignment="1">
      <alignment horizontal="right" vertical="center"/>
    </xf>
    <xf numFmtId="0" fontId="189" fillId="2" borderId="12" xfId="0" applyFont="1" applyFill="1" applyBorder="1" applyAlignment="1">
      <alignment horizontal="center" vertical="center"/>
    </xf>
    <xf numFmtId="0" fontId="205" fillId="2" borderId="0" xfId="0" applyFont="1" applyFill="1"/>
    <xf numFmtId="174" fontId="101" fillId="2" borderId="12" xfId="0" applyNumberFormat="1" applyFont="1" applyFill="1" applyBorder="1" applyAlignment="1">
      <alignment horizontal="center" vertical="center"/>
    </xf>
    <xf numFmtId="174" fontId="189" fillId="2" borderId="13" xfId="0" applyNumberFormat="1" applyFont="1" applyFill="1" applyBorder="1" applyAlignment="1">
      <alignment horizontal="center" vertical="center"/>
    </xf>
    <xf numFmtId="174" fontId="101" fillId="2" borderId="12" xfId="0" applyNumberFormat="1" applyFont="1" applyFill="1" applyBorder="1" applyAlignment="1">
      <alignment horizontal="right" vertical="center"/>
    </xf>
    <xf numFmtId="174" fontId="101" fillId="2" borderId="13" xfId="0" applyNumberFormat="1" applyFont="1" applyFill="1" applyBorder="1" applyAlignment="1">
      <alignment horizontal="center" vertical="center"/>
    </xf>
    <xf numFmtId="186" fontId="121" fillId="13" borderId="0" xfId="0" applyNumberFormat="1" applyFont="1" applyFill="1" applyAlignment="1">
      <alignment horizontal="center" vertical="center"/>
    </xf>
    <xf numFmtId="0" fontId="101" fillId="2" borderId="12" xfId="0" applyFont="1" applyFill="1" applyBorder="1" applyAlignment="1">
      <alignment vertical="center"/>
    </xf>
    <xf numFmtId="0" fontId="9" fillId="2" borderId="12" xfId="0" applyFont="1" applyFill="1" applyBorder="1"/>
    <xf numFmtId="0" fontId="225" fillId="2" borderId="13" xfId="17" applyFill="1" applyBorder="1" applyAlignment="1">
      <alignment vertical="center"/>
    </xf>
    <xf numFmtId="0" fontId="225" fillId="2" borderId="12" xfId="17" applyFill="1" applyBorder="1" applyAlignment="1">
      <alignment vertical="center"/>
    </xf>
    <xf numFmtId="0" fontId="225" fillId="2" borderId="13" xfId="17" applyFill="1" applyBorder="1"/>
    <xf numFmtId="0" fontId="225" fillId="2" borderId="12" xfId="17" applyFill="1" applyBorder="1"/>
    <xf numFmtId="0" fontId="9" fillId="2" borderId="214" xfId="0" applyFont="1" applyFill="1" applyBorder="1"/>
    <xf numFmtId="0" fontId="10" fillId="30" borderId="68" xfId="12" applyFont="1" applyFill="1" applyBorder="1" applyAlignment="1" applyProtection="1">
      <alignment vertical="center"/>
      <protection hidden="1"/>
    </xf>
    <xf numFmtId="0" fontId="127" fillId="2" borderId="0" xfId="2" applyFont="1" applyFill="1" applyAlignment="1">
      <alignment horizontal="center" vertical="center" textRotation="90"/>
    </xf>
    <xf numFmtId="0" fontId="0" fillId="17" borderId="252" xfId="0" applyFill="1" applyBorder="1" applyAlignment="1">
      <alignment horizontal="center" vertical="center" wrapText="1"/>
    </xf>
    <xf numFmtId="0" fontId="0" fillId="17" borderId="258" xfId="0" applyFill="1" applyBorder="1" applyAlignment="1">
      <alignment horizontal="center" vertical="center" wrapText="1"/>
    </xf>
    <xf numFmtId="0" fontId="0" fillId="17" borderId="12" xfId="0" applyFill="1" applyBorder="1"/>
    <xf numFmtId="0" fontId="0" fillId="17" borderId="9" xfId="0" applyFill="1" applyBorder="1"/>
    <xf numFmtId="0" fontId="12" fillId="5" borderId="148" xfId="1" applyFill="1" applyBorder="1" applyAlignment="1">
      <alignment horizontal="center" vertical="center"/>
    </xf>
    <xf numFmtId="0" fontId="11" fillId="2" borderId="148" xfId="0" applyFont="1" applyFill="1" applyBorder="1"/>
    <xf numFmtId="0" fontId="69" fillId="8" borderId="341" xfId="2" applyFont="1" applyFill="1" applyBorder="1" applyAlignment="1">
      <alignment horizontal="center" vertical="center"/>
    </xf>
    <xf numFmtId="0" fontId="137" fillId="2" borderId="249" xfId="0" applyFont="1" applyFill="1" applyBorder="1" applyAlignment="1">
      <alignment horizontal="center"/>
    </xf>
    <xf numFmtId="185" fontId="101" fillId="2" borderId="345" xfId="1" applyNumberFormat="1" applyFont="1" applyFill="1" applyBorder="1" applyAlignment="1" applyProtection="1">
      <alignment horizontal="center" vertical="center"/>
      <protection locked="0"/>
    </xf>
    <xf numFmtId="185" fontId="101" fillId="2" borderId="0" xfId="1" applyNumberFormat="1" applyFont="1" applyFill="1" applyAlignment="1" applyProtection="1">
      <alignment horizontal="center" vertical="center"/>
      <protection locked="0"/>
    </xf>
    <xf numFmtId="185" fontId="101" fillId="2" borderId="254" xfId="1" applyNumberFormat="1" applyFont="1" applyFill="1" applyBorder="1" applyAlignment="1" applyProtection="1">
      <alignment horizontal="center" vertical="center"/>
      <protection locked="0"/>
    </xf>
    <xf numFmtId="185" fontId="101" fillId="2" borderId="350" xfId="1" applyNumberFormat="1" applyFont="1" applyFill="1" applyBorder="1" applyAlignment="1" applyProtection="1">
      <alignment horizontal="center" vertical="center"/>
      <protection locked="0"/>
    </xf>
    <xf numFmtId="0" fontId="11" fillId="2" borderId="249" xfId="0" applyFont="1" applyFill="1" applyBorder="1" applyAlignment="1">
      <alignment horizontal="center"/>
    </xf>
    <xf numFmtId="176" fontId="183" fillId="2" borderId="249" xfId="1" applyNumberFormat="1" applyFont="1" applyFill="1" applyBorder="1" applyAlignment="1" applyProtection="1">
      <alignment horizontal="center" vertical="center"/>
      <protection locked="0"/>
    </xf>
    <xf numFmtId="176" fontId="183" fillId="33" borderId="25" xfId="1" applyNumberFormat="1" applyFont="1" applyFill="1" applyBorder="1" applyAlignment="1" applyProtection="1">
      <alignment horizontal="center" vertical="center"/>
      <protection locked="0"/>
    </xf>
    <xf numFmtId="176" fontId="183" fillId="33" borderId="325" xfId="1" applyNumberFormat="1" applyFont="1" applyFill="1" applyBorder="1" applyAlignment="1" applyProtection="1">
      <alignment horizontal="center" vertical="center"/>
      <protection locked="0"/>
    </xf>
    <xf numFmtId="176" fontId="183" fillId="33" borderId="0" xfId="1" applyNumberFormat="1" applyFont="1" applyFill="1" applyAlignment="1" applyProtection="1">
      <alignment horizontal="center" vertical="center"/>
      <protection locked="0"/>
    </xf>
    <xf numFmtId="176" fontId="183" fillId="33" borderId="347" xfId="1" applyNumberFormat="1" applyFont="1" applyFill="1" applyBorder="1" applyAlignment="1" applyProtection="1">
      <alignment horizontal="center" vertical="center"/>
      <protection locked="0"/>
    </xf>
    <xf numFmtId="176" fontId="183" fillId="33" borderId="368" xfId="1" applyNumberFormat="1" applyFont="1" applyFill="1" applyBorder="1" applyAlignment="1" applyProtection="1">
      <alignment horizontal="center" vertical="center"/>
      <protection locked="0"/>
    </xf>
    <xf numFmtId="176" fontId="183" fillId="33" borderId="294" xfId="1" applyNumberFormat="1" applyFont="1" applyFill="1" applyBorder="1" applyAlignment="1" applyProtection="1">
      <alignment horizontal="center" vertical="center"/>
      <protection locked="0"/>
    </xf>
    <xf numFmtId="176" fontId="183" fillId="33" borderId="369" xfId="1" applyNumberFormat="1" applyFont="1" applyFill="1" applyBorder="1" applyAlignment="1" applyProtection="1">
      <alignment horizontal="center" vertical="center"/>
      <protection locked="0"/>
    </xf>
    <xf numFmtId="186" fontId="278" fillId="33" borderId="0" xfId="0" applyNumberFormat="1" applyFont="1" applyFill="1" applyAlignment="1">
      <alignment horizontal="center" vertical="center"/>
    </xf>
    <xf numFmtId="186" fontId="278" fillId="2" borderId="249" xfId="0" applyNumberFormat="1" applyFont="1" applyFill="1" applyBorder="1" applyAlignment="1">
      <alignment horizontal="center" vertical="center"/>
    </xf>
    <xf numFmtId="0" fontId="278" fillId="33" borderId="0" xfId="0" applyFont="1" applyFill="1" applyAlignment="1">
      <alignment horizontal="center" vertical="center" wrapText="1"/>
    </xf>
    <xf numFmtId="186" fontId="278" fillId="33" borderId="357" xfId="0" applyNumberFormat="1" applyFont="1" applyFill="1" applyBorder="1" applyAlignment="1">
      <alignment horizontal="center" vertical="center"/>
    </xf>
    <xf numFmtId="186" fontId="278" fillId="33" borderId="347" xfId="0" applyNumberFormat="1" applyFont="1" applyFill="1" applyBorder="1" applyAlignment="1">
      <alignment horizontal="center" vertical="center"/>
    </xf>
    <xf numFmtId="176" fontId="183" fillId="33" borderId="376" xfId="1" applyNumberFormat="1" applyFont="1" applyFill="1" applyBorder="1" applyAlignment="1" applyProtection="1">
      <alignment horizontal="center" vertical="center"/>
      <protection locked="0"/>
    </xf>
    <xf numFmtId="0" fontId="0" fillId="33" borderId="289" xfId="0" applyFill="1" applyBorder="1"/>
    <xf numFmtId="0" fontId="11" fillId="33" borderId="0" xfId="0" applyFont="1" applyFill="1"/>
    <xf numFmtId="0" fontId="11" fillId="2" borderId="249" xfId="0" applyFont="1" applyFill="1" applyBorder="1" applyAlignment="1">
      <alignment horizontal="center" vertical="center" wrapText="1"/>
    </xf>
    <xf numFmtId="0" fontId="0" fillId="33" borderId="0" xfId="0" applyFill="1"/>
    <xf numFmtId="0" fontId="359" fillId="33" borderId="289" xfId="2" applyFont="1" applyFill="1" applyBorder="1" applyAlignment="1">
      <alignment horizontal="left" vertical="center"/>
    </xf>
    <xf numFmtId="0" fontId="359" fillId="33" borderId="0" xfId="2" applyFont="1" applyFill="1" applyAlignment="1">
      <alignment horizontal="left" vertical="center"/>
    </xf>
    <xf numFmtId="0" fontId="359" fillId="33" borderId="0" xfId="2" applyFont="1" applyFill="1" applyAlignment="1">
      <alignment horizontal="center" vertical="center"/>
    </xf>
    <xf numFmtId="0" fontId="11" fillId="33" borderId="88" xfId="0" applyFont="1" applyFill="1" applyBorder="1" applyAlignment="1">
      <alignment horizontal="center" vertical="center"/>
    </xf>
    <xf numFmtId="186" fontId="278" fillId="33" borderId="25" xfId="0" applyNumberFormat="1" applyFont="1" applyFill="1" applyBorder="1" applyAlignment="1">
      <alignment horizontal="center" vertical="center"/>
    </xf>
    <xf numFmtId="0" fontId="359" fillId="33" borderId="25" xfId="2" applyFont="1" applyFill="1" applyBorder="1" applyAlignment="1">
      <alignment horizontal="left" vertical="center"/>
    </xf>
    <xf numFmtId="0" fontId="359" fillId="33" borderId="325" xfId="2" applyFont="1" applyFill="1" applyBorder="1" applyAlignment="1">
      <alignment horizontal="left" vertical="center"/>
    </xf>
    <xf numFmtId="186" fontId="278" fillId="33" borderId="378" xfId="0" applyNumberFormat="1" applyFont="1" applyFill="1" applyBorder="1" applyAlignment="1">
      <alignment horizontal="center" vertical="center"/>
    </xf>
    <xf numFmtId="0" fontId="359" fillId="33" borderId="294" xfId="2" applyFont="1" applyFill="1" applyBorder="1" applyAlignment="1">
      <alignment horizontal="left" vertical="center"/>
    </xf>
    <xf numFmtId="0" fontId="359" fillId="33" borderId="357" xfId="2" applyFont="1" applyFill="1" applyBorder="1" applyAlignment="1">
      <alignment horizontal="left" vertical="center"/>
    </xf>
    <xf numFmtId="186" fontId="278" fillId="33" borderId="294" xfId="0" applyNumberFormat="1" applyFont="1" applyFill="1" applyBorder="1" applyAlignment="1">
      <alignment horizontal="center" vertical="center"/>
    </xf>
    <xf numFmtId="186" fontId="278" fillId="33" borderId="369" xfId="0" applyNumberFormat="1" applyFont="1" applyFill="1" applyBorder="1" applyAlignment="1">
      <alignment horizontal="center" vertical="center"/>
    </xf>
    <xf numFmtId="176" fontId="183" fillId="33" borderId="350" xfId="1" applyNumberFormat="1" applyFont="1" applyFill="1" applyBorder="1" applyAlignment="1" applyProtection="1">
      <alignment horizontal="center" vertical="center"/>
      <protection locked="0"/>
    </xf>
    <xf numFmtId="0" fontId="389" fillId="2" borderId="249" xfId="0" applyFont="1" applyFill="1" applyBorder="1" applyAlignment="1">
      <alignment horizontal="center" vertical="center" wrapText="1"/>
    </xf>
    <xf numFmtId="0" fontId="0" fillId="33" borderId="379" xfId="0" applyFill="1" applyBorder="1"/>
    <xf numFmtId="0" fontId="126" fillId="33" borderId="0" xfId="0" applyFont="1" applyFill="1" applyAlignment="1">
      <alignment vertical="center" wrapText="1"/>
    </xf>
    <xf numFmtId="0" fontId="390" fillId="2" borderId="383" xfId="1" applyFont="1" applyFill="1" applyBorder="1" applyAlignment="1" applyProtection="1">
      <alignment horizontal="center" vertical="center"/>
      <protection locked="0"/>
    </xf>
    <xf numFmtId="185" fontId="101" fillId="33" borderId="0" xfId="1" applyNumberFormat="1" applyFont="1" applyFill="1" applyAlignment="1" applyProtection="1">
      <alignment horizontal="center" vertical="center"/>
      <protection locked="0"/>
    </xf>
    <xf numFmtId="0" fontId="392" fillId="2" borderId="383" xfId="1" applyFont="1" applyFill="1" applyBorder="1" applyAlignment="1" applyProtection="1">
      <alignment horizontal="center" vertical="center"/>
      <protection locked="0"/>
    </xf>
    <xf numFmtId="174" fontId="391" fillId="2" borderId="249" xfId="0" applyNumberFormat="1" applyFont="1" applyFill="1" applyBorder="1" applyAlignment="1">
      <alignment horizontal="center" vertical="center"/>
    </xf>
    <xf numFmtId="0" fontId="328" fillId="79" borderId="383" xfId="1" applyFont="1" applyFill="1" applyBorder="1" applyAlignment="1" applyProtection="1">
      <alignment horizontal="center" vertical="center"/>
      <protection locked="0"/>
    </xf>
    <xf numFmtId="0" fontId="193" fillId="79" borderId="383" xfId="1" applyFont="1" applyFill="1" applyBorder="1" applyAlignment="1" applyProtection="1">
      <alignment horizontal="center" vertical="center"/>
      <protection locked="0"/>
    </xf>
    <xf numFmtId="0" fontId="328" fillId="79" borderId="255" xfId="1" applyFont="1" applyFill="1" applyBorder="1" applyAlignment="1" applyProtection="1">
      <alignment horizontal="center" vertical="center"/>
      <protection locked="0"/>
    </xf>
    <xf numFmtId="0" fontId="390" fillId="2" borderId="371" xfId="1" applyFont="1" applyFill="1" applyBorder="1" applyAlignment="1" applyProtection="1">
      <alignment horizontal="center" vertical="center"/>
      <protection locked="0"/>
    </xf>
    <xf numFmtId="0" fontId="193" fillId="79" borderId="371" xfId="1" applyFont="1" applyFill="1" applyBorder="1" applyAlignment="1" applyProtection="1">
      <alignment horizontal="center" vertical="center"/>
      <protection locked="0"/>
    </xf>
    <xf numFmtId="0" fontId="328" fillId="79" borderId="371" xfId="1" applyFont="1" applyFill="1" applyBorder="1" applyAlignment="1" applyProtection="1">
      <alignment horizontal="center" vertical="center"/>
      <protection locked="0"/>
    </xf>
    <xf numFmtId="0" fontId="328" fillId="79" borderId="348" xfId="1" applyFont="1" applyFill="1" applyBorder="1" applyAlignment="1" applyProtection="1">
      <alignment horizontal="center" vertical="center"/>
      <protection locked="0"/>
    </xf>
    <xf numFmtId="174" fontId="391" fillId="33" borderId="294" xfId="0" applyNumberFormat="1" applyFont="1" applyFill="1" applyBorder="1" applyAlignment="1">
      <alignment vertical="center"/>
    </xf>
    <xf numFmtId="0" fontId="126" fillId="33" borderId="0" xfId="0" applyFont="1" applyFill="1" applyAlignment="1">
      <alignment horizontal="center" vertical="center" wrapText="1"/>
    </xf>
    <xf numFmtId="0" fontId="393" fillId="33" borderId="0" xfId="0" applyFont="1" applyFill="1" applyAlignment="1">
      <alignment horizontal="center" vertical="center"/>
    </xf>
    <xf numFmtId="0" fontId="394" fillId="33" borderId="347" xfId="0" applyFont="1" applyFill="1" applyBorder="1" applyAlignment="1">
      <alignment horizontal="center" vertical="center"/>
    </xf>
    <xf numFmtId="0" fontId="394" fillId="2" borderId="249" xfId="0" applyFont="1" applyFill="1" applyBorder="1" applyAlignment="1">
      <alignment horizontal="center" vertical="center"/>
    </xf>
    <xf numFmtId="0" fontId="392" fillId="33" borderId="294" xfId="1" applyFont="1" applyFill="1" applyBorder="1" applyAlignment="1" applyProtection="1">
      <alignment horizontal="center" vertical="center"/>
      <protection locked="0"/>
    </xf>
    <xf numFmtId="185" fontId="101" fillId="33" borderId="0" xfId="1" applyNumberFormat="1" applyFont="1" applyFill="1" applyAlignment="1" applyProtection="1">
      <alignment vertical="center"/>
      <protection locked="0"/>
    </xf>
    <xf numFmtId="0" fontId="56" fillId="2" borderId="249" xfId="0" applyFont="1" applyFill="1" applyBorder="1" applyAlignment="1">
      <alignment horizontal="center" vertical="center" wrapText="1"/>
    </xf>
    <xf numFmtId="0" fontId="311" fillId="2" borderId="383" xfId="1" applyFont="1" applyFill="1" applyBorder="1" applyAlignment="1" applyProtection="1">
      <alignment horizontal="center" vertical="center"/>
      <protection locked="0"/>
    </xf>
    <xf numFmtId="174" fontId="121" fillId="2" borderId="249" xfId="0" applyNumberFormat="1" applyFont="1" applyFill="1" applyBorder="1" applyAlignment="1">
      <alignment horizontal="center" vertical="center"/>
    </xf>
    <xf numFmtId="0" fontId="328" fillId="79" borderId="289" xfId="1" applyFont="1" applyFill="1" applyBorder="1" applyAlignment="1" applyProtection="1">
      <alignment horizontal="center" vertical="center"/>
      <protection locked="0"/>
    </xf>
    <xf numFmtId="169" fontId="101" fillId="79" borderId="347" xfId="0" applyNumberFormat="1" applyFont="1" applyFill="1" applyBorder="1" applyAlignment="1">
      <alignment horizontal="center" vertical="center"/>
    </xf>
    <xf numFmtId="0" fontId="193" fillId="79" borderId="289" xfId="1" applyFont="1" applyFill="1" applyBorder="1" applyAlignment="1" applyProtection="1">
      <alignment horizontal="center" vertical="center"/>
      <protection locked="0"/>
    </xf>
    <xf numFmtId="185" fontId="101" fillId="79" borderId="347" xfId="1" applyNumberFormat="1" applyFont="1" applyFill="1" applyBorder="1" applyAlignment="1" applyProtection="1">
      <alignment horizontal="center" vertical="center"/>
      <protection locked="0"/>
    </xf>
    <xf numFmtId="0" fontId="311" fillId="2" borderId="371" xfId="1" applyFont="1" applyFill="1" applyBorder="1" applyAlignment="1" applyProtection="1">
      <alignment horizontal="center" vertical="center"/>
      <protection locked="0"/>
    </xf>
    <xf numFmtId="174" fontId="101" fillId="79" borderId="349" xfId="0" applyNumberFormat="1" applyFont="1" applyFill="1" applyBorder="1" applyAlignment="1">
      <alignment vertical="center"/>
    </xf>
    <xf numFmtId="0" fontId="393" fillId="33" borderId="357" xfId="0" applyFont="1" applyFill="1" applyBorder="1" applyAlignment="1">
      <alignment horizontal="center" vertical="center"/>
    </xf>
    <xf numFmtId="0" fontId="394" fillId="33" borderId="358" xfId="0" applyFont="1" applyFill="1" applyBorder="1" applyAlignment="1">
      <alignment horizontal="center" vertical="center"/>
    </xf>
    <xf numFmtId="0" fontId="126" fillId="33" borderId="0" xfId="0" applyFont="1" applyFill="1" applyAlignment="1">
      <alignment vertical="center"/>
    </xf>
    <xf numFmtId="0" fontId="126" fillId="33" borderId="347" xfId="0" applyFont="1" applyFill="1" applyBorder="1" applyAlignment="1">
      <alignment vertical="center"/>
    </xf>
    <xf numFmtId="0" fontId="126" fillId="2" borderId="249" xfId="0" applyFont="1" applyFill="1" applyBorder="1" applyAlignment="1">
      <alignment vertical="center"/>
    </xf>
    <xf numFmtId="0" fontId="126" fillId="33" borderId="347" xfId="0" applyFont="1" applyFill="1" applyBorder="1" applyAlignment="1">
      <alignment horizontal="center" vertical="center" wrapText="1"/>
    </xf>
    <xf numFmtId="0" fontId="126" fillId="2" borderId="0" xfId="0" applyFont="1" applyFill="1" applyAlignment="1">
      <alignment vertical="center"/>
    </xf>
    <xf numFmtId="0" fontId="392" fillId="2" borderId="289" xfId="1" applyFont="1" applyFill="1" applyBorder="1" applyAlignment="1" applyProtection="1">
      <alignment horizontal="center" vertical="center"/>
      <protection locked="0"/>
    </xf>
    <xf numFmtId="174" fontId="391" fillId="2" borderId="250" xfId="0" applyNumberFormat="1" applyFont="1" applyFill="1" applyBorder="1" applyAlignment="1">
      <alignment horizontal="center" vertical="center"/>
    </xf>
    <xf numFmtId="169" fontId="101" fillId="79" borderId="250" xfId="0" applyNumberFormat="1" applyFont="1" applyFill="1" applyBorder="1" applyAlignment="1">
      <alignment horizontal="center" vertical="center"/>
    </xf>
    <xf numFmtId="0" fontId="126" fillId="2" borderId="0" xfId="0" applyFont="1" applyFill="1" applyAlignment="1">
      <alignment horizontal="center" vertical="center" wrapText="1"/>
    </xf>
    <xf numFmtId="0" fontId="193" fillId="79" borderId="0" xfId="1" applyFont="1" applyFill="1" applyAlignment="1" applyProtection="1">
      <alignment horizontal="center" vertical="center"/>
      <protection locked="0"/>
    </xf>
    <xf numFmtId="185" fontId="101" fillId="79" borderId="250" xfId="1" applyNumberFormat="1" applyFont="1" applyFill="1" applyBorder="1" applyAlignment="1" applyProtection="1">
      <alignment horizontal="center" vertical="center"/>
      <protection locked="0"/>
    </xf>
    <xf numFmtId="0" fontId="392" fillId="2" borderId="371" xfId="1" applyFont="1" applyFill="1" applyBorder="1" applyAlignment="1" applyProtection="1">
      <alignment horizontal="center" vertical="center"/>
      <protection locked="0"/>
    </xf>
    <xf numFmtId="174" fontId="391" fillId="2" borderId="372" xfId="0" applyNumberFormat="1" applyFont="1" applyFill="1" applyBorder="1" applyAlignment="1">
      <alignment vertical="center"/>
    </xf>
    <xf numFmtId="174" fontId="101" fillId="79" borderId="372" xfId="0" applyNumberFormat="1" applyFont="1" applyFill="1" applyBorder="1" applyAlignment="1">
      <alignment vertical="center"/>
    </xf>
    <xf numFmtId="0" fontId="395" fillId="33" borderId="0" xfId="0" applyFont="1" applyFill="1" applyAlignment="1">
      <alignment horizontal="center" vertical="center"/>
    </xf>
    <xf numFmtId="0" fontId="396" fillId="33" borderId="347" xfId="0" applyFont="1" applyFill="1" applyBorder="1" applyAlignment="1">
      <alignment horizontal="center" vertical="center"/>
    </xf>
    <xf numFmtId="0" fontId="193" fillId="79" borderId="348" xfId="1" applyFont="1" applyFill="1" applyBorder="1" applyAlignment="1" applyProtection="1">
      <alignment horizontal="center" vertical="center"/>
      <protection locked="0"/>
    </xf>
    <xf numFmtId="176" fontId="183" fillId="33" borderId="387" xfId="1" applyNumberFormat="1" applyFont="1" applyFill="1" applyBorder="1" applyAlignment="1" applyProtection="1">
      <alignment horizontal="center" vertical="center"/>
      <protection locked="0"/>
    </xf>
    <xf numFmtId="0" fontId="395" fillId="2" borderId="289" xfId="1" applyFont="1" applyFill="1" applyBorder="1" applyAlignment="1" applyProtection="1">
      <alignment horizontal="center" vertical="center"/>
      <protection locked="0"/>
    </xf>
    <xf numFmtId="174" fontId="121" fillId="2" borderId="250" xfId="0" applyNumberFormat="1" applyFont="1" applyFill="1" applyBorder="1" applyAlignment="1">
      <alignment horizontal="center" vertical="center"/>
    </xf>
    <xf numFmtId="0" fontId="395" fillId="2" borderId="389" xfId="1" applyFont="1" applyFill="1" applyBorder="1" applyAlignment="1" applyProtection="1">
      <alignment horizontal="center" vertical="center"/>
      <protection locked="0"/>
    </xf>
    <xf numFmtId="174" fontId="121" fillId="2" borderId="390" xfId="0" applyNumberFormat="1" applyFont="1" applyFill="1" applyBorder="1" applyAlignment="1">
      <alignment vertical="center"/>
    </xf>
    <xf numFmtId="185" fontId="101" fillId="33" borderId="10" xfId="1" applyNumberFormat="1" applyFont="1" applyFill="1" applyBorder="1" applyAlignment="1" applyProtection="1">
      <alignment horizontal="center" vertical="center"/>
      <protection locked="0"/>
    </xf>
    <xf numFmtId="174" fontId="11" fillId="33" borderId="10" xfId="0" applyNumberFormat="1" applyFont="1" applyFill="1" applyBorder="1" applyAlignment="1">
      <alignment horizontal="center" vertical="center"/>
    </xf>
    <xf numFmtId="174" fontId="11" fillId="33" borderId="391" xfId="0" applyNumberFormat="1" applyFont="1" applyFill="1" applyBorder="1" applyAlignment="1">
      <alignment horizontal="center" vertical="center"/>
    </xf>
    <xf numFmtId="174" fontId="11" fillId="2" borderId="392" xfId="0" applyNumberFormat="1" applyFont="1" applyFill="1" applyBorder="1" applyAlignment="1">
      <alignment horizontal="center" vertical="center"/>
    </xf>
    <xf numFmtId="174" fontId="101" fillId="79" borderId="256" xfId="0" applyNumberFormat="1" applyFont="1" applyFill="1" applyBorder="1" applyAlignment="1">
      <alignment vertical="center"/>
    </xf>
    <xf numFmtId="185" fontId="101" fillId="33" borderId="255" xfId="1" applyNumberFormat="1" applyFont="1" applyFill="1" applyBorder="1" applyAlignment="1" applyProtection="1">
      <alignment horizontal="center" vertical="center"/>
      <protection locked="0"/>
    </xf>
    <xf numFmtId="0" fontId="0" fillId="33" borderId="255" xfId="0" applyFill="1" applyBorder="1"/>
    <xf numFmtId="174" fontId="11" fillId="33" borderId="393" xfId="0" applyNumberFormat="1" applyFont="1" applyFill="1" applyBorder="1" applyAlignment="1">
      <alignment horizontal="center" vertical="center"/>
    </xf>
    <xf numFmtId="0" fontId="193" fillId="79" borderId="255" xfId="1" applyFont="1" applyFill="1" applyBorder="1" applyAlignment="1" applyProtection="1">
      <alignment horizontal="center" vertical="center"/>
      <protection locked="0"/>
    </xf>
    <xf numFmtId="0" fontId="398" fillId="24" borderId="327" xfId="2" applyFont="1" applyFill="1" applyBorder="1" applyAlignment="1">
      <alignment horizontal="center" vertical="center"/>
    </xf>
    <xf numFmtId="0" fontId="401" fillId="5" borderId="148" xfId="1" applyFont="1" applyFill="1" applyBorder="1" applyAlignment="1">
      <alignment horizontal="center" vertical="center"/>
    </xf>
    <xf numFmtId="0" fontId="401" fillId="2" borderId="0" xfId="0" applyFont="1" applyFill="1" applyAlignment="1">
      <alignment horizontal="left" vertical="center"/>
    </xf>
    <xf numFmtId="0" fontId="345" fillId="50" borderId="0" xfId="0" applyFont="1" applyFill="1" applyAlignment="1">
      <alignment horizontal="left" vertical="center"/>
    </xf>
    <xf numFmtId="0" fontId="403" fillId="85" borderId="0" xfId="26" applyFill="1" applyAlignment="1">
      <alignment horizontal="center" vertical="center"/>
    </xf>
    <xf numFmtId="0" fontId="403" fillId="4" borderId="0" xfId="26" applyFill="1" applyAlignment="1">
      <alignment horizontal="center" vertical="center"/>
    </xf>
    <xf numFmtId="0" fontId="403" fillId="86" borderId="0" xfId="26" applyFill="1" applyAlignment="1">
      <alignment horizontal="center" vertical="center"/>
    </xf>
    <xf numFmtId="0" fontId="403" fillId="37" borderId="0" xfId="26" applyFill="1" applyAlignment="1">
      <alignment horizontal="center" vertical="center"/>
    </xf>
    <xf numFmtId="0" fontId="403" fillId="38" borderId="0" xfId="26" applyFill="1" applyAlignment="1">
      <alignment horizontal="center" vertical="center"/>
    </xf>
    <xf numFmtId="0" fontId="403" fillId="87" borderId="0" xfId="26" applyFill="1" applyAlignment="1">
      <alignment horizontal="center" vertical="center"/>
    </xf>
    <xf numFmtId="0" fontId="403" fillId="88" borderId="0" xfId="26" applyFill="1" applyAlignment="1">
      <alignment horizontal="center" vertical="center"/>
    </xf>
    <xf numFmtId="0" fontId="403" fillId="89" borderId="0" xfId="26" applyFill="1" applyAlignment="1">
      <alignment horizontal="center" vertical="center"/>
    </xf>
    <xf numFmtId="0" fontId="403" fillId="90" borderId="0" xfId="26" applyFill="1" applyAlignment="1">
      <alignment horizontal="center" vertical="center"/>
    </xf>
    <xf numFmtId="0" fontId="403" fillId="91" borderId="0" xfId="26" applyFill="1" applyAlignment="1">
      <alignment horizontal="center" vertical="center"/>
    </xf>
    <xf numFmtId="0" fontId="403" fillId="92" borderId="0" xfId="26" applyFill="1" applyAlignment="1">
      <alignment horizontal="center" vertical="center"/>
    </xf>
    <xf numFmtId="0" fontId="403" fillId="93" borderId="0" xfId="26" applyFill="1" applyAlignment="1">
      <alignment horizontal="center" vertical="center"/>
    </xf>
    <xf numFmtId="0" fontId="403" fillId="94" borderId="0" xfId="26" applyFill="1" applyAlignment="1">
      <alignment horizontal="center" vertical="center"/>
    </xf>
    <xf numFmtId="0" fontId="403" fillId="95" borderId="0" xfId="26" applyFill="1" applyAlignment="1">
      <alignment horizontal="center" vertical="center"/>
    </xf>
    <xf numFmtId="0" fontId="403" fillId="7" borderId="0" xfId="26" applyFill="1" applyAlignment="1">
      <alignment horizontal="center" vertical="center"/>
    </xf>
    <xf numFmtId="0" fontId="403" fillId="52" borderId="0" xfId="26" applyFill="1" applyAlignment="1">
      <alignment horizontal="center" vertical="center"/>
    </xf>
    <xf numFmtId="0" fontId="13" fillId="0" borderId="0" xfId="25"/>
    <xf numFmtId="0" fontId="403" fillId="97" borderId="0" xfId="26" applyFill="1" applyAlignment="1">
      <alignment horizontal="center" vertical="center"/>
    </xf>
    <xf numFmtId="0" fontId="403" fillId="98" borderId="0" xfId="26" applyFill="1" applyAlignment="1">
      <alignment horizontal="center" vertical="center"/>
    </xf>
    <xf numFmtId="0" fontId="403" fillId="9" borderId="0" xfId="26" applyFill="1" applyAlignment="1">
      <alignment horizontal="center" vertical="center"/>
    </xf>
    <xf numFmtId="0" fontId="403" fillId="99" borderId="0" xfId="26" applyFill="1" applyAlignment="1">
      <alignment horizontal="center" vertical="center"/>
    </xf>
    <xf numFmtId="0" fontId="403" fillId="100" borderId="0" xfId="26" applyFill="1" applyAlignment="1">
      <alignment horizontal="center" vertical="center"/>
    </xf>
    <xf numFmtId="0" fontId="403" fillId="101" borderId="0" xfId="26" applyFill="1" applyAlignment="1">
      <alignment horizontal="center" vertical="center"/>
    </xf>
    <xf numFmtId="0" fontId="403" fillId="102" borderId="0" xfId="26" applyFill="1" applyAlignment="1">
      <alignment horizontal="center" vertical="center"/>
    </xf>
    <xf numFmtId="0" fontId="403" fillId="69" borderId="0" xfId="26" applyFill="1" applyAlignment="1">
      <alignment horizontal="center" vertical="center"/>
    </xf>
    <xf numFmtId="0" fontId="403" fillId="104" borderId="0" xfId="26" applyFill="1" applyAlignment="1">
      <alignment horizontal="center" vertical="center"/>
    </xf>
    <xf numFmtId="0" fontId="403" fillId="105" borderId="0" xfId="26" applyFill="1" applyAlignment="1">
      <alignment horizontal="center" vertical="center"/>
    </xf>
    <xf numFmtId="0" fontId="403" fillId="106" borderId="0" xfId="26" applyFill="1" applyAlignment="1">
      <alignment horizontal="center" vertical="center"/>
    </xf>
    <xf numFmtId="0" fontId="403" fillId="107" borderId="0" xfId="26" applyFill="1" applyAlignment="1">
      <alignment horizontal="center" vertical="center"/>
    </xf>
    <xf numFmtId="0" fontId="403" fillId="108" borderId="0" xfId="26" applyFill="1" applyAlignment="1">
      <alignment horizontal="center" vertical="center"/>
    </xf>
    <xf numFmtId="0" fontId="403" fillId="109" borderId="0" xfId="26" applyFill="1" applyAlignment="1">
      <alignment horizontal="center" vertical="center"/>
    </xf>
    <xf numFmtId="0" fontId="403" fillId="110" borderId="0" xfId="26" applyFill="1" applyAlignment="1">
      <alignment horizontal="center" vertical="center"/>
    </xf>
    <xf numFmtId="0" fontId="403" fillId="111" borderId="0" xfId="26" applyFill="1" applyAlignment="1">
      <alignment horizontal="center" vertical="center"/>
    </xf>
    <xf numFmtId="0" fontId="403" fillId="113" borderId="0" xfId="26" applyFill="1" applyAlignment="1">
      <alignment horizontal="center" vertical="center"/>
    </xf>
    <xf numFmtId="0" fontId="403" fillId="114" borderId="0" xfId="26" applyFill="1" applyAlignment="1">
      <alignment horizontal="center" vertical="center"/>
    </xf>
    <xf numFmtId="0" fontId="403" fillId="25" borderId="0" xfId="26" applyFill="1" applyAlignment="1">
      <alignment horizontal="center" vertical="center"/>
    </xf>
    <xf numFmtId="0" fontId="403" fillId="19" borderId="0" xfId="26" applyFill="1" applyAlignment="1">
      <alignment horizontal="center" vertical="center"/>
    </xf>
    <xf numFmtId="0" fontId="403" fillId="115" borderId="0" xfId="26" applyFill="1" applyAlignment="1">
      <alignment horizontal="center" vertical="center"/>
    </xf>
    <xf numFmtId="0" fontId="403" fillId="116" borderId="0" xfId="26" applyFill="1" applyAlignment="1">
      <alignment horizontal="center" vertical="center"/>
    </xf>
    <xf numFmtId="0" fontId="403" fillId="36" borderId="0" xfId="26" applyFill="1" applyAlignment="1">
      <alignment horizontal="center" vertical="center"/>
    </xf>
    <xf numFmtId="0" fontId="403" fillId="117" borderId="0" xfId="26" applyFill="1" applyAlignment="1">
      <alignment horizontal="center" vertical="center"/>
    </xf>
    <xf numFmtId="0" fontId="403" fillId="118" borderId="0" xfId="26" applyFill="1" applyAlignment="1">
      <alignment horizontal="center" vertical="center"/>
    </xf>
    <xf numFmtId="0" fontId="403" fillId="119" borderId="0" xfId="26" applyFill="1" applyAlignment="1">
      <alignment horizontal="center" vertical="center"/>
    </xf>
    <xf numFmtId="0" fontId="403" fillId="6" borderId="0" xfId="26" applyFill="1" applyAlignment="1">
      <alignment horizontal="center" vertical="center"/>
    </xf>
    <xf numFmtId="0" fontId="403" fillId="83" borderId="0" xfId="26" applyFill="1" applyAlignment="1">
      <alignment horizontal="center" vertical="center"/>
    </xf>
    <xf numFmtId="0" fontId="403" fillId="120" borderId="0" xfId="26" applyFill="1" applyAlignment="1">
      <alignment horizontal="center" vertical="center"/>
    </xf>
    <xf numFmtId="0" fontId="403" fillId="20" borderId="0" xfId="26" applyFill="1" applyAlignment="1">
      <alignment horizontal="center" vertical="center"/>
    </xf>
    <xf numFmtId="0" fontId="403" fillId="121" borderId="0" xfId="26" applyFill="1" applyAlignment="1">
      <alignment horizontal="center" vertical="center"/>
    </xf>
    <xf numFmtId="0" fontId="403" fillId="122" borderId="0" xfId="26" applyFill="1" applyAlignment="1">
      <alignment horizontal="center" vertical="center"/>
    </xf>
    <xf numFmtId="0" fontId="403" fillId="123" borderId="0" xfId="26" applyFill="1" applyAlignment="1">
      <alignment horizontal="center" vertical="center"/>
    </xf>
    <xf numFmtId="0" fontId="403" fillId="124" borderId="0" xfId="26" applyFill="1" applyAlignment="1">
      <alignment horizontal="center" vertical="center"/>
    </xf>
    <xf numFmtId="0" fontId="403" fillId="125" borderId="0" xfId="26" applyFill="1" applyAlignment="1">
      <alignment horizontal="center" vertical="center"/>
    </xf>
    <xf numFmtId="0" fontId="403" fillId="126" borderId="0" xfId="26" applyFill="1" applyAlignment="1">
      <alignment horizontal="center" vertical="center"/>
    </xf>
    <xf numFmtId="0" fontId="403" fillId="127" borderId="0" xfId="26" applyFill="1" applyAlignment="1">
      <alignment horizontal="center" vertical="center"/>
    </xf>
    <xf numFmtId="0" fontId="403" fillId="128" borderId="0" xfId="26" applyFill="1" applyAlignment="1">
      <alignment horizontal="center" vertical="center"/>
    </xf>
    <xf numFmtId="0" fontId="403" fillId="129" borderId="0" xfId="26" applyFill="1" applyAlignment="1">
      <alignment horizontal="center" vertical="center"/>
    </xf>
    <xf numFmtId="0" fontId="403" fillId="70" borderId="0" xfId="26" applyFill="1" applyAlignment="1">
      <alignment horizontal="center" vertical="center"/>
    </xf>
    <xf numFmtId="0" fontId="249" fillId="33" borderId="0" xfId="2" applyFont="1" applyFill="1" applyAlignment="1">
      <alignment horizontal="right" vertical="center"/>
    </xf>
    <xf numFmtId="0" fontId="13" fillId="0" borderId="0" xfId="28" applyAlignment="1">
      <alignment vertical="center"/>
    </xf>
    <xf numFmtId="0" fontId="450" fillId="0" borderId="0" xfId="26" applyFont="1"/>
    <xf numFmtId="0" fontId="193" fillId="0" borderId="0" xfId="2" applyFont="1" applyAlignment="1">
      <alignment vertical="center"/>
    </xf>
    <xf numFmtId="0" fontId="193" fillId="2" borderId="0" xfId="2" applyFont="1" applyFill="1" applyAlignment="1">
      <alignment vertical="center"/>
    </xf>
    <xf numFmtId="0" fontId="344" fillId="0" borderId="13" xfId="2" applyFont="1" applyBorder="1" applyAlignment="1">
      <alignment horizontal="center" vertical="center"/>
    </xf>
    <xf numFmtId="0" fontId="451" fillId="2" borderId="12" xfId="4" applyFont="1" applyFill="1" applyBorder="1" applyAlignment="1">
      <alignment horizontal="center" vertical="center"/>
    </xf>
    <xf numFmtId="0" fontId="452" fillId="0" borderId="396" xfId="2" applyFont="1" applyBorder="1" applyAlignment="1">
      <alignment vertical="center"/>
    </xf>
    <xf numFmtId="0" fontId="453" fillId="2" borderId="12" xfId="4" applyFont="1" applyFill="1" applyBorder="1" applyAlignment="1">
      <alignment horizontal="center" vertical="center"/>
    </xf>
    <xf numFmtId="0" fontId="281" fillId="2" borderId="0" xfId="4" applyFont="1" applyFill="1" applyAlignment="1">
      <alignment horizontal="center" vertical="center"/>
    </xf>
    <xf numFmtId="0" fontId="454" fillId="2" borderId="0" xfId="4" applyFont="1" applyFill="1" applyAlignment="1">
      <alignment horizontal="center" vertical="center"/>
    </xf>
    <xf numFmtId="0" fontId="219" fillId="0" borderId="0" xfId="2" applyFont="1"/>
    <xf numFmtId="0" fontId="166" fillId="2" borderId="0" xfId="4" applyFont="1" applyFill="1" applyAlignment="1">
      <alignment vertical="center"/>
    </xf>
    <xf numFmtId="0" fontId="219" fillId="0" borderId="0" xfId="2" applyFont="1" applyAlignment="1">
      <alignment vertical="center"/>
    </xf>
    <xf numFmtId="0" fontId="193" fillId="0" borderId="0" xfId="2" applyFont="1"/>
    <xf numFmtId="0" fontId="178" fillId="2" borderId="0" xfId="4" applyFont="1" applyFill="1" applyAlignment="1">
      <alignment horizontal="center" vertical="center"/>
    </xf>
    <xf numFmtId="0" fontId="347" fillId="2" borderId="12" xfId="4" applyFont="1" applyFill="1" applyBorder="1" applyAlignment="1">
      <alignment vertical="center"/>
    </xf>
    <xf numFmtId="0" fontId="456" fillId="2" borderId="0" xfId="4" applyFont="1" applyFill="1" applyAlignment="1">
      <alignment horizontal="center" vertical="center"/>
    </xf>
    <xf numFmtId="0" fontId="138" fillId="0" borderId="0" xfId="2" applyFont="1" applyAlignment="1">
      <alignment horizontal="center" vertical="center"/>
    </xf>
    <xf numFmtId="0" fontId="458" fillId="50" borderId="0" xfId="15" applyFont="1" applyFill="1" applyAlignment="1">
      <alignment vertical="center"/>
    </xf>
    <xf numFmtId="0" fontId="459" fillId="50" borderId="0" xfId="2" applyFont="1" applyFill="1" applyAlignment="1">
      <alignment vertical="center"/>
    </xf>
    <xf numFmtId="0" fontId="460" fillId="50" borderId="0" xfId="2" applyFont="1" applyFill="1" applyAlignment="1">
      <alignment vertical="center"/>
    </xf>
    <xf numFmtId="0" fontId="461" fillId="50" borderId="0" xfId="30" applyFont="1" applyFill="1" applyAlignment="1">
      <alignment horizontal="left" vertical="center"/>
    </xf>
    <xf numFmtId="0" fontId="460" fillId="50" borderId="0" xfId="2" applyFont="1" applyFill="1" applyAlignment="1">
      <alignment horizontal="center" vertical="center"/>
    </xf>
    <xf numFmtId="0" fontId="120" fillId="50" borderId="0" xfId="2" applyFont="1" applyFill="1" applyAlignment="1">
      <alignment vertical="center"/>
    </xf>
    <xf numFmtId="165" fontId="462" fillId="50" borderId="266" xfId="5" applyNumberFormat="1" applyFont="1" applyFill="1" applyBorder="1" applyAlignment="1">
      <alignment horizontal="center" vertical="center"/>
    </xf>
    <xf numFmtId="186" fontId="385" fillId="138" borderId="399" xfId="0" applyNumberFormat="1" applyFont="1" applyFill="1" applyBorder="1" applyAlignment="1" applyProtection="1">
      <alignment horizontal="center" vertical="center"/>
      <protection locked="0"/>
    </xf>
    <xf numFmtId="187" fontId="463" fillId="139" borderId="400" xfId="2" applyNumberFormat="1" applyFont="1" applyFill="1" applyBorder="1" applyAlignment="1">
      <alignment horizontal="center" vertical="center"/>
    </xf>
    <xf numFmtId="0" fontId="464" fillId="50" borderId="0" xfId="2" applyFont="1" applyFill="1" applyAlignment="1">
      <alignment horizontal="right" vertical="center"/>
    </xf>
    <xf numFmtId="0" fontId="459" fillId="50" borderId="0" xfId="2" applyFont="1" applyFill="1" applyAlignment="1">
      <alignment horizontal="center" vertical="center"/>
    </xf>
    <xf numFmtId="0" fontId="465" fillId="50" borderId="0" xfId="0" applyFont="1" applyFill="1" applyAlignment="1">
      <alignment horizontal="left" vertical="center"/>
    </xf>
    <xf numFmtId="0" fontId="466" fillId="50" borderId="0" xfId="0" applyFont="1" applyFill="1" applyAlignment="1">
      <alignment horizontal="left" vertical="center"/>
    </xf>
    <xf numFmtId="0" fontId="467" fillId="50" borderId="0" xfId="0" applyFont="1" applyFill="1" applyAlignment="1">
      <alignment horizontal="left" vertical="center"/>
    </xf>
    <xf numFmtId="0" fontId="468" fillId="50" borderId="0" xfId="0" applyFont="1" applyFill="1" applyAlignment="1">
      <alignment horizontal="left" vertical="center"/>
    </xf>
    <xf numFmtId="0" fontId="469" fillId="50" borderId="0" xfId="0" applyFont="1" applyFill="1" applyAlignment="1">
      <alignment horizontal="left" vertical="center"/>
    </xf>
    <xf numFmtId="0" fontId="470" fillId="50" borderId="0" xfId="0" applyFont="1" applyFill="1" applyAlignment="1">
      <alignment horizontal="left" vertical="center"/>
    </xf>
    <xf numFmtId="0" fontId="471" fillId="50" borderId="0" xfId="0" applyFont="1" applyFill="1" applyAlignment="1">
      <alignment horizontal="left" vertical="center"/>
    </xf>
    <xf numFmtId="0" fontId="472" fillId="50" borderId="0" xfId="0" applyFont="1" applyFill="1" applyAlignment="1">
      <alignment horizontal="left" vertical="center"/>
    </xf>
    <xf numFmtId="0" fontId="473" fillId="50" borderId="0" xfId="0" applyFont="1" applyFill="1" applyAlignment="1">
      <alignment horizontal="left" vertical="center"/>
    </xf>
    <xf numFmtId="0" fontId="13" fillId="50" borderId="0" xfId="31" applyFill="1" applyProtection="1">
      <protection hidden="1"/>
    </xf>
    <xf numFmtId="0" fontId="13" fillId="50" borderId="0" xfId="31" applyFill="1" applyAlignment="1">
      <alignment vertical="center"/>
    </xf>
    <xf numFmtId="0" fontId="13" fillId="0" borderId="0" xfId="31"/>
    <xf numFmtId="0" fontId="13" fillId="0" borderId="0" xfId="31" applyAlignment="1">
      <alignment vertical="center"/>
    </xf>
    <xf numFmtId="0" fontId="261" fillId="50" borderId="0" xfId="31" applyFont="1" applyFill="1" applyAlignment="1">
      <alignment vertical="center"/>
    </xf>
    <xf numFmtId="0" fontId="474" fillId="50" borderId="0" xfId="31" applyFont="1" applyFill="1" applyAlignment="1">
      <alignment horizontal="right" vertical="center"/>
    </xf>
    <xf numFmtId="0" fontId="459" fillId="50" borderId="0" xfId="34" applyFont="1" applyFill="1" applyAlignment="1">
      <alignment vertical="center"/>
    </xf>
    <xf numFmtId="0" fontId="459" fillId="50" borderId="0" xfId="15" applyFont="1" applyFill="1" applyAlignment="1">
      <alignment horizontal="center" vertical="center"/>
    </xf>
    <xf numFmtId="0" fontId="459" fillId="50" borderId="0" xfId="15" applyFont="1" applyFill="1" applyAlignment="1">
      <alignment horizontal="center" vertical="top"/>
    </xf>
    <xf numFmtId="0" fontId="193" fillId="0" borderId="0" xfId="25" applyFont="1"/>
    <xf numFmtId="0" fontId="193" fillId="0" borderId="406" xfId="25" applyFont="1" applyBorder="1"/>
    <xf numFmtId="0" fontId="193" fillId="0" borderId="407" xfId="25" applyFont="1" applyBorder="1"/>
    <xf numFmtId="0" fontId="193" fillId="2" borderId="13" xfId="25" applyFont="1" applyFill="1" applyBorder="1"/>
    <xf numFmtId="0" fontId="193" fillId="2" borderId="0" xfId="37" applyFont="1" applyFill="1" applyAlignment="1" applyProtection="1">
      <alignment vertical="center"/>
      <protection locked="0"/>
    </xf>
    <xf numFmtId="0" fontId="193" fillId="2" borderId="0" xfId="25" applyFont="1" applyFill="1"/>
    <xf numFmtId="0" fontId="193" fillId="2" borderId="401" xfId="25" applyFont="1" applyFill="1" applyBorder="1"/>
    <xf numFmtId="0" fontId="480" fillId="2" borderId="0" xfId="12" applyFont="1" applyFill="1" applyProtection="1">
      <protection locked="0"/>
    </xf>
    <xf numFmtId="0" fontId="193" fillId="0" borderId="0" xfId="12" applyFont="1" applyProtection="1">
      <protection locked="0"/>
    </xf>
    <xf numFmtId="0" fontId="480" fillId="2" borderId="401" xfId="12" applyFont="1" applyFill="1" applyBorder="1"/>
    <xf numFmtId="0" fontId="328" fillId="2" borderId="13" xfId="12" applyFont="1" applyFill="1" applyBorder="1" applyProtection="1">
      <protection locked="0"/>
    </xf>
    <xf numFmtId="0" fontId="328" fillId="2" borderId="0" xfId="12" applyFont="1" applyFill="1" applyProtection="1">
      <protection locked="0"/>
    </xf>
    <xf numFmtId="0" fontId="193" fillId="2" borderId="0" xfId="12" applyFont="1" applyFill="1" applyProtection="1">
      <protection locked="0"/>
    </xf>
    <xf numFmtId="0" fontId="193" fillId="2" borderId="401" xfId="12" applyFont="1" applyFill="1" applyBorder="1" applyProtection="1">
      <protection locked="0"/>
    </xf>
    <xf numFmtId="0" fontId="90" fillId="24" borderId="316" xfId="12" applyFont="1" applyFill="1" applyBorder="1" applyAlignment="1" applyProtection="1">
      <alignment horizontal="center" vertical="center"/>
      <protection locked="0"/>
    </xf>
    <xf numFmtId="187" fontId="197" fillId="3" borderId="0" xfId="12" applyNumberFormat="1" applyFont="1" applyFill="1" applyAlignment="1" applyProtection="1">
      <alignment horizontal="left" vertical="center"/>
      <protection locked="0"/>
    </xf>
    <xf numFmtId="169" fontId="481" fillId="3" borderId="0" xfId="12" applyNumberFormat="1" applyFont="1" applyFill="1" applyAlignment="1" applyProtection="1">
      <alignment horizontal="center" vertical="center"/>
      <protection locked="0"/>
    </xf>
    <xf numFmtId="0" fontId="127" fillId="3" borderId="0" xfId="5" applyFont="1" applyFill="1" applyAlignment="1" applyProtection="1">
      <alignment vertical="center"/>
      <protection locked="0"/>
    </xf>
    <xf numFmtId="0" fontId="127" fillId="3" borderId="401" xfId="5" applyFont="1" applyFill="1" applyBorder="1" applyAlignment="1" applyProtection="1">
      <alignment vertical="center"/>
      <protection locked="0"/>
    </xf>
    <xf numFmtId="0" fontId="168" fillId="2" borderId="0" xfId="12" applyFont="1" applyFill="1" applyAlignment="1">
      <alignment horizontal="left"/>
    </xf>
    <xf numFmtId="0" fontId="482" fillId="2" borderId="0" xfId="12" applyFont="1" applyFill="1" applyAlignment="1">
      <alignment horizontal="center"/>
    </xf>
    <xf numFmtId="0" fontId="78" fillId="2" borderId="0" xfId="12" applyFont="1" applyFill="1" applyAlignment="1">
      <alignment vertical="center"/>
    </xf>
    <xf numFmtId="0" fontId="78" fillId="2" borderId="401" xfId="12" applyFont="1" applyFill="1" applyBorder="1" applyAlignment="1" applyProtection="1">
      <alignment vertical="center"/>
      <protection hidden="1"/>
    </xf>
    <xf numFmtId="0" fontId="193" fillId="2" borderId="13" xfId="12" applyFont="1" applyFill="1" applyBorder="1" applyProtection="1">
      <protection locked="0"/>
    </xf>
    <xf numFmtId="0" fontId="193" fillId="0" borderId="0" xfId="37" applyFont="1" applyProtection="1">
      <protection locked="0"/>
    </xf>
    <xf numFmtId="0" fontId="193" fillId="2" borderId="0" xfId="37" applyFont="1" applyFill="1" applyProtection="1">
      <protection locked="0"/>
    </xf>
    <xf numFmtId="0" fontId="127" fillId="2" borderId="0" xfId="5" applyFont="1" applyFill="1" applyAlignment="1" applyProtection="1">
      <alignment vertical="center"/>
      <protection locked="0"/>
    </xf>
    <xf numFmtId="0" fontId="127" fillId="2" borderId="401" xfId="5" applyFont="1" applyFill="1" applyBorder="1" applyAlignment="1" applyProtection="1">
      <alignment vertical="center"/>
      <protection locked="0"/>
    </xf>
    <xf numFmtId="1" fontId="336" fillId="2" borderId="408" xfId="12" applyNumberFormat="1" applyFont="1" applyFill="1" applyBorder="1" applyAlignment="1" applyProtection="1">
      <alignment horizontal="center" vertical="center"/>
      <protection hidden="1"/>
    </xf>
    <xf numFmtId="0" fontId="78" fillId="2" borderId="0" xfId="12" applyFont="1" applyFill="1" applyAlignment="1">
      <alignment horizontal="left" vertical="center"/>
    </xf>
    <xf numFmtId="0" fontId="483" fillId="2" borderId="0" xfId="12" applyFont="1" applyFill="1" applyAlignment="1">
      <alignment vertical="center"/>
    </xf>
    <xf numFmtId="169" fontId="484" fillId="2" borderId="0" xfId="12" applyNumberFormat="1" applyFont="1" applyFill="1" applyAlignment="1">
      <alignment horizontal="left" vertical="center"/>
    </xf>
    <xf numFmtId="0" fontId="336" fillId="2" borderId="0" xfId="12" applyFont="1" applyFill="1" applyAlignment="1" applyProtection="1">
      <alignment horizontal="center" vertical="center"/>
      <protection locked="0"/>
    </xf>
    <xf numFmtId="0" fontId="78" fillId="2" borderId="0" xfId="12" applyFont="1" applyFill="1" applyAlignment="1" applyProtection="1">
      <alignment horizontal="left" vertical="center"/>
      <protection locked="0"/>
    </xf>
    <xf numFmtId="0" fontId="78" fillId="2" borderId="0" xfId="38" applyFont="1" applyFill="1" applyAlignment="1" applyProtection="1">
      <alignment horizontal="left" vertical="center"/>
      <protection locked="0"/>
    </xf>
    <xf numFmtId="1" fontId="336" fillId="2" borderId="409" xfId="12" applyNumberFormat="1" applyFont="1" applyFill="1" applyBorder="1" applyAlignment="1" applyProtection="1">
      <alignment horizontal="center" vertical="center"/>
      <protection hidden="1"/>
    </xf>
    <xf numFmtId="0" fontId="482" fillId="2" borderId="0" xfId="12" applyFont="1" applyFill="1" applyAlignment="1" applyProtection="1">
      <alignment horizontal="center" vertical="center"/>
      <protection locked="0"/>
    </xf>
    <xf numFmtId="0" fontId="171" fillId="2" borderId="403" xfId="12" applyFont="1" applyFill="1" applyBorder="1" applyAlignment="1">
      <alignment vertical="center"/>
    </xf>
    <xf numFmtId="0" fontId="78" fillId="2" borderId="403" xfId="12" applyFont="1" applyFill="1" applyBorder="1" applyAlignment="1">
      <alignment horizontal="left" vertical="center"/>
    </xf>
    <xf numFmtId="0" fontId="78" fillId="2" borderId="403" xfId="12" applyFont="1" applyFill="1" applyBorder="1" applyAlignment="1">
      <alignment horizontal="center" vertical="center"/>
    </xf>
    <xf numFmtId="0" fontId="78" fillId="2" borderId="410" xfId="12" applyFont="1" applyFill="1" applyBorder="1" applyAlignment="1">
      <alignment horizontal="center" vertical="center"/>
    </xf>
    <xf numFmtId="0" fontId="482" fillId="2" borderId="0" xfId="12" applyFont="1" applyFill="1" applyAlignment="1" applyProtection="1">
      <alignment horizontal="center"/>
      <protection locked="0"/>
    </xf>
    <xf numFmtId="0" fontId="336" fillId="2" borderId="0" xfId="12" applyFont="1" applyFill="1" applyAlignment="1" applyProtection="1">
      <alignment horizontal="center"/>
      <protection locked="0"/>
    </xf>
    <xf numFmtId="0" fontId="193" fillId="2" borderId="0" xfId="12" applyFont="1" applyFill="1"/>
    <xf numFmtId="0" fontId="193" fillId="2" borderId="0" xfId="12" applyFont="1" applyFill="1" applyAlignment="1" applyProtection="1">
      <alignment vertical="center"/>
      <protection locked="0"/>
    </xf>
    <xf numFmtId="0" fontId="193" fillId="2" borderId="401" xfId="12" applyFont="1" applyFill="1" applyBorder="1" applyAlignment="1" applyProtection="1">
      <alignment vertical="center"/>
      <protection locked="0"/>
    </xf>
    <xf numFmtId="0" fontId="193" fillId="2" borderId="0" xfId="25" applyFont="1" applyFill="1" applyAlignment="1">
      <alignment horizontal="right" vertical="center"/>
    </xf>
    <xf numFmtId="1" fontId="193" fillId="2" borderId="0" xfId="12" applyNumberFormat="1" applyFont="1" applyFill="1" applyAlignment="1" applyProtection="1">
      <alignment horizontal="center"/>
      <protection locked="0"/>
    </xf>
    <xf numFmtId="0" fontId="101" fillId="2" borderId="0" xfId="12" applyFont="1" applyFill="1" applyAlignment="1" applyProtection="1">
      <alignment horizontal="left" vertical="center"/>
      <protection locked="0"/>
    </xf>
    <xf numFmtId="169" fontId="486" fillId="5" borderId="0" xfId="12" applyNumberFormat="1" applyFont="1" applyFill="1" applyAlignment="1" applyProtection="1">
      <alignment horizontal="right" vertical="center"/>
      <protection hidden="1"/>
    </xf>
    <xf numFmtId="0" fontId="193" fillId="33" borderId="0" xfId="12" applyFont="1" applyFill="1" applyAlignment="1" applyProtection="1">
      <alignment horizontal="center" vertical="center"/>
      <protection hidden="1"/>
    </xf>
    <xf numFmtId="0" fontId="78" fillId="2" borderId="0" xfId="12" applyFont="1" applyFill="1" applyAlignment="1" applyProtection="1">
      <alignment horizontal="left" vertical="center"/>
      <protection hidden="1"/>
    </xf>
    <xf numFmtId="169" fontId="78" fillId="142" borderId="0" xfId="37" applyNumberFormat="1" applyFont="1" applyFill="1" applyAlignment="1">
      <alignment horizontal="left" vertical="center"/>
    </xf>
    <xf numFmtId="0" fontId="487" fillId="142" borderId="0" xfId="37" applyFont="1" applyFill="1" applyAlignment="1">
      <alignment horizontal="left" vertical="center"/>
    </xf>
    <xf numFmtId="0" fontId="78" fillId="2" borderId="401" xfId="12" applyFont="1" applyFill="1" applyBorder="1" applyAlignment="1" applyProtection="1">
      <alignment vertical="center"/>
      <protection locked="0"/>
    </xf>
    <xf numFmtId="1" fontId="193" fillId="2" borderId="0" xfId="12" applyNumberFormat="1" applyFont="1" applyFill="1" applyAlignment="1" applyProtection="1">
      <alignment horizontal="center" vertical="center"/>
      <protection locked="0"/>
    </xf>
    <xf numFmtId="0" fontId="193" fillId="2" borderId="0" xfId="37" applyFont="1" applyFill="1" applyAlignment="1" applyProtection="1">
      <alignment horizontal="center" vertical="center"/>
      <protection hidden="1"/>
    </xf>
    <xf numFmtId="0" fontId="78" fillId="2" borderId="401" xfId="38" applyFont="1" applyFill="1" applyBorder="1" applyAlignment="1" applyProtection="1">
      <alignment horizontal="left" vertical="center"/>
      <protection locked="0"/>
    </xf>
    <xf numFmtId="0" fontId="193" fillId="2" borderId="0" xfId="37" applyFont="1" applyFill="1" applyAlignment="1" applyProtection="1">
      <alignment horizontal="left" vertical="center"/>
      <protection locked="0"/>
    </xf>
    <xf numFmtId="0" fontId="488" fillId="2" borderId="0" xfId="12" applyFont="1" applyFill="1" applyAlignment="1" applyProtection="1">
      <alignment horizontal="left" vertical="center"/>
      <protection hidden="1"/>
    </xf>
    <xf numFmtId="0" fontId="89" fillId="2" borderId="0" xfId="12" applyFont="1" applyFill="1" applyAlignment="1" applyProtection="1">
      <alignment horizontal="center"/>
      <protection locked="0"/>
    </xf>
    <xf numFmtId="0" fontId="193" fillId="2" borderId="13" xfId="25" applyFont="1" applyFill="1" applyBorder="1" applyAlignment="1">
      <alignment horizontal="right" vertical="center"/>
    </xf>
    <xf numFmtId="0" fontId="489" fillId="2" borderId="0" xfId="12" applyFont="1" applyFill="1" applyAlignment="1" applyProtection="1">
      <alignment horizontal="center"/>
      <protection locked="0"/>
    </xf>
    <xf numFmtId="1" fontId="281" fillId="2" borderId="0" xfId="37" applyNumberFormat="1" applyFont="1" applyFill="1" applyAlignment="1" applyProtection="1">
      <alignment horizontal="center" vertical="center"/>
      <protection hidden="1"/>
    </xf>
    <xf numFmtId="0" fontId="193" fillId="0" borderId="0" xfId="38" applyFont="1"/>
    <xf numFmtId="0" fontId="193" fillId="2" borderId="401" xfId="37" applyFont="1" applyFill="1" applyBorder="1" applyProtection="1">
      <protection locked="0"/>
    </xf>
    <xf numFmtId="0" fontId="485" fillId="2" borderId="0" xfId="37" applyFont="1" applyFill="1" applyAlignment="1" applyProtection="1">
      <alignment vertical="top"/>
      <protection hidden="1"/>
    </xf>
    <xf numFmtId="1" fontId="490" fillId="2" borderId="411" xfId="37" applyNumberFormat="1" applyFont="1" applyFill="1" applyBorder="1" applyAlignment="1" applyProtection="1">
      <alignment horizontal="center" vertical="center"/>
      <protection hidden="1"/>
    </xf>
    <xf numFmtId="0" fontId="336" fillId="2" borderId="0" xfId="38" applyFont="1" applyFill="1" applyAlignment="1" applyProtection="1">
      <alignment horizontal="left" vertical="center"/>
      <protection locked="0"/>
    </xf>
    <xf numFmtId="0" fontId="213" fillId="2" borderId="0" xfId="37" applyFont="1" applyFill="1" applyProtection="1">
      <protection locked="0"/>
    </xf>
    <xf numFmtId="169" fontId="486" fillId="2" borderId="412" xfId="12" applyNumberFormat="1" applyFont="1" applyFill="1" applyBorder="1" applyAlignment="1" applyProtection="1">
      <alignment horizontal="right" vertical="center"/>
      <protection locked="0"/>
    </xf>
    <xf numFmtId="0" fontId="193" fillId="2" borderId="412" xfId="12" applyFont="1" applyFill="1" applyBorder="1" applyAlignment="1" applyProtection="1">
      <alignment horizontal="center" vertical="center"/>
      <protection hidden="1"/>
    </xf>
    <xf numFmtId="0" fontId="78" fillId="2" borderId="412" xfId="12" applyFont="1" applyFill="1" applyBorder="1" applyAlignment="1" applyProtection="1">
      <alignment horizontal="left" vertical="center"/>
      <protection locked="0"/>
    </xf>
    <xf numFmtId="169" fontId="78" fillId="2" borderId="412" xfId="37" applyNumberFormat="1" applyFont="1" applyFill="1" applyBorder="1" applyAlignment="1">
      <alignment horizontal="left" vertical="center"/>
    </xf>
    <xf numFmtId="0" fontId="487" fillId="2" borderId="412" xfId="37" applyFont="1" applyFill="1" applyBorder="1" applyAlignment="1">
      <alignment horizontal="left" vertical="center"/>
    </xf>
    <xf numFmtId="0" fontId="78" fillId="2" borderId="412" xfId="12" applyFont="1" applyFill="1" applyBorder="1" applyAlignment="1" applyProtection="1">
      <alignment horizontal="left" vertical="center"/>
      <protection hidden="1"/>
    </xf>
    <xf numFmtId="0" fontId="78" fillId="2" borderId="413" xfId="12" applyFont="1" applyFill="1" applyBorder="1" applyAlignment="1" applyProtection="1">
      <alignment vertical="center"/>
      <protection locked="0"/>
    </xf>
    <xf numFmtId="0" fontId="193" fillId="2" borderId="11" xfId="12" applyFont="1" applyFill="1" applyBorder="1" applyProtection="1">
      <protection locked="0"/>
    </xf>
    <xf numFmtId="0" fontId="193" fillId="2" borderId="412" xfId="12" applyFont="1" applyFill="1" applyBorder="1" applyProtection="1">
      <protection locked="0"/>
    </xf>
    <xf numFmtId="0" fontId="193" fillId="2" borderId="413" xfId="12" applyFont="1" applyFill="1" applyBorder="1" applyProtection="1">
      <protection locked="0"/>
    </xf>
    <xf numFmtId="0" fontId="485" fillId="2" borderId="412" xfId="37" applyFont="1" applyFill="1" applyBorder="1" applyAlignment="1" applyProtection="1">
      <alignment vertical="top"/>
      <protection hidden="1"/>
    </xf>
    <xf numFmtId="0" fontId="193" fillId="2" borderId="412" xfId="37" applyFont="1" applyFill="1" applyBorder="1" applyProtection="1">
      <protection locked="0"/>
    </xf>
    <xf numFmtId="0" fontId="193" fillId="2" borderId="413" xfId="37" applyFont="1" applyFill="1" applyBorder="1" applyProtection="1">
      <protection locked="0"/>
    </xf>
    <xf numFmtId="0" fontId="193" fillId="2" borderId="406" xfId="25" applyFont="1" applyFill="1" applyBorder="1"/>
    <xf numFmtId="0" fontId="193" fillId="2" borderId="407" xfId="25" applyFont="1" applyFill="1" applyBorder="1"/>
    <xf numFmtId="0" fontId="193" fillId="2" borderId="13" xfId="25" applyFont="1" applyFill="1" applyBorder="1" applyAlignment="1">
      <alignment vertical="center"/>
    </xf>
    <xf numFmtId="0" fontId="393" fillId="2" borderId="0" xfId="37" applyFont="1" applyFill="1" applyAlignment="1" applyProtection="1">
      <alignment vertical="center"/>
      <protection locked="0"/>
    </xf>
    <xf numFmtId="0" fontId="193" fillId="2" borderId="0" xfId="25" applyFont="1" applyFill="1" applyAlignment="1">
      <alignment vertical="center"/>
    </xf>
    <xf numFmtId="0" fontId="193" fillId="2" borderId="401" xfId="25" applyFont="1" applyFill="1" applyBorder="1" applyAlignment="1">
      <alignment vertical="center"/>
    </xf>
    <xf numFmtId="0" fontId="328" fillId="2" borderId="13" xfId="12" applyFont="1" applyFill="1" applyBorder="1" applyAlignment="1" applyProtection="1">
      <alignment vertical="center"/>
      <protection locked="0"/>
    </xf>
    <xf numFmtId="0" fontId="328" fillId="2" borderId="0" xfId="12" applyFont="1" applyFill="1" applyAlignment="1" applyProtection="1">
      <alignment vertical="center"/>
      <protection locked="0"/>
    </xf>
    <xf numFmtId="0" fontId="491" fillId="2" borderId="0" xfId="12" applyFont="1" applyFill="1" applyAlignment="1">
      <alignment horizontal="left"/>
    </xf>
    <xf numFmtId="169" fontId="492" fillId="2" borderId="414" xfId="12" applyNumberFormat="1" applyFont="1" applyFill="1" applyBorder="1" applyAlignment="1" applyProtection="1">
      <alignment horizontal="center" vertical="center"/>
      <protection hidden="1"/>
    </xf>
    <xf numFmtId="0" fontId="193" fillId="2" borderId="0" xfId="12" applyFont="1" applyFill="1" applyAlignment="1" applyProtection="1">
      <alignment horizontal="right" vertical="center"/>
      <protection locked="0"/>
    </xf>
    <xf numFmtId="169" fontId="328" fillId="2" borderId="0" xfId="12" applyNumberFormat="1" applyFont="1" applyFill="1" applyAlignment="1" applyProtection="1">
      <alignment horizontal="left" vertical="center"/>
      <protection locked="0"/>
    </xf>
    <xf numFmtId="1" fontId="492" fillId="2" borderId="415" xfId="12" applyNumberFormat="1" applyFont="1" applyFill="1" applyBorder="1" applyAlignment="1" applyProtection="1">
      <alignment horizontal="center" vertical="center"/>
      <protection hidden="1"/>
    </xf>
    <xf numFmtId="0" fontId="182" fillId="14" borderId="403" xfId="12" applyFont="1" applyFill="1" applyBorder="1" applyAlignment="1">
      <alignment horizontal="center" vertical="center"/>
    </xf>
    <xf numFmtId="0" fontId="182" fillId="14" borderId="410" xfId="12" applyFont="1" applyFill="1" applyBorder="1" applyAlignment="1">
      <alignment horizontal="center" vertical="center"/>
    </xf>
    <xf numFmtId="167" fontId="78" fillId="142" borderId="0" xfId="37" applyNumberFormat="1" applyFont="1" applyFill="1" applyAlignment="1">
      <alignment horizontal="left" vertical="center"/>
    </xf>
    <xf numFmtId="169" fontId="193" fillId="2" borderId="0" xfId="12" applyNumberFormat="1" applyFont="1" applyFill="1" applyAlignment="1" applyProtection="1">
      <alignment horizontal="left" vertical="center"/>
      <protection locked="0"/>
    </xf>
    <xf numFmtId="169" fontId="486" fillId="5" borderId="0" xfId="12" applyNumberFormat="1" applyFont="1" applyFill="1" applyAlignment="1" applyProtection="1">
      <alignment horizontal="right" vertical="center"/>
      <protection locked="0"/>
    </xf>
    <xf numFmtId="0" fontId="493" fillId="33" borderId="412" xfId="12" applyFont="1" applyFill="1" applyBorder="1" applyAlignment="1" applyProtection="1">
      <alignment horizontal="center" vertical="center"/>
      <protection hidden="1"/>
    </xf>
    <xf numFmtId="0" fontId="193" fillId="2" borderId="11" xfId="25" applyFont="1" applyFill="1" applyBorder="1" applyAlignment="1">
      <alignment vertical="center"/>
    </xf>
    <xf numFmtId="0" fontId="193" fillId="2" borderId="412" xfId="12" applyFont="1" applyFill="1" applyBorder="1" applyAlignment="1" applyProtection="1">
      <alignment vertical="center"/>
      <protection locked="0"/>
    </xf>
    <xf numFmtId="0" fontId="193" fillId="2" borderId="413" xfId="12" applyFont="1" applyFill="1" applyBorder="1" applyAlignment="1" applyProtection="1">
      <alignment vertical="center"/>
      <protection locked="0"/>
    </xf>
    <xf numFmtId="0" fontId="494" fillId="2" borderId="0" xfId="2" applyFont="1" applyFill="1" applyAlignment="1">
      <alignment horizontal="center" vertical="center"/>
    </xf>
    <xf numFmtId="0" fontId="57" fillId="0" borderId="0" xfId="1" applyFont="1" applyAlignment="1">
      <alignment horizontal="center" vertical="center"/>
    </xf>
    <xf numFmtId="0" fontId="502" fillId="50" borderId="0" xfId="35" applyFont="1" applyFill="1" applyAlignment="1" applyProtection="1">
      <alignment horizontal="center" vertical="center"/>
    </xf>
    <xf numFmtId="0" fontId="504" fillId="0" borderId="0" xfId="25" applyFont="1"/>
    <xf numFmtId="0" fontId="505" fillId="0" borderId="0" xfId="25" applyFont="1"/>
    <xf numFmtId="49" fontId="504" fillId="0" borderId="0" xfId="25" applyNumberFormat="1" applyFont="1"/>
    <xf numFmtId="49" fontId="504" fillId="2" borderId="0" xfId="25" applyNumberFormat="1" applyFont="1" applyFill="1"/>
    <xf numFmtId="0" fontId="507" fillId="2" borderId="0" xfId="15" applyFont="1" applyFill="1" applyAlignment="1">
      <alignment vertical="top"/>
    </xf>
    <xf numFmtId="0" fontId="508" fillId="2" borderId="0" xfId="25" applyFont="1" applyFill="1" applyAlignment="1">
      <alignment horizontal="center" vertical="center"/>
    </xf>
    <xf numFmtId="0" fontId="504" fillId="2" borderId="0" xfId="25" applyFont="1" applyFill="1"/>
    <xf numFmtId="0" fontId="510" fillId="2" borderId="0" xfId="25" applyFont="1" applyFill="1" applyAlignment="1">
      <alignment horizontal="center"/>
    </xf>
    <xf numFmtId="0" fontId="508" fillId="2" borderId="420" xfId="25" applyFont="1" applyFill="1" applyBorder="1" applyAlignment="1">
      <alignment horizontal="center" vertical="center"/>
    </xf>
    <xf numFmtId="0" fontId="512" fillId="2" borderId="0" xfId="31" applyFont="1" applyFill="1" applyAlignment="1">
      <alignment horizontal="center" vertical="center"/>
    </xf>
    <xf numFmtId="0" fontId="513" fillId="13" borderId="421" xfId="25" applyFont="1" applyFill="1" applyBorder="1" applyAlignment="1">
      <alignment horizontal="center" vertical="center"/>
    </xf>
    <xf numFmtId="0" fontId="512" fillId="2" borderId="423" xfId="31" applyFont="1" applyFill="1" applyBorder="1" applyAlignment="1">
      <alignment horizontal="center" vertical="center"/>
    </xf>
    <xf numFmtId="49" fontId="514" fillId="2" borderId="0" xfId="25" applyNumberFormat="1" applyFont="1" applyFill="1" applyAlignment="1">
      <alignment horizontal="center" vertical="center"/>
    </xf>
    <xf numFmtId="49" fontId="515" fillId="14" borderId="0" xfId="25" applyNumberFormat="1" applyFont="1" applyFill="1" applyAlignment="1">
      <alignment horizontal="center" vertical="center" wrapText="1"/>
    </xf>
    <xf numFmtId="49" fontId="504" fillId="14" borderId="0" xfId="25" applyNumberFormat="1" applyFont="1" applyFill="1"/>
    <xf numFmtId="49" fontId="101" fillId="5" borderId="13" xfId="25" applyNumberFormat="1" applyFont="1" applyFill="1" applyBorder="1" applyAlignment="1">
      <alignment horizontal="center" vertical="center" wrapText="1"/>
    </xf>
    <xf numFmtId="49" fontId="519" fillId="14" borderId="423" xfId="25" applyNumberFormat="1" applyFont="1" applyFill="1" applyBorder="1" applyAlignment="1">
      <alignment horizontal="center" vertical="center" wrapText="1"/>
    </xf>
    <xf numFmtId="49" fontId="519" fillId="14" borderId="0" xfId="25" applyNumberFormat="1" applyFont="1" applyFill="1" applyAlignment="1">
      <alignment horizontal="center" vertical="center" wrapText="1"/>
    </xf>
    <xf numFmtId="0" fontId="520" fillId="0" borderId="367" xfId="25" applyFont="1" applyBorder="1"/>
    <xf numFmtId="0" fontId="521" fillId="13" borderId="207" xfId="25" applyFont="1" applyFill="1" applyBorder="1" applyAlignment="1">
      <alignment horizontal="center" vertical="center"/>
    </xf>
    <xf numFmtId="0" fontId="210" fillId="13" borderId="428" xfId="25" applyFont="1" applyFill="1" applyBorder="1" applyAlignment="1">
      <alignment horizontal="center" vertical="center"/>
    </xf>
    <xf numFmtId="0" fontId="522" fillId="33" borderId="13" xfId="25" applyFont="1" applyFill="1" applyBorder="1" applyAlignment="1">
      <alignment horizontal="left" vertical="center"/>
    </xf>
    <xf numFmtId="0" fontId="522" fillId="33" borderId="0" xfId="25" applyFont="1" applyFill="1" applyAlignment="1">
      <alignment horizontal="right" vertical="center"/>
    </xf>
    <xf numFmtId="0" fontId="523" fillId="33" borderId="0" xfId="25" applyFont="1" applyFill="1" applyAlignment="1">
      <alignment horizontal="right" vertical="center"/>
    </xf>
    <xf numFmtId="49" fontId="504" fillId="8" borderId="0" xfId="25" applyNumberFormat="1" applyFont="1" applyFill="1"/>
    <xf numFmtId="0" fontId="504" fillId="8" borderId="0" xfId="25" applyFont="1" applyFill="1"/>
    <xf numFmtId="0" fontId="505" fillId="8" borderId="0" xfId="25" applyFont="1" applyFill="1"/>
    <xf numFmtId="49" fontId="504" fillId="14" borderId="429" xfId="25" applyNumberFormat="1" applyFont="1" applyFill="1" applyBorder="1" applyAlignment="1">
      <alignment horizontal="center" vertical="center"/>
    </xf>
    <xf numFmtId="49" fontId="504" fillId="61" borderId="429" xfId="25" applyNumberFormat="1" applyFont="1" applyFill="1" applyBorder="1" applyAlignment="1">
      <alignment horizontal="center" vertical="center"/>
    </xf>
    <xf numFmtId="49" fontId="504" fillId="14" borderId="367" xfId="25" applyNumberFormat="1" applyFont="1" applyFill="1" applyBorder="1" applyAlignment="1">
      <alignment horizontal="center" vertical="center"/>
    </xf>
    <xf numFmtId="49" fontId="504" fillId="61" borderId="367" xfId="25" applyNumberFormat="1" applyFont="1" applyFill="1" applyBorder="1" applyAlignment="1">
      <alignment horizontal="center" vertical="center"/>
    </xf>
    <xf numFmtId="49" fontId="505" fillId="0" borderId="0" xfId="25" applyNumberFormat="1" applyFont="1"/>
    <xf numFmtId="0" fontId="502" fillId="50" borderId="0" xfId="35" applyFont="1" applyFill="1" applyAlignment="1" applyProtection="1">
      <alignment horizontal="left" vertical="center"/>
    </xf>
    <xf numFmtId="49" fontId="101" fillId="5" borderId="0" xfId="25" applyNumberFormat="1" applyFont="1" applyFill="1" applyAlignment="1">
      <alignment horizontal="center" vertical="center" wrapText="1"/>
    </xf>
    <xf numFmtId="0" fontId="499" fillId="2" borderId="0" xfId="42" applyFont="1" applyFill="1" applyAlignment="1">
      <alignment horizontal="left" vertical="center"/>
    </xf>
    <xf numFmtId="0" fontId="529" fillId="50" borderId="0" xfId="35" applyFont="1" applyFill="1" applyBorder="1" applyAlignment="1">
      <alignment vertical="center"/>
    </xf>
    <xf numFmtId="0" fontId="501" fillId="50" borderId="0" xfId="35" applyFont="1" applyFill="1" applyBorder="1" applyAlignment="1">
      <alignment vertical="center"/>
    </xf>
    <xf numFmtId="0" fontId="502" fillId="50" borderId="0" xfId="35" applyFont="1" applyFill="1" applyAlignment="1" applyProtection="1">
      <alignment vertical="center"/>
    </xf>
    <xf numFmtId="0" fontId="502" fillId="50" borderId="0" xfId="42" applyFont="1" applyFill="1" applyAlignment="1"/>
    <xf numFmtId="0" fontId="302" fillId="50" borderId="0" xfId="36" applyFont="1" applyFill="1" applyAlignment="1">
      <alignment vertical="center"/>
    </xf>
    <xf numFmtId="0" fontId="45" fillId="50" borderId="0" xfId="31" applyFont="1" applyFill="1" applyProtection="1">
      <protection hidden="1"/>
    </xf>
    <xf numFmtId="0" fontId="9" fillId="50" borderId="0" xfId="36" applyFont="1" applyFill="1"/>
    <xf numFmtId="0" fontId="138" fillId="33" borderId="0" xfId="1" applyFont="1" applyFill="1" applyAlignment="1">
      <alignment vertical="center"/>
    </xf>
    <xf numFmtId="0" fontId="219" fillId="33" borderId="0" xfId="1" applyFont="1" applyFill="1" applyAlignment="1">
      <alignment vertical="center"/>
    </xf>
    <xf numFmtId="0" fontId="327" fillId="33" borderId="0" xfId="1" applyFont="1" applyFill="1" applyAlignment="1">
      <alignment vertical="center"/>
    </xf>
    <xf numFmtId="0" fontId="347" fillId="33" borderId="0" xfId="1" applyFont="1" applyFill="1" applyAlignment="1">
      <alignment vertical="center"/>
    </xf>
    <xf numFmtId="0" fontId="356" fillId="33" borderId="0" xfId="17" applyFont="1" applyFill="1" applyAlignment="1">
      <alignment vertical="center"/>
    </xf>
    <xf numFmtId="0" fontId="216" fillId="33" borderId="0" xfId="17" applyFont="1" applyFill="1" applyAlignment="1">
      <alignment vertical="center"/>
    </xf>
    <xf numFmtId="0" fontId="137" fillId="33" borderId="0" xfId="0" applyFont="1" applyFill="1" applyAlignment="1">
      <alignment vertical="center"/>
    </xf>
    <xf numFmtId="1" fontId="375" fillId="39" borderId="0" xfId="0" applyNumberFormat="1" applyFont="1" applyFill="1"/>
    <xf numFmtId="0" fontId="477" fillId="50" borderId="0" xfId="43" applyFont="1" applyFill="1" applyAlignment="1" applyProtection="1">
      <alignment vertical="center"/>
    </xf>
    <xf numFmtId="0" fontId="12" fillId="50" borderId="0" xfId="36" applyFill="1"/>
    <xf numFmtId="0" fontId="256" fillId="30" borderId="0" xfId="31" applyFont="1" applyFill="1" applyAlignment="1" applyProtection="1">
      <alignment horizontal="center" vertical="center"/>
      <protection hidden="1"/>
    </xf>
    <xf numFmtId="0" fontId="255" fillId="2" borderId="0" xfId="35" applyFont="1" applyFill="1" applyAlignment="1" applyProtection="1">
      <alignment vertical="center"/>
      <protection hidden="1"/>
    </xf>
    <xf numFmtId="0" fontId="531" fillId="50" borderId="0" xfId="31" applyFont="1" applyFill="1" applyAlignment="1">
      <alignment vertical="center"/>
    </xf>
    <xf numFmtId="0" fontId="118" fillId="17" borderId="0" xfId="42" applyFont="1" applyFill="1" applyBorder="1" applyAlignment="1">
      <alignment horizontal="left" vertical="center"/>
    </xf>
    <xf numFmtId="0" fontId="260" fillId="33" borderId="0" xfId="33" applyFont="1" applyFill="1" applyAlignment="1">
      <alignment horizontal="left" vertical="center"/>
    </xf>
    <xf numFmtId="0" fontId="13" fillId="50" borderId="0" xfId="31" applyFill="1"/>
    <xf numFmtId="0" fontId="231" fillId="50" borderId="0" xfId="31" applyFont="1" applyFill="1"/>
    <xf numFmtId="0" fontId="260" fillId="50" borderId="0" xfId="31" applyFont="1" applyFill="1"/>
    <xf numFmtId="0" fontId="193" fillId="50" borderId="0" xfId="31" applyFont="1" applyFill="1" applyAlignment="1">
      <alignment vertical="center"/>
    </xf>
    <xf numFmtId="0" fontId="345" fillId="33" borderId="0" xfId="31" applyFont="1" applyFill="1"/>
    <xf numFmtId="0" fontId="260" fillId="50" borderId="0" xfId="33" applyFont="1" applyFill="1" applyAlignment="1">
      <alignment horizontal="left" vertical="center"/>
    </xf>
    <xf numFmtId="0" fontId="260" fillId="33" borderId="0" xfId="31" applyFont="1" applyFill="1"/>
    <xf numFmtId="0" fontId="262" fillId="50" borderId="0" xfId="31" applyFont="1" applyFill="1" applyAlignment="1">
      <alignment vertical="center"/>
    </xf>
    <xf numFmtId="0" fontId="262" fillId="50" borderId="0" xfId="31" applyFont="1" applyFill="1" applyProtection="1">
      <protection hidden="1"/>
    </xf>
    <xf numFmtId="0" fontId="457" fillId="50" borderId="0" xfId="31" applyFont="1" applyFill="1" applyAlignment="1">
      <alignment vertical="center"/>
    </xf>
    <xf numFmtId="0" fontId="259" fillId="50" borderId="0" xfId="31" applyFont="1" applyFill="1" applyAlignment="1">
      <alignment vertical="center"/>
    </xf>
    <xf numFmtId="0" fontId="260" fillId="50" borderId="0" xfId="31" applyFont="1" applyFill="1" applyAlignment="1">
      <alignment vertical="center"/>
    </xf>
    <xf numFmtId="0" fontId="263" fillId="50" borderId="0" xfId="31" applyFont="1" applyFill="1" applyAlignment="1">
      <alignment horizontal="center" vertical="center"/>
    </xf>
    <xf numFmtId="0" fontId="254" fillId="50" borderId="0" xfId="36" applyFont="1" applyFill="1"/>
    <xf numFmtId="0" fontId="120" fillId="50" borderId="0" xfId="31" applyFont="1" applyFill="1" applyAlignment="1">
      <alignment vertical="center"/>
    </xf>
    <xf numFmtId="0" fontId="12" fillId="33" borderId="0" xfId="1" applyFill="1"/>
    <xf numFmtId="0" fontId="63" fillId="50" borderId="0" xfId="31" applyFont="1" applyFill="1"/>
    <xf numFmtId="0" fontId="120" fillId="50" borderId="0" xfId="31" applyFont="1" applyFill="1"/>
    <xf numFmtId="0" fontId="535" fillId="50" borderId="0" xfId="31" applyFont="1" applyFill="1"/>
    <xf numFmtId="0" fontId="27" fillId="50" borderId="0" xfId="31" applyFont="1" applyFill="1"/>
    <xf numFmtId="0" fontId="138" fillId="50" borderId="0" xfId="31" applyFont="1" applyFill="1" applyAlignment="1">
      <alignment horizontal="left" vertical="center"/>
    </xf>
    <xf numFmtId="0" fontId="120" fillId="33" borderId="0" xfId="31" applyFont="1" applyFill="1"/>
    <xf numFmtId="0" fontId="198" fillId="30" borderId="0" xfId="31" applyFont="1" applyFill="1" applyAlignment="1" applyProtection="1">
      <alignment horizontal="center" vertical="center"/>
      <protection hidden="1"/>
    </xf>
    <xf numFmtId="0" fontId="226" fillId="33" borderId="0" xfId="11" applyFont="1" applyFill="1" applyAlignment="1" applyProtection="1"/>
    <xf numFmtId="0" fontId="27" fillId="33" borderId="0" xfId="31" applyFont="1" applyFill="1"/>
    <xf numFmtId="0" fontId="536" fillId="5" borderId="0" xfId="31" applyFont="1" applyFill="1" applyAlignment="1">
      <alignment vertical="center"/>
    </xf>
    <xf numFmtId="0" fontId="536" fillId="5" borderId="0" xfId="31" applyFont="1" applyFill="1" applyProtection="1">
      <protection hidden="1"/>
    </xf>
    <xf numFmtId="0" fontId="536" fillId="5" borderId="0" xfId="1" applyFont="1" applyFill="1"/>
    <xf numFmtId="0" fontId="537" fillId="12" borderId="405" xfId="9" applyFont="1" applyFill="1" applyBorder="1" applyAlignment="1">
      <alignment horizontal="center" vertical="center"/>
    </xf>
    <xf numFmtId="0" fontId="9" fillId="0" borderId="0" xfId="46"/>
    <xf numFmtId="0" fontId="537" fillId="12" borderId="13" xfId="9" applyFont="1" applyFill="1" applyBorder="1" applyAlignment="1">
      <alignment horizontal="center" vertical="center"/>
    </xf>
    <xf numFmtId="0" fontId="474" fillId="56" borderId="0" xfId="31" applyFont="1" applyFill="1" applyAlignment="1">
      <alignment horizontal="left" vertical="center"/>
    </xf>
    <xf numFmtId="0" fontId="474" fillId="56" borderId="0" xfId="31" applyFont="1" applyFill="1" applyAlignment="1">
      <alignment horizontal="center" vertical="center"/>
    </xf>
    <xf numFmtId="0" fontId="219" fillId="39" borderId="433" xfId="2" applyFont="1" applyFill="1" applyBorder="1" applyAlignment="1">
      <alignment vertical="center"/>
    </xf>
    <xf numFmtId="0" fontId="219" fillId="39" borderId="434" xfId="2" applyFont="1" applyFill="1" applyBorder="1" applyAlignment="1">
      <alignment vertical="center"/>
    </xf>
    <xf numFmtId="0" fontId="9" fillId="0" borderId="0" xfId="30"/>
    <xf numFmtId="0" fontId="539" fillId="0" borderId="0" xfId="2" applyFont="1" applyAlignment="1">
      <alignment vertical="center"/>
    </xf>
    <xf numFmtId="0" fontId="9" fillId="33" borderId="0" xfId="30" applyFill="1"/>
    <xf numFmtId="0" fontId="194" fillId="4" borderId="327" xfId="2" applyFont="1" applyFill="1" applyBorder="1" applyAlignment="1">
      <alignment horizontal="left" vertical="center"/>
    </xf>
    <xf numFmtId="0" fontId="171" fillId="4" borderId="332" xfId="2" applyFont="1" applyFill="1" applyBorder="1" applyAlignment="1">
      <alignment horizontal="left" vertical="center"/>
    </xf>
    <xf numFmtId="0" fontId="116" fillId="4" borderId="0" xfId="2" applyFont="1" applyFill="1" applyAlignment="1">
      <alignment horizontal="left" vertical="center"/>
    </xf>
    <xf numFmtId="0" fontId="116" fillId="4" borderId="0" xfId="2" applyFont="1" applyFill="1" applyAlignment="1">
      <alignment vertical="center"/>
    </xf>
    <xf numFmtId="0" fontId="116" fillId="4" borderId="0" xfId="2" applyFont="1" applyFill="1" applyAlignment="1">
      <alignment horizontal="right" vertical="center"/>
    </xf>
    <xf numFmtId="0" fontId="171" fillId="4" borderId="0" xfId="2" applyFont="1" applyFill="1" applyAlignment="1">
      <alignment horizontal="right" vertical="center"/>
    </xf>
    <xf numFmtId="0" fontId="328" fillId="4" borderId="0" xfId="2" applyFont="1" applyFill="1" applyAlignment="1">
      <alignment horizontal="center" vertical="center"/>
    </xf>
    <xf numFmtId="0" fontId="138" fillId="4" borderId="0" xfId="2" applyFont="1" applyFill="1" applyAlignment="1">
      <alignment vertical="center"/>
    </xf>
    <xf numFmtId="0" fontId="359" fillId="33" borderId="0" xfId="2" applyFont="1" applyFill="1" applyAlignment="1" applyProtection="1">
      <alignment horizontal="center" vertical="center" wrapText="1"/>
      <protection hidden="1"/>
    </xf>
    <xf numFmtId="0" fontId="196" fillId="4" borderId="0" xfId="2" applyFont="1" applyFill="1" applyAlignment="1">
      <alignment horizontal="left" vertical="center"/>
    </xf>
    <xf numFmtId="0" fontId="171" fillId="4" borderId="0" xfId="2" applyFont="1" applyFill="1" applyAlignment="1">
      <alignment vertical="center"/>
    </xf>
    <xf numFmtId="0" fontId="179" fillId="4" borderId="0" xfId="2" applyFont="1" applyFill="1" applyAlignment="1">
      <alignment horizontal="right" vertical="center"/>
    </xf>
    <xf numFmtId="0" fontId="179" fillId="4" borderId="0" xfId="2" applyFont="1" applyFill="1" applyAlignment="1">
      <alignment horizontal="left" vertical="center"/>
    </xf>
    <xf numFmtId="0" fontId="138" fillId="4" borderId="0" xfId="2" applyFont="1" applyFill="1" applyAlignment="1">
      <alignment horizontal="center" vertical="center"/>
    </xf>
    <xf numFmtId="0" fontId="179" fillId="4" borderId="0" xfId="2" applyFont="1" applyFill="1" applyAlignment="1">
      <alignment vertical="center"/>
    </xf>
    <xf numFmtId="0" fontId="10" fillId="56" borderId="398" xfId="2" applyFont="1" applyFill="1" applyBorder="1" applyAlignment="1" applyProtection="1">
      <alignment horizontal="center" vertical="center" wrapText="1"/>
      <protection hidden="1"/>
    </xf>
    <xf numFmtId="0" fontId="338" fillId="4" borderId="0" xfId="2" applyFont="1" applyFill="1" applyAlignment="1">
      <alignment horizontal="right" vertical="center"/>
    </xf>
    <xf numFmtId="0" fontId="9" fillId="2" borderId="0" xfId="30" applyFill="1"/>
    <xf numFmtId="0" fontId="309" fillId="0" borderId="54" xfId="32" applyFont="1" applyBorder="1" applyAlignment="1">
      <alignment horizontal="center" vertical="center"/>
    </xf>
    <xf numFmtId="0" fontId="542" fillId="2" borderId="110" xfId="30" applyFont="1" applyFill="1" applyBorder="1" applyAlignment="1">
      <alignment horizontal="left" vertical="center"/>
    </xf>
    <xf numFmtId="0" fontId="542" fillId="2" borderId="0" xfId="30" applyFont="1" applyFill="1" applyAlignment="1">
      <alignment horizontal="left" vertical="center"/>
    </xf>
    <xf numFmtId="0" fontId="542" fillId="2" borderId="401" xfId="30" applyFont="1" applyFill="1" applyBorder="1" applyAlignment="1">
      <alignment horizontal="left" vertical="center"/>
    </xf>
    <xf numFmtId="0" fontId="197" fillId="5" borderId="0" xfId="2" applyFont="1" applyFill="1" applyAlignment="1">
      <alignment horizontal="center" vertical="center"/>
    </xf>
    <xf numFmtId="2" fontId="219" fillId="151" borderId="0" xfId="31" applyNumberFormat="1" applyFont="1" applyFill="1" applyAlignment="1" applyProtection="1">
      <alignment horizontal="center" vertical="center"/>
      <protection locked="0"/>
    </xf>
    <xf numFmtId="0" fontId="101" fillId="33" borderId="0" xfId="2" applyFont="1" applyFill="1" applyAlignment="1" applyProtection="1">
      <alignment vertical="center"/>
      <protection hidden="1"/>
    </xf>
    <xf numFmtId="0" fontId="78" fillId="33" borderId="0" xfId="2" applyFont="1" applyFill="1" applyAlignment="1" applyProtection="1">
      <alignment horizontal="center" vertical="center"/>
      <protection hidden="1"/>
    </xf>
    <xf numFmtId="0" fontId="475" fillId="130" borderId="0" xfId="31" applyFont="1" applyFill="1" applyAlignment="1">
      <alignment horizontal="center" vertical="center"/>
    </xf>
    <xf numFmtId="0" fontId="78" fillId="33" borderId="0" xfId="2" applyFont="1" applyFill="1" applyAlignment="1">
      <alignment horizontal="center" vertical="center"/>
    </xf>
    <xf numFmtId="1" fontId="71" fillId="17" borderId="0" xfId="30" applyNumberFormat="1" applyFont="1" applyFill="1" applyAlignment="1">
      <alignment horizontal="center" vertical="center" wrapText="1"/>
    </xf>
    <xf numFmtId="0" fontId="9" fillId="33" borderId="0" xfId="30" applyFill="1" applyAlignment="1">
      <alignment horizontal="center"/>
    </xf>
    <xf numFmtId="0" fontId="101" fillId="33" borderId="0" xfId="2" applyFont="1" applyFill="1" applyAlignment="1" applyProtection="1">
      <alignment horizontal="center" vertical="center"/>
      <protection hidden="1"/>
    </xf>
    <xf numFmtId="185" fontId="101" fillId="67" borderId="0" xfId="2" applyNumberFormat="1" applyFont="1" applyFill="1" applyAlignment="1">
      <alignment horizontal="center" vertical="center"/>
    </xf>
    <xf numFmtId="0" fontId="540" fillId="20" borderId="316" xfId="2" applyFont="1" applyFill="1" applyBorder="1" applyAlignment="1" applyProtection="1">
      <alignment horizontal="center" vertical="center" wrapText="1"/>
      <protection hidden="1"/>
    </xf>
    <xf numFmtId="0" fontId="10" fillId="56" borderId="0" xfId="2" applyFont="1" applyFill="1" applyAlignment="1" applyProtection="1">
      <alignment horizontal="left" vertical="center"/>
      <protection hidden="1"/>
    </xf>
    <xf numFmtId="1" fontId="209" fillId="33" borderId="0" xfId="30" applyNumberFormat="1" applyFont="1" applyFill="1" applyAlignment="1">
      <alignment vertical="center" wrapText="1"/>
    </xf>
    <xf numFmtId="0" fontId="197" fillId="33" borderId="0" xfId="9" applyFont="1" applyFill="1" applyAlignment="1">
      <alignment vertical="center"/>
    </xf>
    <xf numFmtId="0" fontId="219" fillId="33" borderId="0" xfId="9" applyFont="1" applyFill="1" applyAlignment="1">
      <alignment vertical="center" wrapText="1"/>
    </xf>
    <xf numFmtId="185" fontId="101" fillId="67" borderId="0" xfId="2" applyNumberFormat="1" applyFont="1" applyFill="1" applyAlignment="1">
      <alignment horizontal="right" vertical="center"/>
    </xf>
    <xf numFmtId="0" fontId="101" fillId="33" borderId="0" xfId="2" applyFont="1" applyFill="1" applyAlignment="1">
      <alignment vertical="center"/>
    </xf>
    <xf numFmtId="0" fontId="101" fillId="33" borderId="0" xfId="2" applyFont="1" applyFill="1" applyAlignment="1" applyProtection="1">
      <alignment horizontal="left" vertical="center"/>
      <protection hidden="1"/>
    </xf>
    <xf numFmtId="0" fontId="193" fillId="33" borderId="401" xfId="2" applyFont="1" applyFill="1" applyBorder="1" applyAlignment="1">
      <alignment horizontal="center" vertical="center"/>
    </xf>
    <xf numFmtId="0" fontId="540" fillId="56" borderId="0" xfId="2" applyFont="1" applyFill="1" applyAlignment="1" applyProtection="1">
      <alignment horizontal="center" vertical="center" wrapText="1"/>
      <protection hidden="1"/>
    </xf>
    <xf numFmtId="0" fontId="189" fillId="17" borderId="431" xfId="2" applyFont="1" applyFill="1" applyBorder="1" applyAlignment="1" applyProtection="1">
      <alignment horizontal="center" vertical="center"/>
      <protection hidden="1"/>
    </xf>
    <xf numFmtId="0" fontId="116" fillId="5" borderId="316" xfId="2" applyFont="1" applyFill="1" applyBorder="1" applyAlignment="1" applyProtection="1">
      <alignment horizontal="center" vertical="center" wrapText="1"/>
      <protection hidden="1"/>
    </xf>
    <xf numFmtId="0" fontId="545" fillId="2" borderId="438" xfId="25" applyFont="1" applyFill="1" applyBorder="1" applyAlignment="1">
      <alignment horizontal="center" vertical="center"/>
    </xf>
    <xf numFmtId="0" fontId="12" fillId="2" borderId="0" xfId="30" applyFont="1" applyFill="1" applyAlignment="1">
      <alignment horizontal="center" vertical="center"/>
    </xf>
    <xf numFmtId="0" fontId="545" fillId="2" borderId="316" xfId="25" applyFont="1" applyFill="1" applyBorder="1" applyAlignment="1">
      <alignment horizontal="center" vertical="center"/>
    </xf>
    <xf numFmtId="0" fontId="12" fillId="2" borderId="207" xfId="30" applyFont="1" applyFill="1" applyBorder="1" applyAlignment="1">
      <alignment horizontal="center" vertical="center"/>
    </xf>
    <xf numFmtId="0" fontId="9" fillId="2" borderId="438" xfId="30" applyFill="1" applyBorder="1"/>
    <xf numFmtId="0" fontId="101" fillId="2" borderId="0" xfId="25" applyFont="1" applyFill="1" applyAlignment="1">
      <alignment horizontal="right" vertical="center"/>
    </xf>
    <xf numFmtId="0" fontId="542" fillId="2" borderId="213" xfId="30" applyFont="1" applyFill="1" applyBorder="1" applyAlignment="1">
      <alignment vertical="center"/>
    </xf>
    <xf numFmtId="0" fontId="546" fillId="2" borderId="0" xfId="30" applyFont="1" applyFill="1" applyAlignment="1">
      <alignment vertical="center"/>
    </xf>
    <xf numFmtId="0" fontId="546" fillId="2" borderId="401" xfId="30" applyFont="1" applyFill="1" applyBorder="1" applyAlignment="1">
      <alignment vertical="center"/>
    </xf>
    <xf numFmtId="226" fontId="127" fillId="147" borderId="440" xfId="25" applyNumberFormat="1" applyFont="1" applyFill="1" applyBorder="1" applyAlignment="1">
      <alignment vertical="center"/>
    </xf>
    <xf numFmtId="226" fontId="127" fillId="147" borderId="441" xfId="25" applyNumberFormat="1" applyFont="1" applyFill="1" applyBorder="1" applyAlignment="1">
      <alignment vertical="center"/>
    </xf>
    <xf numFmtId="226" fontId="127" fillId="147" borderId="442" xfId="25" applyNumberFormat="1" applyFont="1" applyFill="1" applyBorder="1" applyAlignment="1">
      <alignment vertical="center"/>
    </xf>
    <xf numFmtId="226" fontId="127" fillId="147" borderId="443" xfId="25" applyNumberFormat="1" applyFont="1" applyFill="1" applyBorder="1" applyAlignment="1">
      <alignment vertical="center"/>
    </xf>
    <xf numFmtId="0" fontId="101" fillId="39" borderId="0" xfId="2" applyFont="1" applyFill="1" applyAlignment="1" applyProtection="1">
      <alignment horizontal="right" vertical="center"/>
      <protection hidden="1"/>
    </xf>
    <xf numFmtId="187" fontId="101" fillId="39" borderId="401" xfId="2" applyNumberFormat="1" applyFont="1" applyFill="1" applyBorder="1" applyAlignment="1" applyProtection="1">
      <alignment horizontal="center" vertical="center" wrapText="1"/>
      <protection hidden="1"/>
    </xf>
    <xf numFmtId="0" fontId="547" fillId="17" borderId="444" xfId="25" applyFont="1" applyFill="1" applyBorder="1" applyAlignment="1">
      <alignment horizontal="center" vertical="center"/>
    </xf>
    <xf numFmtId="0" fontId="542" fillId="2" borderId="213" xfId="30" applyFont="1" applyFill="1" applyBorder="1" applyAlignment="1">
      <alignment horizontal="left" vertical="center"/>
    </xf>
    <xf numFmtId="169" fontId="548" fillId="33" borderId="145" xfId="46" applyNumberFormat="1" applyFont="1" applyFill="1" applyBorder="1" applyAlignment="1">
      <alignment horizontal="left" vertical="center" wrapText="1"/>
    </xf>
    <xf numFmtId="165" fontId="549" fillId="147" borderId="316" xfId="5" applyNumberFormat="1" applyFont="1" applyFill="1" applyBorder="1" applyAlignment="1">
      <alignment horizontal="center" vertical="center"/>
    </xf>
    <xf numFmtId="0" fontId="101" fillId="147" borderId="0" xfId="2" applyFont="1" applyFill="1" applyAlignment="1" applyProtection="1">
      <alignment horizontal="center" vertical="center" wrapText="1"/>
      <protection hidden="1"/>
    </xf>
    <xf numFmtId="0" fontId="101" fillId="5" borderId="445" xfId="2" applyFont="1" applyFill="1" applyBorder="1" applyAlignment="1">
      <alignment horizontal="center" vertical="center" wrapText="1"/>
    </xf>
    <xf numFmtId="0" fontId="101" fillId="5" borderId="207" xfId="2" applyFont="1" applyFill="1" applyBorder="1" applyAlignment="1">
      <alignment horizontal="center" vertical="center" wrapText="1"/>
    </xf>
    <xf numFmtId="0" fontId="101" fillId="5" borderId="316" xfId="2" applyFont="1" applyFill="1" applyBorder="1" applyAlignment="1">
      <alignment horizontal="center" vertical="center" wrapText="1"/>
    </xf>
    <xf numFmtId="0" fontId="474" fillId="33" borderId="0" xfId="31" applyFont="1" applyFill="1" applyAlignment="1">
      <alignment horizontal="center" vertical="center"/>
    </xf>
    <xf numFmtId="165" fontId="328" fillId="152" borderId="400" xfId="2" applyNumberFormat="1" applyFont="1" applyFill="1" applyBorder="1" applyAlignment="1">
      <alignment horizontal="left" vertical="center"/>
    </xf>
    <xf numFmtId="165" fontId="101" fillId="153" borderId="0" xfId="2" applyNumberFormat="1" applyFont="1" applyFill="1" applyAlignment="1">
      <alignment horizontal="center" vertical="center"/>
    </xf>
    <xf numFmtId="0" fontId="9" fillId="147" borderId="0" xfId="30" applyFill="1"/>
    <xf numFmtId="185" fontId="183" fillId="66" borderId="0" xfId="2" applyNumberFormat="1" applyFont="1" applyFill="1" applyAlignment="1">
      <alignment horizontal="center" vertical="center"/>
    </xf>
    <xf numFmtId="0" fontId="549" fillId="25" borderId="266" xfId="30" applyFont="1" applyFill="1" applyBorder="1" applyAlignment="1" applyProtection="1">
      <alignment horizontal="center" vertical="center"/>
      <protection locked="0"/>
    </xf>
    <xf numFmtId="169" fontId="548" fillId="25" borderId="266" xfId="30" applyNumberFormat="1" applyFont="1" applyFill="1" applyBorder="1" applyAlignment="1">
      <alignment horizontal="left" vertical="center" wrapText="1"/>
    </xf>
    <xf numFmtId="165" fontId="549" fillId="25" borderId="266" xfId="5" applyNumberFormat="1" applyFont="1" applyFill="1" applyBorder="1" applyAlignment="1">
      <alignment horizontal="center" vertical="center"/>
    </xf>
    <xf numFmtId="165" fontId="193" fillId="155" borderId="400" xfId="2" applyNumberFormat="1" applyFont="1" applyFill="1" applyBorder="1" applyAlignment="1">
      <alignment horizontal="center" vertical="center"/>
    </xf>
    <xf numFmtId="0" fontId="101" fillId="140" borderId="316" xfId="2" applyFont="1" applyFill="1" applyBorder="1" applyAlignment="1">
      <alignment horizontal="center" vertical="center"/>
    </xf>
    <xf numFmtId="0" fontId="550" fillId="2" borderId="0" xfId="30" applyFont="1" applyFill="1" applyAlignment="1">
      <alignment horizontal="left" vertical="center"/>
    </xf>
    <xf numFmtId="181" fontId="171" fillId="156" borderId="445" xfId="2" applyNumberFormat="1" applyFont="1" applyFill="1" applyBorder="1" applyAlignment="1">
      <alignment horizontal="center" vertical="center"/>
    </xf>
    <xf numFmtId="181" fontId="171" fillId="156" borderId="400" xfId="2" applyNumberFormat="1" applyFont="1" applyFill="1" applyBorder="1" applyAlignment="1">
      <alignment horizontal="center" vertical="center"/>
    </xf>
    <xf numFmtId="181" fontId="171" fillId="156" borderId="446" xfId="2" applyNumberFormat="1" applyFont="1" applyFill="1" applyBorder="1" applyAlignment="1">
      <alignment horizontal="center" vertical="center"/>
    </xf>
    <xf numFmtId="181" fontId="171" fillId="156" borderId="447" xfId="2" applyNumberFormat="1" applyFont="1" applyFill="1" applyBorder="1" applyAlignment="1">
      <alignment horizontal="center" vertical="center"/>
    </xf>
    <xf numFmtId="181" fontId="171" fillId="156" borderId="448" xfId="2" applyNumberFormat="1" applyFont="1" applyFill="1" applyBorder="1" applyAlignment="1">
      <alignment horizontal="center" vertical="center"/>
    </xf>
    <xf numFmtId="168" fontId="337" fillId="64" borderId="399" xfId="2" applyNumberFormat="1" applyFont="1" applyFill="1" applyBorder="1" applyAlignment="1" applyProtection="1">
      <alignment horizontal="center" vertical="center"/>
      <protection locked="0"/>
    </xf>
    <xf numFmtId="165" fontId="101" fillId="156" borderId="448" xfId="2" applyNumberFormat="1" applyFont="1" applyFill="1" applyBorder="1" applyAlignment="1">
      <alignment horizontal="center" vertical="center"/>
    </xf>
    <xf numFmtId="1" fontId="101" fillId="156" borderId="445" xfId="2" applyNumberFormat="1" applyFont="1" applyFill="1" applyBorder="1" applyAlignment="1">
      <alignment horizontal="center" vertical="center"/>
    </xf>
    <xf numFmtId="0" fontId="328" fillId="156" borderId="400" xfId="2" applyFont="1" applyFill="1" applyBorder="1" applyAlignment="1">
      <alignment horizontal="left" vertical="center"/>
    </xf>
    <xf numFmtId="0" fontId="189" fillId="17" borderId="438" xfId="2" applyFont="1" applyFill="1" applyBorder="1" applyAlignment="1" applyProtection="1">
      <alignment horizontal="center" vertical="center"/>
      <protection hidden="1"/>
    </xf>
    <xf numFmtId="187" fontId="189" fillId="157" borderId="400" xfId="2" applyNumberFormat="1" applyFont="1" applyFill="1" applyBorder="1" applyAlignment="1">
      <alignment horizontal="center" vertical="center"/>
    </xf>
    <xf numFmtId="187" fontId="101" fillId="155" borderId="400" xfId="2" applyNumberFormat="1" applyFont="1" applyFill="1" applyBorder="1" applyAlignment="1">
      <alignment horizontal="center" vertical="center"/>
    </xf>
    <xf numFmtId="0" fontId="341" fillId="2" borderId="438" xfId="32" applyFont="1" applyFill="1" applyBorder="1" applyAlignment="1">
      <alignment horizontal="center" vertical="center"/>
    </xf>
    <xf numFmtId="165" fontId="193" fillId="153" borderId="400" xfId="2" applyNumberFormat="1" applyFont="1" applyFill="1" applyBorder="1" applyAlignment="1">
      <alignment horizontal="center" vertical="center"/>
    </xf>
    <xf numFmtId="0" fontId="101" fillId="141" borderId="316" xfId="2" applyFont="1" applyFill="1" applyBorder="1" applyAlignment="1">
      <alignment horizontal="center" vertical="center"/>
    </xf>
    <xf numFmtId="181" fontId="171" fillId="158" borderId="445" xfId="2" applyNumberFormat="1" applyFont="1" applyFill="1" applyBorder="1" applyAlignment="1">
      <alignment horizontal="center" vertical="center"/>
    </xf>
    <xf numFmtId="181" fontId="171" fillId="158" borderId="400" xfId="2" applyNumberFormat="1" applyFont="1" applyFill="1" applyBorder="1" applyAlignment="1">
      <alignment horizontal="center" vertical="center"/>
    </xf>
    <xf numFmtId="181" fontId="171" fillId="158" borderId="446" xfId="2" applyNumberFormat="1" applyFont="1" applyFill="1" applyBorder="1" applyAlignment="1">
      <alignment horizontal="center" vertical="center"/>
    </xf>
    <xf numFmtId="181" fontId="171" fillId="158" borderId="447" xfId="2" applyNumberFormat="1" applyFont="1" applyFill="1" applyBorder="1" applyAlignment="1">
      <alignment horizontal="center" vertical="center"/>
    </xf>
    <xf numFmtId="181" fontId="171" fillId="158" borderId="448" xfId="2" applyNumberFormat="1" applyFont="1" applyFill="1" applyBorder="1" applyAlignment="1">
      <alignment horizontal="center" vertical="center"/>
    </xf>
    <xf numFmtId="165" fontId="101" fillId="158" borderId="448" xfId="2" applyNumberFormat="1" applyFont="1" applyFill="1" applyBorder="1" applyAlignment="1">
      <alignment horizontal="center" vertical="center"/>
    </xf>
    <xf numFmtId="2" fontId="101" fillId="158" borderId="445" xfId="2" applyNumberFormat="1" applyFont="1" applyFill="1" applyBorder="1" applyAlignment="1">
      <alignment horizontal="center" vertical="center"/>
    </xf>
    <xf numFmtId="0" fontId="328" fillId="158" borderId="400" xfId="2" applyFont="1" applyFill="1" applyBorder="1" applyAlignment="1">
      <alignment horizontal="left" vertical="center"/>
    </xf>
    <xf numFmtId="187" fontId="101" fillId="153" borderId="400" xfId="2" applyNumberFormat="1" applyFont="1" applyFill="1" applyBorder="1" applyAlignment="1">
      <alignment horizontal="center" vertical="center"/>
    </xf>
    <xf numFmtId="0" fontId="9" fillId="0" borderId="438" xfId="30" applyBorder="1"/>
    <xf numFmtId="179" fontId="122" fillId="19" borderId="450" xfId="25" applyNumberFormat="1" applyFont="1" applyFill="1" applyBorder="1" applyAlignment="1" applyProtection="1">
      <alignment horizontal="center" vertical="center"/>
      <protection locked="0"/>
    </xf>
    <xf numFmtId="0" fontId="189" fillId="2" borderId="451" xfId="25" applyFont="1" applyFill="1" applyBorder="1" applyAlignment="1">
      <alignment horizontal="left" vertical="center"/>
    </xf>
    <xf numFmtId="0" fontId="182" fillId="2" borderId="452" xfId="30" applyFont="1" applyFill="1" applyBorder="1"/>
    <xf numFmtId="0" fontId="121" fillId="33" borderId="0" xfId="30" applyFont="1" applyFill="1" applyAlignment="1">
      <alignment horizontal="right" vertical="center"/>
    </xf>
    <xf numFmtId="0" fontId="549" fillId="25" borderId="266" xfId="47" applyFont="1" applyFill="1" applyBorder="1" applyAlignment="1" applyProtection="1">
      <alignment horizontal="center" vertical="center"/>
      <protection locked="0"/>
    </xf>
    <xf numFmtId="169" fontId="548" fillId="25" borderId="266" xfId="47" applyNumberFormat="1" applyFont="1" applyFill="1" applyBorder="1" applyAlignment="1">
      <alignment horizontal="left" vertical="center" wrapText="1"/>
    </xf>
    <xf numFmtId="165" fontId="549" fillId="25" borderId="266" xfId="33" applyNumberFormat="1" applyFont="1" applyFill="1" applyBorder="1" applyAlignment="1">
      <alignment horizontal="center" vertical="center"/>
    </xf>
    <xf numFmtId="2" fontId="101" fillId="156" borderId="445" xfId="2" applyNumberFormat="1" applyFont="1" applyFill="1" applyBorder="1" applyAlignment="1">
      <alignment horizontal="center" vertical="center"/>
    </xf>
    <xf numFmtId="187" fontId="189" fillId="66" borderId="400" xfId="2" applyNumberFormat="1" applyFont="1" applyFill="1" applyBorder="1" applyAlignment="1">
      <alignment horizontal="center" vertical="center"/>
    </xf>
    <xf numFmtId="187" fontId="101" fillId="153" borderId="448" xfId="2" applyNumberFormat="1" applyFont="1" applyFill="1" applyBorder="1" applyAlignment="1">
      <alignment horizontal="center" vertical="center"/>
    </xf>
    <xf numFmtId="187" fontId="101" fillId="155" borderId="448" xfId="2" applyNumberFormat="1" applyFont="1" applyFill="1" applyBorder="1" applyAlignment="1">
      <alignment horizontal="center" vertical="center"/>
    </xf>
    <xf numFmtId="0" fontId="198" fillId="150" borderId="0" xfId="31" applyFont="1" applyFill="1" applyAlignment="1">
      <alignment horizontal="center" vertical="center"/>
    </xf>
    <xf numFmtId="0" fontId="549" fillId="3" borderId="266" xfId="30" applyFont="1" applyFill="1" applyBorder="1" applyAlignment="1" applyProtection="1">
      <alignment horizontal="center" vertical="center"/>
      <protection locked="0"/>
    </xf>
    <xf numFmtId="169" fontId="548" fillId="3" borderId="266" xfId="30" applyNumberFormat="1" applyFont="1" applyFill="1" applyBorder="1" applyAlignment="1">
      <alignment horizontal="left" vertical="center" wrapText="1"/>
    </xf>
    <xf numFmtId="165" fontId="549" fillId="3" borderId="266" xfId="5" applyNumberFormat="1" applyFont="1" applyFill="1" applyBorder="1" applyAlignment="1">
      <alignment horizontal="center" vertical="center"/>
    </xf>
    <xf numFmtId="165" fontId="193" fillId="161" borderId="447" xfId="2" applyNumberFormat="1" applyFont="1" applyFill="1" applyBorder="1" applyAlignment="1">
      <alignment horizontal="center" vertical="center"/>
    </xf>
    <xf numFmtId="165" fontId="193" fillId="161" borderId="316" xfId="2" applyNumberFormat="1" applyFont="1" applyFill="1" applyBorder="1" applyAlignment="1">
      <alignment horizontal="center" vertical="center"/>
    </xf>
    <xf numFmtId="0" fontId="550" fillId="3" borderId="0" xfId="30" applyFont="1" applyFill="1" applyAlignment="1">
      <alignment horizontal="left" vertical="center"/>
    </xf>
    <xf numFmtId="165" fontId="171" fillId="161" borderId="445" xfId="2" applyNumberFormat="1" applyFont="1" applyFill="1" applyBorder="1" applyAlignment="1">
      <alignment horizontal="center" vertical="center"/>
    </xf>
    <xf numFmtId="165" fontId="171" fillId="161" borderId="400" xfId="2" applyNumberFormat="1" applyFont="1" applyFill="1" applyBorder="1" applyAlignment="1">
      <alignment horizontal="center" vertical="center"/>
    </xf>
    <xf numFmtId="165" fontId="171" fillId="161" borderId="446" xfId="2" applyNumberFormat="1" applyFont="1" applyFill="1" applyBorder="1" applyAlignment="1">
      <alignment horizontal="center" vertical="center"/>
    </xf>
    <xf numFmtId="165" fontId="171" fillId="161" borderId="447" xfId="2" applyNumberFormat="1" applyFont="1" applyFill="1" applyBorder="1" applyAlignment="1">
      <alignment horizontal="center" vertical="center"/>
    </xf>
    <xf numFmtId="165" fontId="171" fillId="161" borderId="448" xfId="2" applyNumberFormat="1" applyFont="1" applyFill="1" applyBorder="1" applyAlignment="1">
      <alignment horizontal="center" vertical="center"/>
    </xf>
    <xf numFmtId="165" fontId="101" fillId="161" borderId="448" xfId="2" applyNumberFormat="1" applyFont="1" applyFill="1" applyBorder="1" applyAlignment="1">
      <alignment horizontal="center" vertical="center"/>
    </xf>
    <xf numFmtId="0" fontId="101" fillId="161" borderId="445" xfId="2" applyFont="1" applyFill="1" applyBorder="1" applyAlignment="1">
      <alignment horizontal="center" vertical="center"/>
    </xf>
    <xf numFmtId="0" fontId="328" fillId="161" borderId="400" xfId="2" applyFont="1" applyFill="1" applyBorder="1" applyAlignment="1">
      <alignment horizontal="left" vertical="center"/>
    </xf>
    <xf numFmtId="165" fontId="101" fillId="161" borderId="445" xfId="2" applyNumberFormat="1" applyFont="1" applyFill="1" applyBorder="1" applyAlignment="1">
      <alignment horizontal="center" vertical="center"/>
    </xf>
    <xf numFmtId="187" fontId="189" fillId="161" borderId="400" xfId="2" applyNumberFormat="1" applyFont="1" applyFill="1" applyBorder="1" applyAlignment="1">
      <alignment horizontal="center" vertical="center"/>
    </xf>
    <xf numFmtId="187" fontId="101" fillId="161" borderId="448" xfId="2" applyNumberFormat="1" applyFont="1" applyFill="1" applyBorder="1" applyAlignment="1">
      <alignment horizontal="center" vertical="center"/>
    </xf>
    <xf numFmtId="0" fontId="179" fillId="2" borderId="0" xfId="2" applyFont="1" applyFill="1" applyAlignment="1" applyProtection="1">
      <alignment horizontal="right" vertical="center"/>
      <protection hidden="1"/>
    </xf>
    <xf numFmtId="0" fontId="551" fillId="2" borderId="213" xfId="46" applyFont="1" applyFill="1" applyBorder="1" applyAlignment="1">
      <alignment horizontal="left" vertical="center"/>
    </xf>
    <xf numFmtId="0" fontId="551" fillId="2" borderId="0" xfId="46" applyFont="1" applyFill="1" applyAlignment="1">
      <alignment horizontal="left" vertical="center"/>
    </xf>
    <xf numFmtId="0" fontId="551" fillId="2" borderId="401" xfId="46" applyFont="1" applyFill="1" applyBorder="1" applyAlignment="1">
      <alignment horizontal="left" vertical="center"/>
    </xf>
    <xf numFmtId="0" fontId="549" fillId="25" borderId="197" xfId="30" applyFont="1" applyFill="1" applyBorder="1" applyAlignment="1" applyProtection="1">
      <alignment horizontal="center" vertical="center"/>
      <protection locked="0"/>
    </xf>
    <xf numFmtId="169" fontId="548" fillId="25" borderId="197" xfId="30" applyNumberFormat="1" applyFont="1" applyFill="1" applyBorder="1" applyAlignment="1">
      <alignment horizontal="left" vertical="center" wrapText="1"/>
    </xf>
    <xf numFmtId="165" fontId="549" fillId="25" borderId="197" xfId="5" applyNumberFormat="1" applyFont="1" applyFill="1" applyBorder="1" applyAlignment="1">
      <alignment horizontal="center" vertical="center"/>
    </xf>
    <xf numFmtId="165" fontId="101" fillId="153" borderId="454" xfId="2" applyNumberFormat="1" applyFont="1" applyFill="1" applyBorder="1" applyAlignment="1">
      <alignment horizontal="center" vertical="center"/>
    </xf>
    <xf numFmtId="165" fontId="193" fillId="153" borderId="412" xfId="2" applyNumberFormat="1" applyFont="1" applyFill="1" applyBorder="1" applyAlignment="1">
      <alignment horizontal="center" vertical="center"/>
    </xf>
    <xf numFmtId="0" fontId="550" fillId="0" borderId="412" xfId="30" applyFont="1" applyBorder="1" applyAlignment="1">
      <alignment horizontal="left" vertical="center"/>
    </xf>
    <xf numFmtId="181" fontId="171" fillId="153" borderId="455" xfId="2" applyNumberFormat="1" applyFont="1" applyFill="1" applyBorder="1" applyAlignment="1">
      <alignment horizontal="center" vertical="center"/>
    </xf>
    <xf numFmtId="181" fontId="171" fillId="153" borderId="456" xfId="2" applyNumberFormat="1" applyFont="1" applyFill="1" applyBorder="1" applyAlignment="1">
      <alignment horizontal="center" vertical="center"/>
    </xf>
    <xf numFmtId="181" fontId="171" fillId="153" borderId="457" xfId="2" applyNumberFormat="1" applyFont="1" applyFill="1" applyBorder="1" applyAlignment="1">
      <alignment horizontal="center" vertical="center"/>
    </xf>
    <xf numFmtId="181" fontId="171" fillId="153" borderId="454" xfId="2" applyNumberFormat="1" applyFont="1" applyFill="1" applyBorder="1" applyAlignment="1">
      <alignment horizontal="center" vertical="center"/>
    </xf>
    <xf numFmtId="181" fontId="171" fillId="153" borderId="458" xfId="2" applyNumberFormat="1" applyFont="1" applyFill="1" applyBorder="1" applyAlignment="1">
      <alignment horizontal="center" vertical="center"/>
    </xf>
    <xf numFmtId="165" fontId="101" fillId="153" borderId="458" xfId="2" applyNumberFormat="1" applyFont="1" applyFill="1" applyBorder="1" applyAlignment="1">
      <alignment horizontal="center" vertical="center"/>
    </xf>
    <xf numFmtId="0" fontId="101" fillId="153" borderId="455" xfId="2" applyFont="1" applyFill="1" applyBorder="1" applyAlignment="1">
      <alignment horizontal="center" vertical="center"/>
    </xf>
    <xf numFmtId="0" fontId="328" fillId="153" borderId="456" xfId="2" applyFont="1" applyFill="1" applyBorder="1" applyAlignment="1">
      <alignment horizontal="left" vertical="center"/>
    </xf>
    <xf numFmtId="165" fontId="101" fillId="153" borderId="455" xfId="2" applyNumberFormat="1" applyFont="1" applyFill="1" applyBorder="1" applyAlignment="1">
      <alignment horizontal="center" vertical="center"/>
    </xf>
    <xf numFmtId="0" fontId="101" fillId="153" borderId="456" xfId="2" applyFont="1" applyFill="1" applyBorder="1" applyAlignment="1">
      <alignment horizontal="center" vertical="center"/>
    </xf>
    <xf numFmtId="187" fontId="101" fillId="153" borderId="458" xfId="2" applyNumberFormat="1" applyFont="1" applyFill="1" applyBorder="1" applyAlignment="1">
      <alignment horizontal="center" vertical="center"/>
    </xf>
    <xf numFmtId="0" fontId="309" fillId="0" borderId="459" xfId="32" applyFont="1" applyBorder="1" applyAlignment="1">
      <alignment horizontal="center" vertical="center"/>
    </xf>
    <xf numFmtId="0" fontId="179" fillId="2" borderId="412" xfId="2" applyFont="1" applyFill="1" applyBorder="1" applyAlignment="1" applyProtection="1">
      <alignment horizontal="right" vertical="center"/>
      <protection hidden="1"/>
    </xf>
    <xf numFmtId="0" fontId="542" fillId="2" borderId="413" xfId="30" applyFont="1" applyFill="1" applyBorder="1" applyAlignment="1">
      <alignment horizontal="left" vertical="center"/>
    </xf>
    <xf numFmtId="0" fontId="551" fillId="2" borderId="106" xfId="46" applyFont="1" applyFill="1" applyBorder="1" applyAlignment="1">
      <alignment horizontal="left" vertical="center"/>
    </xf>
    <xf numFmtId="0" fontId="551" fillId="2" borderId="10" xfId="46" applyFont="1" applyFill="1" applyBorder="1" applyAlignment="1">
      <alignment horizontal="left" vertical="center"/>
    </xf>
    <xf numFmtId="0" fontId="275" fillId="2" borderId="10" xfId="46" applyFont="1" applyFill="1" applyBorder="1"/>
    <xf numFmtId="0" fontId="551" fillId="2" borderId="9" xfId="46" applyFont="1" applyFill="1" applyBorder="1" applyAlignment="1">
      <alignment horizontal="left" vertical="center"/>
    </xf>
    <xf numFmtId="0" fontId="9" fillId="2" borderId="0" xfId="46" applyFill="1"/>
    <xf numFmtId="0" fontId="552" fillId="2" borderId="0" xfId="46" applyFont="1" applyFill="1"/>
    <xf numFmtId="0" fontId="553" fillId="2" borderId="0" xfId="31" applyFont="1" applyFill="1" applyAlignment="1">
      <alignment vertical="center"/>
    </xf>
    <xf numFmtId="0" fontId="537" fillId="148" borderId="438" xfId="9" applyFont="1" applyFill="1" applyBorder="1" applyAlignment="1">
      <alignment horizontal="center" vertical="center"/>
    </xf>
    <xf numFmtId="0" fontId="474" fillId="56" borderId="0" xfId="31" quotePrefix="1" applyFont="1" applyFill="1" applyAlignment="1">
      <alignment horizontal="left" vertical="center"/>
    </xf>
    <xf numFmtId="0" fontId="555" fillId="2" borderId="0" xfId="31" applyFont="1" applyFill="1" applyAlignment="1">
      <alignment vertical="center"/>
    </xf>
    <xf numFmtId="0" fontId="549" fillId="25" borderId="266" xfId="46" applyFont="1" applyFill="1" applyBorder="1" applyAlignment="1" applyProtection="1">
      <alignment horizontal="center" vertical="center"/>
      <protection locked="0"/>
    </xf>
    <xf numFmtId="169" fontId="556" fillId="25" borderId="266" xfId="46" applyNumberFormat="1" applyFont="1" applyFill="1" applyBorder="1" applyAlignment="1">
      <alignment horizontal="left" vertical="center" wrapText="1"/>
    </xf>
    <xf numFmtId="165" fontId="149" fillId="153" borderId="400" xfId="31" applyNumberFormat="1" applyFont="1" applyFill="1" applyBorder="1" applyAlignment="1">
      <alignment horizontal="center" vertical="center"/>
    </xf>
    <xf numFmtId="0" fontId="475" fillId="33" borderId="0" xfId="31" applyFont="1" applyFill="1" applyAlignment="1">
      <alignment horizontal="center" vertical="center"/>
    </xf>
    <xf numFmtId="0" fontId="557" fillId="25" borderId="266" xfId="46" applyFont="1" applyFill="1" applyBorder="1" applyAlignment="1" applyProtection="1">
      <alignment horizontal="center" vertical="center"/>
      <protection locked="0"/>
    </xf>
    <xf numFmtId="165" fontId="193" fillId="155" borderId="400" xfId="31" applyNumberFormat="1" applyFont="1" applyFill="1" applyBorder="1" applyAlignment="1">
      <alignment horizontal="center" vertical="center"/>
    </xf>
    <xf numFmtId="165" fontId="325" fillId="153" borderId="400" xfId="31" applyNumberFormat="1" applyFont="1" applyFill="1" applyBorder="1" applyAlignment="1">
      <alignment horizontal="left" vertical="center"/>
    </xf>
    <xf numFmtId="0" fontId="558" fillId="2" borderId="0" xfId="46" applyFont="1" applyFill="1"/>
    <xf numFmtId="0" fontId="9" fillId="0" borderId="325" xfId="46" applyBorder="1"/>
    <xf numFmtId="0" fontId="9" fillId="2" borderId="406" xfId="46" applyFill="1" applyBorder="1"/>
    <xf numFmtId="0" fontId="9" fillId="0" borderId="403" xfId="46" applyBorder="1"/>
    <xf numFmtId="0" fontId="474" fillId="74" borderId="0" xfId="31" applyFont="1" applyFill="1" applyAlignment="1">
      <alignment horizontal="center" vertical="center"/>
    </xf>
    <xf numFmtId="165" fontId="328" fillId="152" borderId="0" xfId="31" applyNumberFormat="1" applyFont="1" applyFill="1" applyAlignment="1">
      <alignment horizontal="left" vertical="center"/>
    </xf>
    <xf numFmtId="165" fontId="193" fillId="153" borderId="400" xfId="31" applyNumberFormat="1" applyFont="1" applyFill="1" applyBorder="1" applyAlignment="1">
      <alignment horizontal="center" vertical="center"/>
    </xf>
    <xf numFmtId="168" fontId="559" fillId="64" borderId="0" xfId="31" applyNumberFormat="1" applyFont="1" applyFill="1" applyAlignment="1" applyProtection="1">
      <alignment horizontal="center" vertical="center"/>
      <protection locked="0"/>
    </xf>
    <xf numFmtId="181" fontId="138" fillId="158" borderId="0" xfId="31" applyNumberFormat="1" applyFont="1" applyFill="1" applyAlignment="1">
      <alignment horizontal="center" vertical="center"/>
    </xf>
    <xf numFmtId="1" fontId="101" fillId="158" borderId="0" xfId="31" applyNumberFormat="1" applyFont="1" applyFill="1" applyAlignment="1">
      <alignment horizontal="center" vertical="center"/>
    </xf>
    <xf numFmtId="168" fontId="559" fillId="65" borderId="0" xfId="31" applyNumberFormat="1" applyFont="1" applyFill="1" applyAlignment="1" applyProtection="1">
      <alignment horizontal="center" vertical="center"/>
      <protection locked="0"/>
    </xf>
    <xf numFmtId="165" fontId="219" fillId="65" borderId="0" xfId="31" applyNumberFormat="1" applyFont="1" applyFill="1" applyAlignment="1">
      <alignment horizontal="center" vertical="center"/>
    </xf>
    <xf numFmtId="0" fontId="138" fillId="33" borderId="316" xfId="31" applyFont="1" applyFill="1" applyBorder="1" applyAlignment="1" applyProtection="1">
      <alignment vertical="center"/>
      <protection hidden="1"/>
    </xf>
    <xf numFmtId="0" fontId="101" fillId="33" borderId="0" xfId="31" applyFont="1" applyFill="1" applyAlignment="1" applyProtection="1">
      <alignment vertical="center"/>
      <protection hidden="1"/>
    </xf>
    <xf numFmtId="1" fontId="560" fillId="2" borderId="0" xfId="46" applyNumberFormat="1" applyFont="1" applyFill="1" applyAlignment="1">
      <alignment horizontal="center" vertical="center"/>
    </xf>
    <xf numFmtId="0" fontId="561" fillId="25" borderId="266" xfId="46" applyFont="1" applyFill="1" applyBorder="1" applyAlignment="1" applyProtection="1">
      <alignment horizontal="center" vertical="center"/>
      <protection locked="0"/>
    </xf>
    <xf numFmtId="0" fontId="555" fillId="2" borderId="0" xfId="31" applyFont="1" applyFill="1" applyAlignment="1">
      <alignment horizontal="center" vertical="center"/>
    </xf>
    <xf numFmtId="0" fontId="138" fillId="33" borderId="0" xfId="31" applyFont="1" applyFill="1" applyAlignment="1" applyProtection="1">
      <alignment horizontal="center" vertical="center"/>
      <protection hidden="1"/>
    </xf>
    <xf numFmtId="165" fontId="562" fillId="2" borderId="0" xfId="33" applyNumberFormat="1" applyFont="1" applyFill="1" applyAlignment="1">
      <alignment horizontal="center" vertical="center"/>
    </xf>
    <xf numFmtId="165" fontId="344" fillId="65" borderId="0" xfId="31" applyNumberFormat="1" applyFont="1" applyFill="1" applyAlignment="1">
      <alignment horizontal="center" vertical="center"/>
    </xf>
    <xf numFmtId="0" fontId="137" fillId="33" borderId="0" xfId="46" applyFont="1" applyFill="1" applyAlignment="1">
      <alignment horizontal="center"/>
    </xf>
    <xf numFmtId="165" fontId="138" fillId="33" borderId="0" xfId="33" applyNumberFormat="1" applyFont="1" applyFill="1" applyAlignment="1">
      <alignment horizontal="center" vertical="center"/>
    </xf>
    <xf numFmtId="0" fontId="479" fillId="24" borderId="0" xfId="31" applyFont="1" applyFill="1" applyAlignment="1" applyProtection="1">
      <alignment horizontal="right" vertical="center" wrapText="1"/>
      <protection hidden="1"/>
    </xf>
    <xf numFmtId="187" fontId="511" fillId="157" borderId="400" xfId="31" applyNumberFormat="1" applyFont="1" applyFill="1" applyBorder="1" applyAlignment="1">
      <alignment horizontal="center" vertical="center"/>
    </xf>
    <xf numFmtId="187" fontId="189" fillId="157" borderId="400" xfId="31" applyNumberFormat="1" applyFont="1" applyFill="1" applyBorder="1" applyAlignment="1">
      <alignment horizontal="center" vertical="center"/>
    </xf>
    <xf numFmtId="0" fontId="562" fillId="2" borderId="0" xfId="46" applyFont="1" applyFill="1" applyAlignment="1" applyProtection="1">
      <alignment horizontal="center" vertical="center"/>
      <protection locked="0"/>
    </xf>
    <xf numFmtId="169" fontId="563" fillId="2" borderId="0" xfId="46" applyNumberFormat="1" applyFont="1" applyFill="1" applyAlignment="1">
      <alignment horizontal="left" vertical="center"/>
    </xf>
    <xf numFmtId="169" fontId="563" fillId="2" borderId="0" xfId="46" applyNumberFormat="1" applyFont="1" applyFill="1" applyAlignment="1">
      <alignment horizontal="left" vertical="center" wrapText="1"/>
    </xf>
    <xf numFmtId="0" fontId="166" fillId="2" borderId="0" xfId="2" applyFont="1" applyFill="1" applyAlignment="1" applyProtection="1">
      <alignment horizontal="left" vertical="center" wrapText="1"/>
      <protection hidden="1"/>
    </xf>
    <xf numFmtId="0" fontId="565" fillId="0" borderId="0" xfId="25" applyFont="1" applyAlignment="1">
      <alignment vertical="center" wrapText="1"/>
    </xf>
    <xf numFmtId="0" fontId="344" fillId="0" borderId="0" xfId="25" applyFont="1"/>
    <xf numFmtId="0" fontId="566" fillId="0" borderId="0" xfId="39" applyFont="1" applyAlignment="1">
      <alignment vertical="center" wrapText="1"/>
    </xf>
    <xf numFmtId="0" fontId="347" fillId="0" borderId="0" xfId="25" applyFont="1"/>
    <xf numFmtId="0" fontId="356" fillId="0" borderId="0" xfId="39" applyFont="1" applyAlignment="1">
      <alignment vertical="center" wrapText="1"/>
    </xf>
    <xf numFmtId="0" fontId="567" fillId="0" borderId="0" xfId="25" applyFont="1" applyAlignment="1">
      <alignment vertical="center"/>
    </xf>
    <xf numFmtId="0" fontId="568" fillId="0" borderId="0" xfId="25" applyFont="1" applyAlignment="1">
      <alignment vertical="center"/>
    </xf>
    <xf numFmtId="0" fontId="193" fillId="0" borderId="0" xfId="25" applyFont="1" applyAlignment="1">
      <alignment horizontal="left" vertical="center"/>
    </xf>
    <xf numFmtId="0" fontId="568" fillId="0" borderId="0" xfId="25" applyFont="1" applyAlignment="1">
      <alignment horizontal="left" vertical="center"/>
    </xf>
    <xf numFmtId="0" fontId="569" fillId="0" borderId="0" xfId="25" applyFont="1" applyAlignment="1">
      <alignment horizontal="left" vertical="center"/>
    </xf>
    <xf numFmtId="0" fontId="570" fillId="0" borderId="461" xfId="25" applyFont="1" applyBorder="1" applyAlignment="1">
      <alignment horizontal="justify" vertical="center"/>
    </xf>
    <xf numFmtId="0" fontId="163" fillId="0" borderId="0" xfId="25" applyFont="1" applyAlignment="1">
      <alignment horizontal="justify" vertical="center" wrapText="1"/>
    </xf>
    <xf numFmtId="0" fontId="572" fillId="0" borderId="0" xfId="25" applyFont="1" applyAlignment="1">
      <alignment horizontal="left" vertical="center" wrapText="1"/>
    </xf>
    <xf numFmtId="0" fontId="571" fillId="0" borderId="0" xfId="25" applyFont="1"/>
    <xf numFmtId="0" fontId="573" fillId="0" borderId="0" xfId="25" applyFont="1" applyAlignment="1">
      <alignment vertical="center" wrapText="1"/>
    </xf>
    <xf numFmtId="15" fontId="574" fillId="0" borderId="0" xfId="25" applyNumberFormat="1" applyFont="1" applyAlignment="1">
      <alignment vertical="center" wrapText="1"/>
    </xf>
    <xf numFmtId="0" fontId="575" fillId="0" borderId="0" xfId="25" applyFont="1" applyAlignment="1">
      <alignment horizontal="left" vertical="center" wrapText="1" indent="1"/>
    </xf>
    <xf numFmtId="0" fontId="576" fillId="0" borderId="0" xfId="25" applyFont="1" applyAlignment="1">
      <alignment vertical="center" wrapText="1"/>
    </xf>
    <xf numFmtId="0" fontId="577" fillId="0" borderId="0" xfId="25" applyFont="1" applyAlignment="1">
      <alignment vertical="center" wrapText="1"/>
    </xf>
    <xf numFmtId="0" fontId="578" fillId="0" borderId="0" xfId="25" applyFont="1" applyAlignment="1">
      <alignment vertical="center" wrapText="1"/>
    </xf>
    <xf numFmtId="0" fontId="577" fillId="0" borderId="0" xfId="25" applyFont="1"/>
    <xf numFmtId="0" fontId="476" fillId="2" borderId="13" xfId="0" applyFont="1" applyFill="1" applyBorder="1"/>
    <xf numFmtId="0" fontId="401" fillId="2" borderId="0" xfId="0" applyFont="1" applyFill="1"/>
    <xf numFmtId="0" fontId="460" fillId="30" borderId="13" xfId="12" applyFont="1" applyFill="1" applyBorder="1" applyAlignment="1" applyProtection="1">
      <alignment vertical="center"/>
      <protection hidden="1"/>
    </xf>
    <xf numFmtId="0" fontId="580" fillId="13" borderId="0" xfId="17" applyFont="1" applyFill="1" applyAlignment="1">
      <alignment vertical="center"/>
    </xf>
    <xf numFmtId="0" fontId="558" fillId="17" borderId="281" xfId="0" applyFont="1" applyFill="1" applyBorder="1" applyAlignment="1">
      <alignment horizontal="center" vertical="center" wrapText="1"/>
    </xf>
    <xf numFmtId="0" fontId="581" fillId="17" borderId="281" xfId="0" applyFont="1" applyFill="1" applyBorder="1" applyAlignment="1">
      <alignment horizontal="center" vertical="center" wrapText="1"/>
    </xf>
    <xf numFmtId="0" fontId="581" fillId="17" borderId="251" xfId="0" applyFont="1" applyFill="1" applyBorder="1" applyAlignment="1">
      <alignment horizontal="center" vertical="center" wrapText="1"/>
    </xf>
    <xf numFmtId="0" fontId="581" fillId="17" borderId="257" xfId="0" applyFont="1" applyFill="1" applyBorder="1" applyAlignment="1">
      <alignment horizontal="center" vertical="center" wrapText="1"/>
    </xf>
    <xf numFmtId="0" fontId="581" fillId="39" borderId="263" xfId="0" applyFont="1" applyFill="1" applyBorder="1" applyAlignment="1">
      <alignment horizontal="center" vertical="center" wrapText="1"/>
    </xf>
    <xf numFmtId="0" fontId="581" fillId="39" borderId="268" xfId="0" applyFont="1" applyFill="1" applyBorder="1" applyAlignment="1">
      <alignment horizontal="center" vertical="center" wrapText="1"/>
    </xf>
    <xf numFmtId="0" fontId="581" fillId="39" borderId="462" xfId="0" applyFont="1" applyFill="1" applyBorder="1" applyAlignment="1">
      <alignment horizontal="center" vertical="center" wrapText="1"/>
    </xf>
    <xf numFmtId="0" fontId="582" fillId="13" borderId="281" xfId="0" applyFont="1" applyFill="1" applyBorder="1" applyAlignment="1">
      <alignment horizontal="center" vertical="center" wrapText="1"/>
    </xf>
    <xf numFmtId="0" fontId="565" fillId="13" borderId="251" xfId="0" applyFont="1" applyFill="1" applyBorder="1" applyAlignment="1">
      <alignment horizontal="center" vertical="center" wrapText="1"/>
    </xf>
    <xf numFmtId="0" fontId="565" fillId="17" borderId="257" xfId="0" applyFont="1" applyFill="1" applyBorder="1" applyAlignment="1">
      <alignment horizontal="center" vertical="center" wrapText="1"/>
    </xf>
    <xf numFmtId="2" fontId="558" fillId="39" borderId="263" xfId="0" applyNumberFormat="1" applyFont="1" applyFill="1" applyBorder="1" applyAlignment="1">
      <alignment horizontal="center" vertical="center" wrapText="1"/>
    </xf>
    <xf numFmtId="2" fontId="558" fillId="39" borderId="268" xfId="0" applyNumberFormat="1" applyFont="1" applyFill="1" applyBorder="1" applyAlignment="1">
      <alignment horizontal="center" vertical="center" wrapText="1"/>
    </xf>
    <xf numFmtId="2" fontId="558" fillId="39" borderId="462" xfId="0" applyNumberFormat="1" applyFont="1" applyFill="1" applyBorder="1" applyAlignment="1">
      <alignment horizontal="center" vertical="center" wrapText="1"/>
    </xf>
    <xf numFmtId="0" fontId="565" fillId="13" borderId="257" xfId="0" applyFont="1" applyFill="1" applyBorder="1" applyAlignment="1">
      <alignment horizontal="center" vertical="center" wrapText="1"/>
    </xf>
    <xf numFmtId="0" fontId="13" fillId="33" borderId="357" xfId="2" applyFill="1" applyBorder="1" applyProtection="1">
      <protection hidden="1"/>
    </xf>
    <xf numFmtId="0" fontId="13" fillId="33" borderId="0" xfId="2" applyFill="1" applyProtection="1">
      <protection hidden="1"/>
    </xf>
    <xf numFmtId="0" fontId="275" fillId="2" borderId="11" xfId="0" applyFont="1" applyFill="1" applyBorder="1"/>
    <xf numFmtId="0" fontId="275" fillId="2" borderId="10" xfId="0" applyFont="1" applyFill="1" applyBorder="1"/>
    <xf numFmtId="0" fontId="275" fillId="2" borderId="412" xfId="0" applyFont="1" applyFill="1" applyBorder="1"/>
    <xf numFmtId="0" fontId="231" fillId="33" borderId="0" xfId="2" applyFont="1" applyFill="1" applyProtection="1">
      <protection hidden="1"/>
    </xf>
    <xf numFmtId="0" fontId="275" fillId="33" borderId="0" xfId="1" applyFont="1" applyFill="1"/>
    <xf numFmtId="0" fontId="583" fillId="62" borderId="12" xfId="0" applyFont="1" applyFill="1" applyBorder="1" applyAlignment="1">
      <alignment horizontal="center" vertical="center"/>
    </xf>
    <xf numFmtId="0" fontId="209" fillId="2" borderId="0" xfId="2" applyFont="1" applyFill="1" applyAlignment="1">
      <alignment horizontal="center" vertical="center"/>
    </xf>
    <xf numFmtId="0" fontId="584" fillId="50" borderId="0" xfId="2" applyFont="1" applyFill="1" applyAlignment="1">
      <alignment vertical="center"/>
    </xf>
    <xf numFmtId="0" fontId="148" fillId="0" borderId="0" xfId="0" applyFont="1"/>
    <xf numFmtId="0" fontId="216" fillId="17" borderId="0" xfId="17" applyFont="1" applyFill="1" applyAlignment="1">
      <alignment vertical="center"/>
    </xf>
    <xf numFmtId="0" fontId="256" fillId="2" borderId="0" xfId="5" applyFont="1" applyFill="1" applyAlignment="1">
      <alignment horizontal="center" vertical="center" wrapText="1"/>
    </xf>
    <xf numFmtId="0" fontId="587" fillId="2" borderId="0" xfId="14" applyFont="1" applyFill="1" applyAlignment="1">
      <alignment vertical="center"/>
    </xf>
    <xf numFmtId="0" fontId="588" fillId="2" borderId="0" xfId="5" applyFont="1" applyFill="1" applyAlignment="1">
      <alignment vertical="center"/>
    </xf>
    <xf numFmtId="0" fontId="589" fillId="2" borderId="0" xfId="1" applyFont="1" applyFill="1" applyAlignment="1">
      <alignment vertical="center" wrapText="1"/>
    </xf>
    <xf numFmtId="0" fontId="319" fillId="2" borderId="0" xfId="2" applyFont="1" applyFill="1" applyAlignment="1" applyProtection="1">
      <alignment vertical="center"/>
      <protection hidden="1"/>
    </xf>
    <xf numFmtId="0" fontId="400" fillId="2" borderId="0" xfId="1" applyFont="1" applyFill="1"/>
    <xf numFmtId="0" fontId="527" fillId="2" borderId="0" xfId="3" applyFont="1" applyFill="1" applyAlignment="1">
      <alignment vertical="center"/>
    </xf>
    <xf numFmtId="0" fontId="233" fillId="2" borderId="0" xfId="1" applyFont="1" applyFill="1" applyAlignment="1">
      <alignment vertical="center"/>
    </xf>
    <xf numFmtId="0" fontId="233" fillId="2" borderId="0" xfId="1" applyFont="1" applyFill="1"/>
    <xf numFmtId="0" fontId="590" fillId="0" borderId="0" xfId="3" applyFont="1" applyAlignment="1">
      <alignment vertical="center"/>
    </xf>
    <xf numFmtId="0" fontId="400" fillId="0" borderId="0" xfId="1" applyFont="1"/>
    <xf numFmtId="0" fontId="165" fillId="0" borderId="0" xfId="0" applyFont="1"/>
    <xf numFmtId="0" fontId="165" fillId="33" borderId="0" xfId="0" applyFont="1" applyFill="1"/>
    <xf numFmtId="0" fontId="137" fillId="0" borderId="0" xfId="0" applyFont="1"/>
    <xf numFmtId="0" fontId="209" fillId="33" borderId="0" xfId="31" applyFont="1" applyFill="1" applyAlignment="1">
      <alignment horizontal="center" vertical="center"/>
    </xf>
    <xf numFmtId="0" fontId="16" fillId="2" borderId="0" xfId="0" applyFont="1" applyFill="1"/>
    <xf numFmtId="0" fontId="16" fillId="2" borderId="0" xfId="0" applyFont="1" applyFill="1" applyAlignment="1">
      <alignment horizontal="right"/>
    </xf>
    <xf numFmtId="0" fontId="189" fillId="0" borderId="0" xfId="0" applyFont="1"/>
    <xf numFmtId="0" fontId="537" fillId="12" borderId="438" xfId="9" applyFont="1" applyFill="1" applyBorder="1" applyAlignment="1">
      <alignment horizontal="center" vertical="center"/>
    </xf>
    <xf numFmtId="0" fontId="328" fillId="69" borderId="464" xfId="25" applyFont="1" applyFill="1" applyBorder="1" applyAlignment="1">
      <alignment horizontal="right" vertical="center"/>
    </xf>
    <xf numFmtId="225" fontId="166" fillId="2" borderId="434" xfId="2" applyNumberFormat="1" applyFont="1" applyFill="1" applyBorder="1" applyAlignment="1">
      <alignment horizontal="center" vertical="center" wrapText="1"/>
    </xf>
    <xf numFmtId="0" fontId="101" fillId="33" borderId="316" xfId="2" applyFont="1" applyFill="1" applyBorder="1" applyAlignment="1" applyProtection="1">
      <alignment vertical="center"/>
      <protection hidden="1"/>
    </xf>
    <xf numFmtId="165" fontId="347" fillId="153" borderId="0" xfId="31" applyNumberFormat="1" applyFont="1" applyFill="1" applyAlignment="1">
      <alignment horizontal="left" vertical="center"/>
    </xf>
    <xf numFmtId="0" fontId="327" fillId="164" borderId="0" xfId="31" applyFont="1" applyFill="1" applyAlignment="1">
      <alignment horizontal="left" vertical="center"/>
    </xf>
    <xf numFmtId="0" fontId="166" fillId="164" borderId="0" xfId="31" applyFont="1" applyFill="1" applyAlignment="1">
      <alignment horizontal="left" vertical="center"/>
    </xf>
    <xf numFmtId="0" fontId="183" fillId="33" borderId="0" xfId="31" applyFont="1" applyFill="1" applyAlignment="1" applyProtection="1">
      <alignment vertical="center"/>
      <protection hidden="1"/>
    </xf>
    <xf numFmtId="0" fontId="183" fillId="33" borderId="0" xfId="31" applyFont="1" applyFill="1" applyAlignment="1" applyProtection="1">
      <alignment horizontal="right" vertical="center"/>
      <protection hidden="1"/>
    </xf>
    <xf numFmtId="0" fontId="210" fillId="33" borderId="460" xfId="31" applyFont="1" applyFill="1" applyBorder="1" applyAlignment="1" applyProtection="1">
      <alignment horizontal="right" vertical="center"/>
      <protection hidden="1"/>
    </xf>
    <xf numFmtId="0" fontId="209" fillId="33" borderId="0" xfId="31" applyFont="1" applyFill="1" applyAlignment="1">
      <alignment vertical="center"/>
    </xf>
    <xf numFmtId="187" fontId="475" fillId="65" borderId="0" xfId="31" applyNumberFormat="1" applyFont="1" applyFill="1" applyAlignment="1">
      <alignment horizontal="left" vertical="center"/>
    </xf>
    <xf numFmtId="165" fontId="171" fillId="2" borderId="0" xfId="31" applyNumberFormat="1" applyFont="1" applyFill="1" applyAlignment="1">
      <alignment horizontal="center" vertical="top"/>
    </xf>
    <xf numFmtId="187" fontId="524" fillId="65" borderId="0" xfId="31" applyNumberFormat="1" applyFont="1" applyFill="1" applyAlignment="1">
      <alignment horizontal="left" vertical="top"/>
    </xf>
    <xf numFmtId="0" fontId="210" fillId="17" borderId="0" xfId="31" applyFont="1" applyFill="1" applyAlignment="1" applyProtection="1">
      <alignment horizontal="center" vertical="center"/>
      <protection hidden="1"/>
    </xf>
    <xf numFmtId="0" fontId="511" fillId="17" borderId="0" xfId="31" applyFont="1" applyFill="1" applyAlignment="1" applyProtection="1">
      <alignment horizontal="center" vertical="center"/>
      <protection hidden="1"/>
    </xf>
    <xf numFmtId="0" fontId="591" fillId="2" borderId="0" xfId="2" applyFont="1" applyFill="1" applyAlignment="1">
      <alignment horizontal="center" vertical="center"/>
    </xf>
    <xf numFmtId="0" fontId="101" fillId="6" borderId="0" xfId="31" applyFont="1" applyFill="1" applyAlignment="1" applyProtection="1">
      <alignment horizontal="center" vertical="center"/>
      <protection hidden="1"/>
    </xf>
    <xf numFmtId="169" fontId="101" fillId="8" borderId="0" xfId="31" applyNumberFormat="1" applyFont="1" applyFill="1" applyAlignment="1">
      <alignment horizontal="center" vertical="center"/>
    </xf>
    <xf numFmtId="0" fontId="101" fillId="6" borderId="0" xfId="31" applyFont="1" applyFill="1" applyAlignment="1" applyProtection="1">
      <alignment horizontal="center"/>
      <protection hidden="1"/>
    </xf>
    <xf numFmtId="0" fontId="101" fillId="6" borderId="0" xfId="31" applyFont="1" applyFill="1" applyAlignment="1" applyProtection="1">
      <alignment horizontal="center" wrapText="1"/>
      <protection hidden="1"/>
    </xf>
    <xf numFmtId="0" fontId="101" fillId="6" borderId="0" xfId="31" applyFont="1" applyFill="1" applyAlignment="1" applyProtection="1">
      <alignment horizontal="center" vertical="center" wrapText="1"/>
      <protection hidden="1"/>
    </xf>
    <xf numFmtId="165" fontId="209" fillId="152" borderId="0" xfId="31" applyNumberFormat="1" applyFont="1" applyFill="1" applyAlignment="1">
      <alignment horizontal="left" vertical="center"/>
    </xf>
    <xf numFmtId="0" fontId="197" fillId="156" borderId="0" xfId="31" applyFont="1" applyFill="1" applyAlignment="1">
      <alignment horizontal="center" vertical="center"/>
    </xf>
    <xf numFmtId="0" fontId="197" fillId="156" borderId="0" xfId="31" applyFont="1" applyFill="1" applyAlignment="1">
      <alignment horizontal="left" vertical="center"/>
    </xf>
    <xf numFmtId="165" fontId="328" fillId="156" borderId="0" xfId="31" applyNumberFormat="1" applyFont="1" applyFill="1" applyAlignment="1">
      <alignment horizontal="center" vertical="center"/>
    </xf>
    <xf numFmtId="10" fontId="251" fillId="162" borderId="0" xfId="9" applyNumberFormat="1" applyFont="1" applyFill="1" applyAlignment="1">
      <alignment horizontal="center" vertical="center"/>
    </xf>
    <xf numFmtId="0" fontId="197" fillId="158" borderId="0" xfId="31" applyFont="1" applyFill="1" applyAlignment="1">
      <alignment horizontal="center" vertical="center"/>
    </xf>
    <xf numFmtId="0" fontId="197" fillId="158" borderId="0" xfId="31" applyFont="1" applyFill="1" applyAlignment="1">
      <alignment horizontal="left" vertical="center"/>
    </xf>
    <xf numFmtId="165" fontId="328" fillId="158" borderId="0" xfId="31" applyNumberFormat="1" applyFont="1" applyFill="1" applyAlignment="1">
      <alignment horizontal="center" vertical="center"/>
    </xf>
    <xf numFmtId="9" fontId="251" fillId="158" borderId="0" xfId="31" applyNumberFormat="1" applyFont="1" applyFill="1" applyAlignment="1">
      <alignment horizontal="center" vertical="center"/>
    </xf>
    <xf numFmtId="0" fontId="592" fillId="2" borderId="0" xfId="2" applyFont="1" applyFill="1" applyAlignment="1">
      <alignment horizontal="center" vertical="center"/>
    </xf>
    <xf numFmtId="0" fontId="328" fillId="130" borderId="0" xfId="31" applyFont="1" applyFill="1" applyAlignment="1">
      <alignment horizontal="center" vertical="center"/>
    </xf>
    <xf numFmtId="0" fontId="209" fillId="130" borderId="0" xfId="31" applyFont="1" applyFill="1" applyAlignment="1">
      <alignment horizontal="center" vertical="center"/>
    </xf>
    <xf numFmtId="0" fontId="219" fillId="130" borderId="0" xfId="31" applyFont="1" applyFill="1" applyAlignment="1">
      <alignment horizontal="center" vertical="center"/>
    </xf>
    <xf numFmtId="0" fontId="138" fillId="39" borderId="0" xfId="31" applyFont="1" applyFill="1" applyAlignment="1" applyProtection="1">
      <alignment horizontal="center"/>
      <protection hidden="1"/>
    </xf>
    <xf numFmtId="0" fontId="219" fillId="156" borderId="0" xfId="31" applyFont="1" applyFill="1" applyAlignment="1">
      <alignment horizontal="center" vertical="center"/>
    </xf>
    <xf numFmtId="0" fontId="101" fillId="156" borderId="0" xfId="31" applyFont="1" applyFill="1" applyAlignment="1">
      <alignment horizontal="center" vertical="center"/>
    </xf>
    <xf numFmtId="0" fontId="594" fillId="4" borderId="145" xfId="25" applyFont="1" applyFill="1" applyBorder="1" applyAlignment="1">
      <alignment horizontal="center" vertical="center"/>
    </xf>
    <xf numFmtId="0" fontId="594" fillId="4" borderId="0" xfId="25" applyFont="1" applyFill="1" applyAlignment="1">
      <alignment horizontal="center" vertical="center"/>
    </xf>
    <xf numFmtId="0" fontId="338" fillId="4" borderId="0" xfId="25" applyFont="1" applyFill="1" applyAlignment="1">
      <alignment horizontal="center" vertical="center"/>
    </xf>
    <xf numFmtId="0" fontId="138" fillId="4" borderId="439" xfId="25" applyFont="1" applyFill="1" applyBorder="1" applyAlignment="1">
      <alignment horizontal="center" vertical="center"/>
    </xf>
    <xf numFmtId="0" fontId="594" fillId="9" borderId="136" xfId="25" applyFont="1" applyFill="1" applyBorder="1" applyAlignment="1">
      <alignment horizontal="center" vertical="center"/>
    </xf>
    <xf numFmtId="0" fontId="547" fillId="9" borderId="136" xfId="25" applyFont="1" applyFill="1" applyBorder="1" applyAlignment="1">
      <alignment horizontal="center" vertical="center"/>
    </xf>
    <xf numFmtId="0" fontId="594" fillId="9" borderId="266" xfId="25" applyFont="1" applyFill="1" applyBorder="1" applyAlignment="1">
      <alignment horizontal="center" vertical="center"/>
    </xf>
    <xf numFmtId="185" fontId="138" fillId="154" borderId="439" xfId="2" applyNumberFormat="1" applyFont="1" applyFill="1" applyBorder="1" applyAlignment="1">
      <alignment horizontal="center" vertical="center"/>
    </xf>
    <xf numFmtId="181" fontId="138" fillId="67" borderId="0" xfId="2" applyNumberFormat="1" applyFont="1" applyFill="1" applyAlignment="1">
      <alignment horizontal="center" vertical="center"/>
    </xf>
    <xf numFmtId="181" fontId="138" fillId="67" borderId="449" xfId="2" applyNumberFormat="1" applyFont="1" applyFill="1" applyBorder="1" applyAlignment="1">
      <alignment horizontal="center" vertical="center"/>
    </xf>
    <xf numFmtId="185" fontId="138" fillId="67" borderId="0" xfId="2" applyNumberFormat="1" applyFont="1" applyFill="1" applyAlignment="1">
      <alignment horizontal="center" vertical="center"/>
    </xf>
    <xf numFmtId="185" fontId="138" fillId="67" borderId="449" xfId="2" applyNumberFormat="1" applyFont="1" applyFill="1" applyBorder="1" applyAlignment="1">
      <alignment horizontal="center" vertical="center"/>
    </xf>
    <xf numFmtId="181" fontId="138" fillId="159" borderId="0" xfId="2" applyNumberFormat="1" applyFont="1" applyFill="1" applyAlignment="1">
      <alignment horizontal="center" vertical="center"/>
    </xf>
    <xf numFmtId="181" fontId="138" fillId="159" borderId="449" xfId="2" applyNumberFormat="1" applyFont="1" applyFill="1" applyBorder="1" applyAlignment="1">
      <alignment horizontal="center" vertical="center"/>
    </xf>
    <xf numFmtId="167" fontId="138" fillId="4" borderId="0" xfId="25" applyNumberFormat="1" applyFont="1" applyFill="1" applyAlignment="1">
      <alignment horizontal="center" vertical="center"/>
    </xf>
    <xf numFmtId="167" fontId="138" fillId="4" borderId="449" xfId="25" applyNumberFormat="1" applyFont="1" applyFill="1" applyBorder="1" applyAlignment="1">
      <alignment horizontal="center" vertical="center"/>
    </xf>
    <xf numFmtId="0" fontId="138" fillId="4" borderId="97" xfId="2" applyFont="1" applyFill="1" applyBorder="1" applyAlignment="1">
      <alignment horizontal="right" vertical="center"/>
    </xf>
    <xf numFmtId="0" fontId="171" fillId="4" borderId="0" xfId="25" applyFont="1" applyFill="1" applyAlignment="1">
      <alignment horizontal="right" vertical="center"/>
    </xf>
    <xf numFmtId="0" fontId="166" fillId="33" borderId="0" xfId="2" applyFont="1" applyFill="1" applyAlignment="1">
      <alignment horizontal="right" vertical="center"/>
    </xf>
    <xf numFmtId="0" fontId="543" fillId="85" borderId="412" xfId="2" applyFont="1" applyFill="1" applyBorder="1" applyAlignment="1">
      <alignment vertical="center"/>
    </xf>
    <xf numFmtId="0" fontId="138" fillId="4" borderId="0" xfId="25" applyFont="1" applyFill="1" applyAlignment="1">
      <alignment horizontal="center" vertical="center" wrapText="1"/>
    </xf>
    <xf numFmtId="1" fontId="138" fillId="4" borderId="136" xfId="25" applyNumberFormat="1" applyFont="1" applyFill="1" applyBorder="1" applyAlignment="1">
      <alignment horizontal="center" vertical="center"/>
    </xf>
    <xf numFmtId="0" fontId="138" fillId="33" borderId="0" xfId="25" applyFont="1" applyFill="1" applyAlignment="1">
      <alignment horizontal="center" vertical="center" wrapText="1"/>
    </xf>
    <xf numFmtId="179" fontId="121" fillId="19" borderId="0" xfId="25" applyNumberFormat="1" applyFont="1" applyFill="1" applyAlignment="1" applyProtection="1">
      <alignment horizontal="center" vertical="center"/>
      <protection locked="0"/>
    </xf>
    <xf numFmtId="0" fontId="328" fillId="33" borderId="0" xfId="25" applyFont="1" applyFill="1" applyAlignment="1">
      <alignment horizontal="center" vertical="center" wrapText="1"/>
    </xf>
    <xf numFmtId="227" fontId="10" fillId="160" borderId="0" xfId="2" applyNumberFormat="1" applyFont="1" applyFill="1" applyAlignment="1">
      <alignment horizontal="center" vertical="center"/>
    </xf>
    <xf numFmtId="0" fontId="596" fillId="0" borderId="0" xfId="48" applyFont="1"/>
    <xf numFmtId="0" fontId="595" fillId="0" borderId="0" xfId="48"/>
    <xf numFmtId="0" fontId="597" fillId="0" borderId="0" xfId="48" applyFont="1" applyAlignment="1">
      <alignment horizontal="centerContinuous" vertical="center"/>
    </xf>
    <xf numFmtId="0" fontId="595" fillId="0" borderId="0" xfId="48" applyAlignment="1">
      <alignment horizontal="centerContinuous"/>
    </xf>
    <xf numFmtId="0" fontId="254" fillId="96" borderId="0" xfId="49" applyAlignment="1">
      <alignment horizontal="center" vertical="center"/>
    </xf>
    <xf numFmtId="0" fontId="254" fillId="96" borderId="0" xfId="49"/>
    <xf numFmtId="0" fontId="254" fillId="96" borderId="0" xfId="49" applyAlignment="1">
      <alignment horizontal="right"/>
    </xf>
    <xf numFmtId="0" fontId="12" fillId="33" borderId="468" xfId="50"/>
    <xf numFmtId="0" fontId="12" fillId="33" borderId="469" xfId="51" applyBorder="1" applyAlignment="1">
      <alignment horizontal="left"/>
    </xf>
    <xf numFmtId="0" fontId="12" fillId="14" borderId="470" xfId="52" applyBorder="1"/>
    <xf numFmtId="0" fontId="12" fillId="33" borderId="469" xfId="53" applyBorder="1"/>
    <xf numFmtId="0" fontId="12" fillId="33" borderId="468" xfId="54"/>
    <xf numFmtId="0" fontId="596" fillId="0" borderId="0" xfId="48" applyFont="1" applyAlignment="1">
      <alignment wrapText="1"/>
    </xf>
    <xf numFmtId="0" fontId="596" fillId="0" borderId="0" xfId="48" quotePrefix="1" applyFont="1"/>
    <xf numFmtId="0" fontId="598" fillId="0" borderId="0" xfId="48" applyFont="1"/>
    <xf numFmtId="0" fontId="12" fillId="33" borderId="0" xfId="51"/>
    <xf numFmtId="0" fontId="12" fillId="14" borderId="463" xfId="52"/>
    <xf numFmtId="0" fontId="129" fillId="0" borderId="0" xfId="55"/>
    <xf numFmtId="0" fontId="254" fillId="0" borderId="0" xfId="56"/>
    <xf numFmtId="0" fontId="599" fillId="0" borderId="0" xfId="57" applyFont="1"/>
    <xf numFmtId="0" fontId="12" fillId="0" borderId="0" xfId="57" applyAlignment="1">
      <alignment horizontal="centerContinuous"/>
    </xf>
    <xf numFmtId="0" fontId="12" fillId="0" borderId="0" xfId="57"/>
    <xf numFmtId="0" fontId="254" fillId="0" borderId="0" xfId="56" applyAlignment="1">
      <alignment wrapText="1"/>
    </xf>
    <xf numFmtId="0" fontId="600" fillId="0" borderId="0" xfId="57" applyFont="1"/>
    <xf numFmtId="0" fontId="12" fillId="33" borderId="469" xfId="58" applyBorder="1"/>
    <xf numFmtId="0" fontId="12" fillId="0" borderId="0" xfId="57" applyAlignment="1">
      <alignment horizontal="left"/>
    </xf>
    <xf numFmtId="0" fontId="600" fillId="0" borderId="0" xfId="57" applyFont="1" applyAlignment="1">
      <alignment horizontal="left"/>
    </xf>
    <xf numFmtId="0" fontId="12" fillId="33" borderId="471" xfId="58" applyBorder="1"/>
    <xf numFmtId="0" fontId="94" fillId="0" borderId="472" xfId="57" applyFont="1" applyBorder="1" applyAlignment="1">
      <alignment horizontal="left"/>
    </xf>
    <xf numFmtId="0" fontId="12" fillId="14" borderId="473" xfId="59" applyBorder="1"/>
    <xf numFmtId="0" fontId="254" fillId="0" borderId="0" xfId="48" applyFont="1"/>
    <xf numFmtId="0" fontId="254" fillId="0" borderId="0" xfId="57" applyFont="1" applyAlignment="1">
      <alignment horizontal="left" wrapText="1"/>
    </xf>
    <xf numFmtId="0" fontId="12" fillId="14" borderId="474" xfId="59" applyBorder="1"/>
    <xf numFmtId="0" fontId="12" fillId="14" borderId="463" xfId="59" applyAlignment="1">
      <alignment horizontal="right"/>
    </xf>
    <xf numFmtId="0" fontId="12" fillId="14" borderId="463" xfId="59"/>
    <xf numFmtId="0" fontId="12" fillId="0" borderId="0" xfId="60"/>
    <xf numFmtId="0" fontId="12" fillId="0" borderId="0" xfId="60" applyAlignment="1">
      <alignment horizontal="centerContinuous"/>
    </xf>
    <xf numFmtId="0" fontId="12" fillId="0" borderId="0" xfId="60" applyAlignment="1">
      <alignment horizontal="right"/>
    </xf>
    <xf numFmtId="0" fontId="254" fillId="96" borderId="0" xfId="49" applyAlignment="1">
      <alignment horizontal="left"/>
    </xf>
    <xf numFmtId="0" fontId="602" fillId="0" borderId="0" xfId="48" applyFont="1"/>
    <xf numFmtId="0" fontId="12" fillId="33" borderId="469" xfId="53" applyBorder="1" applyAlignment="1">
      <alignment horizontal="left"/>
    </xf>
    <xf numFmtId="0" fontId="12" fillId="33" borderId="469" xfId="53" applyBorder="1" applyAlignment="1">
      <alignment horizontal="right"/>
    </xf>
    <xf numFmtId="0" fontId="12" fillId="0" borderId="0" xfId="60" applyAlignment="1">
      <alignment horizontal="left"/>
    </xf>
    <xf numFmtId="0" fontId="94" fillId="0" borderId="0" xfId="60" applyFont="1" applyAlignment="1">
      <alignment horizontal="left"/>
    </xf>
    <xf numFmtId="0" fontId="12" fillId="14" borderId="474" xfId="61" applyBorder="1" applyAlignment="1">
      <alignment horizontal="right"/>
    </xf>
    <xf numFmtId="0" fontId="603" fillId="0" borderId="0" xfId="56" applyFont="1"/>
    <xf numFmtId="0" fontId="603" fillId="0" borderId="0" xfId="48" applyFont="1"/>
    <xf numFmtId="0" fontId="603" fillId="0" borderId="0" xfId="48" applyFont="1" applyAlignment="1">
      <alignment wrapText="1"/>
    </xf>
    <xf numFmtId="0" fontId="603" fillId="0" borderId="0" xfId="60" applyFont="1" applyAlignment="1">
      <alignment horizontal="left" wrapText="1"/>
    </xf>
    <xf numFmtId="0" fontId="603" fillId="0" borderId="0" xfId="60" applyFont="1" applyAlignment="1">
      <alignment horizontal="left"/>
    </xf>
    <xf numFmtId="0" fontId="479" fillId="0" borderId="0" xfId="48" applyFont="1"/>
    <xf numFmtId="228" fontId="12" fillId="14" borderId="473" xfId="61" applyNumberFormat="1" applyBorder="1" applyAlignment="1">
      <alignment horizontal="right"/>
    </xf>
    <xf numFmtId="0" fontId="605" fillId="0" borderId="0" xfId="48" applyFont="1"/>
    <xf numFmtId="0" fontId="12" fillId="33" borderId="475" xfId="50" applyBorder="1"/>
    <xf numFmtId="0" fontId="12" fillId="14" borderId="473" xfId="61" applyBorder="1"/>
    <xf numFmtId="228" fontId="12" fillId="33" borderId="475" xfId="50" applyNumberFormat="1" applyBorder="1"/>
    <xf numFmtId="229" fontId="12" fillId="14" borderId="473" xfId="61" applyNumberFormat="1" applyBorder="1" applyAlignment="1">
      <alignment horizontal="right"/>
    </xf>
    <xf numFmtId="230" fontId="12" fillId="14" borderId="473" xfId="61" applyNumberFormat="1" applyBorder="1"/>
    <xf numFmtId="228" fontId="12" fillId="33" borderId="469" xfId="53" applyNumberFormat="1" applyBorder="1"/>
    <xf numFmtId="230" fontId="12" fillId="33" borderId="469" xfId="53" applyNumberFormat="1" applyBorder="1"/>
    <xf numFmtId="0" fontId="12" fillId="14" borderId="463" xfId="61"/>
    <xf numFmtId="14" fontId="595" fillId="0" borderId="0" xfId="48" applyNumberFormat="1"/>
    <xf numFmtId="230" fontId="12" fillId="14" borderId="473" xfId="61" applyNumberFormat="1" applyBorder="1" applyAlignment="1">
      <alignment horizontal="right"/>
    </xf>
    <xf numFmtId="0" fontId="595" fillId="0" borderId="0" xfId="48" applyAlignment="1">
      <alignment horizontal="center"/>
    </xf>
    <xf numFmtId="0" fontId="595" fillId="0" borderId="0" xfId="48" applyAlignment="1">
      <alignment vertical="center"/>
    </xf>
    <xf numFmtId="0" fontId="597" fillId="0" borderId="0" xfId="48" applyFont="1" applyAlignment="1">
      <alignment horizontal="center" vertical="center"/>
    </xf>
    <xf numFmtId="0" fontId="12" fillId="33" borderId="463" xfId="53" applyBorder="1"/>
    <xf numFmtId="0" fontId="12" fillId="14" borderId="463" xfId="61" applyAlignment="1">
      <alignment horizontal="right" vertical="center"/>
    </xf>
    <xf numFmtId="0" fontId="12" fillId="33" borderId="468" xfId="50" applyAlignment="1">
      <alignment horizontal="center" vertical="center"/>
    </xf>
    <xf numFmtId="0" fontId="604" fillId="96" borderId="478" xfId="49" applyFont="1" applyBorder="1" applyAlignment="1">
      <alignment horizontal="left" vertical="center"/>
    </xf>
    <xf numFmtId="0" fontId="604" fillId="96" borderId="478" xfId="49" applyFont="1" applyBorder="1" applyAlignment="1">
      <alignment horizontal="right" vertical="center"/>
    </xf>
    <xf numFmtId="0" fontId="595" fillId="165" borderId="478" xfId="48" applyFill="1" applyBorder="1" applyAlignment="1">
      <alignment vertical="center"/>
    </xf>
    <xf numFmtId="8" fontId="595" fillId="165" borderId="478" xfId="48" applyNumberFormat="1" applyFill="1" applyBorder="1" applyAlignment="1">
      <alignment vertical="center"/>
    </xf>
    <xf numFmtId="0" fontId="595" fillId="0" borderId="479" xfId="48" applyBorder="1" applyAlignment="1">
      <alignment vertical="center"/>
    </xf>
    <xf numFmtId="8" fontId="595" fillId="0" borderId="479" xfId="48" applyNumberFormat="1" applyBorder="1" applyAlignment="1">
      <alignment vertical="center"/>
    </xf>
    <xf numFmtId="8" fontId="595" fillId="0" borderId="0" xfId="48" applyNumberFormat="1" applyAlignment="1">
      <alignment vertical="center"/>
    </xf>
    <xf numFmtId="8" fontId="12" fillId="14" borderId="463" xfId="61" applyNumberFormat="1" applyAlignment="1">
      <alignment vertical="center"/>
    </xf>
    <xf numFmtId="0" fontId="254" fillId="0" borderId="0" xfId="60" applyFont="1" applyAlignment="1">
      <alignment horizontal="left"/>
    </xf>
    <xf numFmtId="0" fontId="254" fillId="0" borderId="0" xfId="60" applyFont="1" applyAlignment="1">
      <alignment horizontal="left" wrapText="1"/>
    </xf>
    <xf numFmtId="0" fontId="604" fillId="96" borderId="0" xfId="49" applyFont="1"/>
    <xf numFmtId="0" fontId="604" fillId="96" borderId="0" xfId="49" applyFont="1" applyAlignment="1">
      <alignment horizontal="right"/>
    </xf>
    <xf numFmtId="0" fontId="94" fillId="0" borderId="0" xfId="60" applyFont="1" applyAlignment="1">
      <alignment horizontal="right"/>
    </xf>
    <xf numFmtId="0" fontId="604" fillId="96" borderId="0" xfId="49" applyFont="1" applyAlignment="1">
      <alignment horizontal="left"/>
    </xf>
    <xf numFmtId="0" fontId="12" fillId="33" borderId="468" xfId="50" applyAlignment="1">
      <alignment horizontal="left"/>
    </xf>
    <xf numFmtId="0" fontId="12" fillId="14" borderId="463" xfId="61" applyAlignment="1">
      <alignment horizontal="right"/>
    </xf>
    <xf numFmtId="0" fontId="597" fillId="0" borderId="0" xfId="48" applyFont="1" applyAlignment="1">
      <alignment horizontal="center" vertical="center" wrapText="1"/>
    </xf>
    <xf numFmtId="0" fontId="595" fillId="0" borderId="0" xfId="48" applyAlignment="1">
      <alignment horizontal="center" wrapText="1"/>
    </xf>
    <xf numFmtId="0" fontId="254" fillId="0" borderId="0" xfId="56" applyAlignment="1">
      <alignment horizontal="centerContinuous"/>
    </xf>
    <xf numFmtId="0" fontId="12" fillId="33" borderId="0" xfId="53"/>
    <xf numFmtId="0" fontId="606" fillId="0" borderId="0" xfId="48" applyFont="1"/>
    <xf numFmtId="0" fontId="602" fillId="0" borderId="0" xfId="48" applyFont="1" applyAlignment="1">
      <alignment horizontal="center"/>
    </xf>
    <xf numFmtId="0" fontId="602" fillId="0" borderId="0" xfId="48" applyFont="1" applyAlignment="1">
      <alignment horizontal="left" indent="1"/>
    </xf>
    <xf numFmtId="0" fontId="12" fillId="0" borderId="0" xfId="60" applyAlignment="1">
      <alignment horizontal="left" indent="1"/>
    </xf>
    <xf numFmtId="0" fontId="602" fillId="0" borderId="0" xfId="48" applyFont="1" applyAlignment="1">
      <alignment horizontal="left" indent="2"/>
    </xf>
    <xf numFmtId="0" fontId="12" fillId="0" borderId="0" xfId="60" applyAlignment="1">
      <alignment horizontal="center"/>
    </xf>
    <xf numFmtId="0" fontId="12" fillId="0" borderId="0" xfId="60" quotePrefix="1" applyAlignment="1">
      <alignment horizontal="left"/>
    </xf>
    <xf numFmtId="0" fontId="12" fillId="0" borderId="0" xfId="60" applyAlignment="1">
      <alignment horizontal="left" indent="2"/>
    </xf>
    <xf numFmtId="0" fontId="12" fillId="33" borderId="0" xfId="53" applyAlignment="1">
      <alignment horizontal="right"/>
    </xf>
    <xf numFmtId="0" fontId="12" fillId="33" borderId="0" xfId="58"/>
    <xf numFmtId="0" fontId="12" fillId="0" borderId="0" xfId="57" applyAlignment="1">
      <alignment horizontal="left" indent="1"/>
    </xf>
    <xf numFmtId="0" fontId="595" fillId="0" borderId="0" xfId="48" applyAlignment="1">
      <alignment horizontal="centerContinuous" vertical="center"/>
    </xf>
    <xf numFmtId="0" fontId="595" fillId="0" borderId="0" xfId="48" applyAlignment="1">
      <alignment horizontal="center" vertical="center"/>
    </xf>
    <xf numFmtId="0" fontId="607" fillId="56" borderId="0" xfId="31" applyFont="1" applyFill="1" applyAlignment="1">
      <alignment horizontal="left" vertical="center"/>
    </xf>
    <xf numFmtId="0" fontId="608" fillId="50" borderId="0" xfId="0" applyFont="1" applyFill="1" applyAlignment="1">
      <alignment horizontal="left" vertical="center"/>
    </xf>
    <xf numFmtId="0" fontId="608" fillId="50" borderId="0" xfId="0" applyFont="1" applyFill="1" applyAlignment="1">
      <alignment vertical="center"/>
    </xf>
    <xf numFmtId="0" fontId="264" fillId="50" borderId="0" xfId="0" applyFont="1" applyFill="1" applyAlignment="1">
      <alignment horizontal="center" vertical="center"/>
    </xf>
    <xf numFmtId="0" fontId="264" fillId="166" borderId="0" xfId="0" applyFont="1" applyFill="1" applyAlignment="1">
      <alignment horizontal="center" vertical="center"/>
    </xf>
    <xf numFmtId="0" fontId="319" fillId="41" borderId="0" xfId="0" applyFont="1" applyFill="1" applyAlignment="1">
      <alignment horizontal="center" vertical="center"/>
    </xf>
    <xf numFmtId="0" fontId="264" fillId="167" borderId="0" xfId="0" applyFont="1" applyFill="1" applyAlignment="1">
      <alignment horizontal="center" vertical="center"/>
    </xf>
    <xf numFmtId="0" fontId="400" fillId="0" borderId="0" xfId="0" applyFont="1" applyAlignment="1">
      <alignment horizontal="center" vertical="center"/>
    </xf>
    <xf numFmtId="0" fontId="609" fillId="0" borderId="0" xfId="0" applyFont="1" applyAlignment="1">
      <alignment horizontal="center" vertical="center"/>
    </xf>
    <xf numFmtId="0" fontId="16" fillId="0" borderId="0" xfId="0" applyFont="1" applyAlignment="1">
      <alignment horizontal="center" vertical="center" wrapText="1"/>
    </xf>
    <xf numFmtId="0" fontId="225" fillId="0" borderId="0" xfId="17" applyAlignment="1">
      <alignment horizontal="left" vertical="center"/>
    </xf>
    <xf numFmtId="0" fontId="611" fillId="2" borderId="0" xfId="12" applyFont="1" applyFill="1" applyAlignment="1">
      <alignment horizontal="center" vertical="center"/>
    </xf>
    <xf numFmtId="0" fontId="475" fillId="2" borderId="0" xfId="31" applyFont="1" applyFill="1" applyAlignment="1">
      <alignment horizontal="center" vertical="center"/>
    </xf>
    <xf numFmtId="0" fontId="612" fillId="0" borderId="0" xfId="0" applyFont="1" applyAlignment="1">
      <alignment vertical="center"/>
    </xf>
    <xf numFmtId="0" fontId="225" fillId="0" borderId="0" xfId="17" applyAlignment="1">
      <alignment vertical="center"/>
    </xf>
    <xf numFmtId="0" fontId="613" fillId="0" borderId="0" xfId="0" applyFont="1" applyAlignment="1">
      <alignment vertical="center"/>
    </xf>
    <xf numFmtId="0" fontId="0" fillId="0" borderId="0" xfId="0" applyAlignment="1">
      <alignment horizontal="left" vertical="center"/>
    </xf>
    <xf numFmtId="0" fontId="612" fillId="0" borderId="0" xfId="0" applyFont="1" applyAlignment="1">
      <alignment horizontal="left" vertical="center"/>
    </xf>
    <xf numFmtId="0" fontId="614" fillId="0" borderId="0" xfId="0" applyFont="1" applyAlignment="1">
      <alignment vertical="center"/>
    </xf>
    <xf numFmtId="0" fontId="16" fillId="0" borderId="0" xfId="0" applyFont="1"/>
    <xf numFmtId="0" fontId="225" fillId="0" borderId="0" xfId="17"/>
    <xf numFmtId="0" fontId="202" fillId="0" borderId="0" xfId="17" applyFont="1"/>
    <xf numFmtId="0" fontId="11" fillId="0" borderId="0" xfId="0" applyFont="1"/>
    <xf numFmtId="0" fontId="224" fillId="30" borderId="0" xfId="0" applyFont="1" applyFill="1" applyAlignment="1">
      <alignment horizontal="right" vertical="center"/>
    </xf>
    <xf numFmtId="0" fontId="68" fillId="30" borderId="0" xfId="0" applyFont="1" applyFill="1" applyAlignment="1">
      <alignment horizontal="right" vertical="center"/>
    </xf>
    <xf numFmtId="0" fontId="147" fillId="0" borderId="0" xfId="11" applyAlignment="1" applyProtection="1"/>
    <xf numFmtId="0" fontId="36" fillId="168" borderId="0" xfId="2" applyFont="1" applyFill="1" applyAlignment="1">
      <alignment horizontal="centerContinuous"/>
    </xf>
    <xf numFmtId="0" fontId="328" fillId="0" borderId="0" xfId="2" applyFont="1" applyAlignment="1">
      <alignment horizontal="right"/>
    </xf>
    <xf numFmtId="0" fontId="193" fillId="0" borderId="0" xfId="2" quotePrefix="1" applyFont="1"/>
    <xf numFmtId="0" fontId="69" fillId="0" borderId="0" xfId="2" applyFont="1"/>
    <xf numFmtId="0" fontId="69" fillId="0" borderId="0" xfId="2" applyFont="1" applyAlignment="1">
      <alignment horizontal="right"/>
    </xf>
    <xf numFmtId="14" fontId="13" fillId="0" borderId="0" xfId="2" applyNumberFormat="1"/>
    <xf numFmtId="0" fontId="13" fillId="0" borderId="0" xfId="2" applyAlignment="1">
      <alignment horizontal="center"/>
    </xf>
    <xf numFmtId="0" fontId="395" fillId="0" borderId="115" xfId="2" applyFont="1" applyBorder="1"/>
    <xf numFmtId="0" fontId="395" fillId="0" borderId="113" xfId="2" applyFont="1" applyBorder="1"/>
    <xf numFmtId="0" fontId="395" fillId="0" borderId="116" xfId="2" applyFont="1" applyBorder="1"/>
    <xf numFmtId="231" fontId="13" fillId="7" borderId="487" xfId="2" quotePrefix="1" applyNumberFormat="1" applyFill="1" applyBorder="1"/>
    <xf numFmtId="0" fontId="395" fillId="0" borderId="333" xfId="2" applyFont="1" applyBorder="1"/>
    <xf numFmtId="0" fontId="395" fillId="0" borderId="266" xfId="2" applyFont="1" applyBorder="1"/>
    <xf numFmtId="0" fontId="395" fillId="0" borderId="480" xfId="2" applyFont="1" applyBorder="1"/>
    <xf numFmtId="0" fontId="45" fillId="0" borderId="0" xfId="2" quotePrefix="1" applyFont="1"/>
    <xf numFmtId="0" fontId="147" fillId="0" borderId="0" xfId="11" applyAlignment="1" applyProtection="1">
      <alignment vertical="center"/>
    </xf>
    <xf numFmtId="231" fontId="13" fillId="7" borderId="497" xfId="2" quotePrefix="1" applyNumberFormat="1" applyFill="1" applyBorder="1"/>
    <xf numFmtId="0" fontId="395" fillId="0" borderId="157" xfId="2" applyFont="1" applyBorder="1"/>
    <xf numFmtId="0" fontId="395" fillId="0" borderId="158" xfId="2" applyFont="1" applyBorder="1"/>
    <xf numFmtId="0" fontId="395" fillId="0" borderId="159" xfId="2" applyFont="1" applyBorder="1"/>
    <xf numFmtId="0" fontId="77" fillId="0" borderId="0" xfId="10" applyFont="1" applyAlignment="1" applyProtection="1">
      <alignment horizontal="right"/>
      <protection locked="0"/>
    </xf>
    <xf numFmtId="0" fontId="34" fillId="0" borderId="402" xfId="2" applyFont="1" applyBorder="1" applyAlignment="1">
      <alignment horizontal="center" vertical="center"/>
    </xf>
    <xf numFmtId="0" fontId="39" fillId="0" borderId="403" xfId="2" applyFont="1" applyBorder="1" applyAlignment="1">
      <alignment vertical="center"/>
    </xf>
    <xf numFmtId="0" fontId="13" fillId="0" borderId="403" xfId="2" applyBorder="1"/>
    <xf numFmtId="0" fontId="13" fillId="0" borderId="404" xfId="2" applyBorder="1"/>
    <xf numFmtId="0" fontId="64" fillId="0" borderId="0" xfId="10" applyProtection="1">
      <protection locked="0"/>
    </xf>
    <xf numFmtId="0" fontId="13" fillId="0" borderId="0" xfId="2" quotePrefix="1"/>
    <xf numFmtId="14" fontId="147" fillId="0" borderId="0" xfId="11" applyNumberFormat="1" applyAlignment="1" applyProtection="1"/>
    <xf numFmtId="190" fontId="36" fillId="9" borderId="0" xfId="10" applyNumberFormat="1" applyFont="1" applyFill="1" applyAlignment="1" applyProtection="1">
      <alignment horizontal="center" vertical="center"/>
      <protection locked="0"/>
    </xf>
    <xf numFmtId="0" fontId="104" fillId="9" borderId="0" xfId="10" applyFont="1" applyFill="1" applyAlignment="1" applyProtection="1">
      <alignment horizontal="center" vertical="center"/>
      <protection locked="0"/>
    </xf>
    <xf numFmtId="0" fontId="34" fillId="2" borderId="403" xfId="10" applyFont="1" applyFill="1" applyBorder="1" applyAlignment="1" applyProtection="1">
      <alignment horizontal="right" vertical="center"/>
      <protection locked="0"/>
    </xf>
    <xf numFmtId="190" fontId="34" fillId="2" borderId="403" xfId="10" applyNumberFormat="1" applyFont="1" applyFill="1" applyBorder="1" applyAlignment="1" applyProtection="1">
      <alignment horizontal="center" vertical="center"/>
      <protection locked="0"/>
    </xf>
    <xf numFmtId="0" fontId="34" fillId="2" borderId="0" xfId="10" applyFont="1" applyFill="1" applyAlignment="1" applyProtection="1">
      <alignment horizontal="right" vertical="center"/>
      <protection locked="0"/>
    </xf>
    <xf numFmtId="190" fontId="34" fillId="2" borderId="0" xfId="10" applyNumberFormat="1" applyFont="1" applyFill="1" applyAlignment="1" applyProtection="1">
      <alignment horizontal="center" vertical="center"/>
      <protection locked="0"/>
    </xf>
    <xf numFmtId="0" fontId="34" fillId="0" borderId="0" xfId="10" applyFont="1" applyAlignment="1" applyProtection="1">
      <alignment horizontal="right" vertical="center"/>
      <protection locked="0"/>
    </xf>
    <xf numFmtId="190" fontId="47" fillId="9" borderId="0" xfId="10" applyNumberFormat="1" applyFont="1" applyFill="1" applyAlignment="1" applyProtection="1">
      <alignment horizontal="center" vertical="center"/>
      <protection locked="0"/>
    </xf>
    <xf numFmtId="0" fontId="39" fillId="0" borderId="0" xfId="10" applyFont="1" applyAlignment="1" applyProtection="1">
      <alignment horizontal="right" vertical="center"/>
      <protection locked="0"/>
    </xf>
    <xf numFmtId="0" fontId="39" fillId="0" borderId="403" xfId="10" applyFont="1" applyBorder="1" applyAlignment="1" applyProtection="1">
      <alignment horizontal="right" vertical="center"/>
      <protection locked="0"/>
    </xf>
    <xf numFmtId="190" fontId="34" fillId="0" borderId="403" xfId="10" applyNumberFormat="1" applyFont="1" applyBorder="1" applyAlignment="1" applyProtection="1">
      <alignment horizontal="center" vertical="center"/>
      <protection locked="0"/>
    </xf>
    <xf numFmtId="190" fontId="34" fillId="0" borderId="0" xfId="10" applyNumberFormat="1" applyFont="1" applyAlignment="1" applyProtection="1">
      <alignment horizontal="center" vertical="center"/>
      <protection locked="0"/>
    </xf>
    <xf numFmtId="0" fontId="34" fillId="0" borderId="0" xfId="10" applyFont="1" applyAlignment="1" applyProtection="1">
      <alignment horizontal="right"/>
      <protection locked="0"/>
    </xf>
    <xf numFmtId="0" fontId="45" fillId="0" borderId="0" xfId="10" applyFont="1" applyProtection="1">
      <protection locked="0"/>
    </xf>
    <xf numFmtId="0" fontId="45" fillId="0" borderId="0" xfId="10" applyFont="1" applyAlignment="1" applyProtection="1">
      <alignment horizontal="right"/>
      <protection locked="0"/>
    </xf>
    <xf numFmtId="190" fontId="34" fillId="0" borderId="0" xfId="10" applyNumberFormat="1" applyFont="1" applyAlignment="1" applyProtection="1">
      <alignment horizontal="left" vertical="center"/>
      <protection locked="0"/>
    </xf>
    <xf numFmtId="0" fontId="45" fillId="0" borderId="0" xfId="10" applyFont="1" applyAlignment="1" applyProtection="1">
      <alignment horizontal="right" vertical="center"/>
      <protection locked="0"/>
    </xf>
    <xf numFmtId="190" fontId="45" fillId="0" borderId="0" xfId="10" applyNumberFormat="1" applyFont="1" applyAlignment="1" applyProtection="1">
      <alignment horizontal="center" vertical="center"/>
      <protection locked="0"/>
    </xf>
    <xf numFmtId="0" fontId="100" fillId="0" borderId="0" xfId="10" applyFont="1" applyAlignment="1" applyProtection="1">
      <alignment vertical="center"/>
      <protection locked="0"/>
    </xf>
    <xf numFmtId="233" fontId="100" fillId="17" borderId="0" xfId="10" applyNumberFormat="1" applyFont="1" applyFill="1" applyAlignment="1" applyProtection="1">
      <alignment horizontal="center" vertical="center"/>
      <protection locked="0"/>
    </xf>
    <xf numFmtId="0" fontId="64" fillId="0" borderId="403" xfId="10" applyBorder="1" applyProtection="1">
      <protection locked="0"/>
    </xf>
    <xf numFmtId="21" fontId="13" fillId="0" borderId="0" xfId="2" applyNumberFormat="1"/>
    <xf numFmtId="0" fontId="34" fillId="0" borderId="403" xfId="10" applyFont="1" applyBorder="1" applyAlignment="1" applyProtection="1">
      <alignment horizontal="right" vertical="center"/>
      <protection locked="0"/>
    </xf>
    <xf numFmtId="167" fontId="34" fillId="0" borderId="403" xfId="10" applyNumberFormat="1" applyFont="1" applyBorder="1" applyAlignment="1" applyProtection="1">
      <alignment horizontal="center" vertical="center"/>
      <protection locked="0"/>
    </xf>
    <xf numFmtId="0" fontId="69" fillId="0" borderId="0" xfId="25" applyFont="1" applyAlignment="1">
      <alignment horizontal="right"/>
    </xf>
    <xf numFmtId="0" fontId="386" fillId="17" borderId="481" xfId="25" applyFont="1" applyFill="1" applyBorder="1" applyAlignment="1">
      <alignment horizontal="center" vertical="center"/>
    </xf>
    <xf numFmtId="0" fontId="69" fillId="33" borderId="412" xfId="25" applyFont="1" applyFill="1" applyBorder="1" applyAlignment="1">
      <alignment horizontal="center"/>
    </xf>
    <xf numFmtId="0" fontId="69" fillId="33" borderId="76" xfId="25" applyFont="1" applyFill="1" applyBorder="1" applyAlignment="1">
      <alignment horizontal="centerContinuous" vertical="center" wrapText="1"/>
    </xf>
    <xf numFmtId="0" fontId="13" fillId="33" borderId="412" xfId="25" applyFill="1" applyBorder="1" applyAlignment="1">
      <alignment horizontal="centerContinuous"/>
    </xf>
    <xf numFmtId="0" fontId="13" fillId="33" borderId="413" xfId="25" applyFill="1" applyBorder="1" applyAlignment="1">
      <alignment horizontal="centerContinuous"/>
    </xf>
    <xf numFmtId="0" fontId="13" fillId="116" borderId="13" xfId="25" applyFill="1" applyBorder="1"/>
    <xf numFmtId="0" fontId="13" fillId="0" borderId="0" xfId="25" applyAlignment="1">
      <alignment horizontal="right"/>
    </xf>
    <xf numFmtId="0" fontId="13" fillId="0" borderId="12" xfId="25" applyBorder="1"/>
    <xf numFmtId="0" fontId="69" fillId="25" borderId="151" xfId="25" applyFont="1" applyFill="1" applyBorder="1" applyAlignment="1">
      <alignment horizontal="center" vertical="center" wrapText="1"/>
    </xf>
    <xf numFmtId="0" fontId="69" fillId="25" borderId="152" xfId="25" applyFont="1" applyFill="1" applyBorder="1" applyAlignment="1">
      <alignment horizontal="center" vertical="center" wrapText="1"/>
    </xf>
    <xf numFmtId="0" fontId="69" fillId="25" borderId="482" xfId="25" applyFont="1" applyFill="1" applyBorder="1" applyAlignment="1">
      <alignment horizontal="center" vertical="center" wrapText="1"/>
    </xf>
    <xf numFmtId="0" fontId="69" fillId="25" borderId="483" xfId="25" applyFont="1" applyFill="1" applyBorder="1" applyAlignment="1">
      <alignment horizontal="center" vertical="center" wrapText="1"/>
    </xf>
    <xf numFmtId="0" fontId="69" fillId="25" borderId="484" xfId="25" applyFont="1" applyFill="1" applyBorder="1" applyAlignment="1">
      <alignment horizontal="center" vertical="center" wrapText="1"/>
    </xf>
    <xf numFmtId="14" fontId="92" fillId="168" borderId="499" xfId="2" applyNumberFormat="1" applyFont="1" applyFill="1" applyBorder="1" applyAlignment="1">
      <alignment horizontal="center"/>
    </xf>
    <xf numFmtId="0" fontId="61" fillId="13" borderId="499" xfId="2" applyFont="1" applyFill="1" applyBorder="1" applyAlignment="1">
      <alignment horizontal="center"/>
    </xf>
    <xf numFmtId="0" fontId="13" fillId="88" borderId="13" xfId="25" applyFill="1" applyBorder="1"/>
    <xf numFmtId="0" fontId="618" fillId="0" borderId="0" xfId="25" applyFont="1"/>
    <xf numFmtId="0" fontId="13" fillId="0" borderId="0" xfId="25" applyAlignment="1">
      <alignment horizontal="centerContinuous"/>
    </xf>
    <xf numFmtId="0" fontId="13" fillId="0" borderId="12" xfId="25" applyBorder="1" applyAlignment="1">
      <alignment horizontal="centerContinuous"/>
    </xf>
    <xf numFmtId="0" fontId="13" fillId="0" borderId="13" xfId="25" applyBorder="1" applyAlignment="1">
      <alignment wrapText="1"/>
    </xf>
    <xf numFmtId="14" fontId="13" fillId="33" borderId="13" xfId="25" applyNumberFormat="1" applyFill="1" applyBorder="1" applyAlignment="1">
      <alignment wrapText="1"/>
    </xf>
    <xf numFmtId="0" fontId="13" fillId="33" borderId="0" xfId="25" applyFill="1" applyAlignment="1">
      <alignment wrapText="1"/>
    </xf>
    <xf numFmtId="0" fontId="61" fillId="4" borderId="68" xfId="25" applyFont="1" applyFill="1" applyBorder="1" applyAlignment="1" applyProtection="1">
      <alignment horizontal="center" vertical="center" wrapText="1"/>
      <protection locked="0"/>
    </xf>
    <xf numFmtId="0" fontId="61" fillId="4" borderId="170" xfId="25" applyFont="1" applyFill="1" applyBorder="1" applyAlignment="1" applyProtection="1">
      <alignment horizontal="center" vertical="center" wrapText="1"/>
      <protection locked="0"/>
    </xf>
    <xf numFmtId="14" fontId="13" fillId="19" borderId="120" xfId="25" applyNumberFormat="1" applyFill="1" applyBorder="1" applyAlignment="1">
      <alignment horizontal="center" vertical="center" wrapText="1"/>
    </xf>
    <xf numFmtId="14" fontId="291" fillId="4" borderId="121" xfId="25" applyNumberFormat="1" applyFont="1" applyFill="1" applyBorder="1" applyAlignment="1" applyProtection="1">
      <alignment horizontal="left" vertical="center" wrapText="1"/>
      <protection locked="0"/>
    </xf>
    <xf numFmtId="0" fontId="106" fillId="13" borderId="499" xfId="2" applyFont="1" applyFill="1" applyBorder="1" applyAlignment="1">
      <alignment horizontal="center"/>
    </xf>
    <xf numFmtId="0" fontId="13" fillId="105" borderId="13" xfId="25" applyFill="1" applyBorder="1"/>
    <xf numFmtId="0" fontId="61" fillId="4" borderId="276" xfId="25" applyFont="1" applyFill="1" applyBorder="1" applyAlignment="1" applyProtection="1">
      <alignment horizontal="center" vertical="center" wrapText="1"/>
      <protection locked="0"/>
    </xf>
    <xf numFmtId="0" fontId="61" fillId="4" borderId="137" xfId="25" applyFont="1" applyFill="1" applyBorder="1" applyAlignment="1" applyProtection="1">
      <alignment horizontal="center" vertical="center" wrapText="1"/>
      <protection locked="0"/>
    </xf>
    <xf numFmtId="14" fontId="13" fillId="19" borderId="485" xfId="25" applyNumberFormat="1" applyFill="1" applyBorder="1" applyAlignment="1">
      <alignment horizontal="center" vertical="center" wrapText="1"/>
    </xf>
    <xf numFmtId="14" fontId="291" fillId="4" borderId="486" xfId="25" applyNumberFormat="1" applyFont="1" applyFill="1" applyBorder="1" applyAlignment="1" applyProtection="1">
      <alignment horizontal="left" vertical="center" wrapText="1"/>
      <protection locked="0"/>
    </xf>
    <xf numFmtId="0" fontId="13" fillId="36" borderId="13" xfId="25" applyFill="1" applyBorder="1"/>
    <xf numFmtId="14" fontId="619" fillId="168" borderId="499" xfId="2" applyNumberFormat="1" applyFont="1" applyFill="1" applyBorder="1" applyAlignment="1">
      <alignment horizontal="center"/>
    </xf>
    <xf numFmtId="0" fontId="619" fillId="168" borderId="500" xfId="2" applyFont="1" applyFill="1" applyBorder="1" applyAlignment="1">
      <alignment horizontal="centerContinuous"/>
    </xf>
    <xf numFmtId="0" fontId="619" fillId="168" borderId="501" xfId="2" applyFont="1" applyFill="1" applyBorder="1" applyAlignment="1">
      <alignment horizontal="centerContinuous"/>
    </xf>
    <xf numFmtId="0" fontId="619" fillId="168" borderId="502" xfId="2" applyFont="1" applyFill="1" applyBorder="1" applyAlignment="1">
      <alignment horizontal="centerContinuous"/>
    </xf>
    <xf numFmtId="231" fontId="13" fillId="7" borderId="503" xfId="2" quotePrefix="1" applyNumberFormat="1" applyFill="1" applyBorder="1"/>
    <xf numFmtId="0" fontId="13" fillId="7" borderId="488" xfId="25" applyFill="1" applyBorder="1" applyAlignment="1">
      <alignment horizontal="centerContinuous"/>
    </xf>
    <xf numFmtId="0" fontId="13" fillId="7" borderId="489" xfId="25" applyFill="1" applyBorder="1" applyAlignment="1">
      <alignment horizontal="centerContinuous"/>
    </xf>
    <xf numFmtId="0" fontId="13" fillId="7" borderId="504" xfId="25" applyFill="1" applyBorder="1" applyAlignment="1">
      <alignment horizontal="center"/>
    </xf>
    <xf numFmtId="14" fontId="106" fillId="14" borderId="505" xfId="25" applyNumberFormat="1" applyFont="1" applyFill="1" applyBorder="1" applyAlignment="1">
      <alignment horizontal="center"/>
    </xf>
    <xf numFmtId="0" fontId="13" fillId="5" borderId="0" xfId="25" applyFill="1"/>
    <xf numFmtId="0" fontId="69" fillId="5" borderId="0" xfId="25" applyFont="1" applyFill="1" applyAlignment="1">
      <alignment horizontal="right"/>
    </xf>
    <xf numFmtId="0" fontId="69" fillId="5" borderId="0" xfId="62" applyNumberFormat="1" applyFont="1" applyFill="1" applyBorder="1" applyAlignment="1" applyProtection="1">
      <alignment horizontal="left"/>
    </xf>
    <xf numFmtId="0" fontId="13" fillId="36" borderId="481" xfId="25" applyFill="1" applyBorder="1"/>
    <xf numFmtId="0" fontId="13" fillId="0" borderId="412" xfId="25" applyBorder="1"/>
    <xf numFmtId="0" fontId="13" fillId="0" borderId="412" xfId="25" applyBorder="1" applyAlignment="1">
      <alignment horizontal="right"/>
    </xf>
    <xf numFmtId="0" fontId="13" fillId="0" borderId="413" xfId="25" applyBorder="1"/>
    <xf numFmtId="0" fontId="13" fillId="0" borderId="13" xfId="25" applyBorder="1"/>
    <xf numFmtId="0" fontId="620" fillId="104" borderId="37" xfId="25" applyFont="1" applyFill="1" applyBorder="1" applyAlignment="1">
      <alignment horizontal="centerContinuous"/>
    </xf>
    <xf numFmtId="0" fontId="620" fillId="104" borderId="35" xfId="25" applyFont="1" applyFill="1" applyBorder="1" applyAlignment="1">
      <alignment horizontal="centerContinuous"/>
    </xf>
    <xf numFmtId="0" fontId="13" fillId="0" borderId="490" xfId="25" applyBorder="1" applyAlignment="1">
      <alignment horizontal="center"/>
    </xf>
    <xf numFmtId="0" fontId="13" fillId="0" borderId="491" xfId="25" applyBorder="1"/>
    <xf numFmtId="0" fontId="13" fillId="0" borderId="0" xfId="25" applyAlignment="1">
      <alignment wrapText="1"/>
    </xf>
    <xf numFmtId="14" fontId="13" fillId="33" borderId="481" xfId="25" applyNumberFormat="1" applyFill="1" applyBorder="1" applyAlignment="1">
      <alignment wrapText="1"/>
    </xf>
    <xf numFmtId="0" fontId="13" fillId="33" borderId="412" xfId="25" applyFill="1" applyBorder="1" applyAlignment="1">
      <alignment wrapText="1"/>
    </xf>
    <xf numFmtId="0" fontId="61" fillId="4" borderId="161" xfId="25" applyFont="1" applyFill="1" applyBorder="1" applyAlignment="1" applyProtection="1">
      <alignment horizontal="center" vertical="center" wrapText="1"/>
      <protection locked="0"/>
    </xf>
    <xf numFmtId="0" fontId="61" fillId="4" borderId="492" xfId="25" applyFont="1" applyFill="1" applyBorder="1" applyAlignment="1" applyProtection="1">
      <alignment horizontal="center" vertical="center" wrapText="1"/>
      <protection locked="0"/>
    </xf>
    <xf numFmtId="14" fontId="13" fillId="19" borderId="493" xfId="25" applyNumberFormat="1" applyFill="1" applyBorder="1" applyAlignment="1">
      <alignment horizontal="center" vertical="center" wrapText="1"/>
    </xf>
    <xf numFmtId="14" fontId="291" fillId="4" borderId="494" xfId="25" applyNumberFormat="1" applyFont="1" applyFill="1" applyBorder="1" applyAlignment="1" applyProtection="1">
      <alignment horizontal="left" vertical="center" wrapText="1"/>
      <protection locked="0"/>
    </xf>
    <xf numFmtId="0" fontId="13" fillId="0" borderId="316" xfId="25" applyBorder="1" applyAlignment="1">
      <alignment horizontal="center"/>
    </xf>
    <xf numFmtId="0" fontId="13" fillId="0" borderId="207" xfId="25" applyBorder="1"/>
    <xf numFmtId="14" fontId="13" fillId="0" borderId="13" xfId="25" applyNumberFormat="1" applyBorder="1"/>
    <xf numFmtId="14" fontId="13" fillId="33" borderId="37" xfId="25" applyNumberFormat="1" applyFill="1" applyBorder="1"/>
    <xf numFmtId="14" fontId="13" fillId="33" borderId="36" xfId="25" applyNumberFormat="1" applyFill="1" applyBorder="1"/>
    <xf numFmtId="0" fontId="193" fillId="0" borderId="13" xfId="25" applyFont="1" applyBorder="1"/>
    <xf numFmtId="0" fontId="193" fillId="0" borderId="12" xfId="25" applyFont="1" applyBorder="1"/>
    <xf numFmtId="14" fontId="13" fillId="33" borderId="13" xfId="25" applyNumberFormat="1" applyFill="1" applyBorder="1"/>
    <xf numFmtId="14" fontId="13" fillId="33" borderId="0" xfId="25" applyNumberFormat="1" applyFill="1"/>
    <xf numFmtId="0" fontId="13" fillId="0" borderId="481" xfId="25" applyBorder="1"/>
    <xf numFmtId="0" fontId="13" fillId="0" borderId="495" xfId="25" applyBorder="1" applyAlignment="1">
      <alignment horizontal="center"/>
    </xf>
    <xf numFmtId="0" fontId="13" fillId="0" borderId="496" xfId="25" applyBorder="1"/>
    <xf numFmtId="0" fontId="69" fillId="30" borderId="0" xfId="25" applyFont="1" applyFill="1" applyAlignment="1">
      <alignment horizontal="right" vertical="center"/>
    </xf>
    <xf numFmtId="14" fontId="13" fillId="0" borderId="0" xfId="25" applyNumberFormat="1"/>
    <xf numFmtId="14" fontId="13" fillId="33" borderId="481" xfId="25" applyNumberFormat="1" applyFill="1" applyBorder="1"/>
    <xf numFmtId="14" fontId="13" fillId="33" borderId="412" xfId="25" applyNumberFormat="1" applyFill="1" applyBorder="1"/>
    <xf numFmtId="0" fontId="193" fillId="0" borderId="481" xfId="25" applyFont="1" applyBorder="1"/>
    <xf numFmtId="0" fontId="193" fillId="0" borderId="412" xfId="25" applyFont="1" applyBorder="1"/>
    <xf numFmtId="0" fontId="193" fillId="0" borderId="413" xfId="25" applyFont="1" applyBorder="1"/>
    <xf numFmtId="22" fontId="13" fillId="0" borderId="0" xfId="25" applyNumberFormat="1"/>
    <xf numFmtId="190" fontId="13" fillId="0" borderId="0" xfId="25" applyNumberFormat="1"/>
    <xf numFmtId="0" fontId="13" fillId="0" borderId="490" xfId="25" applyBorder="1"/>
    <xf numFmtId="0" fontId="13" fillId="0" borderId="129" xfId="25" applyBorder="1"/>
    <xf numFmtId="0" fontId="36" fillId="0" borderId="129" xfId="10" applyFont="1" applyBorder="1" applyAlignment="1" applyProtection="1">
      <alignment horizontal="right" vertical="center"/>
      <protection locked="0"/>
    </xf>
    <xf numFmtId="0" fontId="36" fillId="0" borderId="129" xfId="10" applyFont="1" applyBorder="1" applyAlignment="1" applyProtection="1">
      <alignment horizontal="center" vertical="center"/>
      <protection locked="0"/>
    </xf>
    <xf numFmtId="0" fontId="36" fillId="0" borderId="129" xfId="10" applyFont="1" applyBorder="1" applyAlignment="1" applyProtection="1">
      <alignment horizontal="left" vertical="center"/>
      <protection locked="0"/>
    </xf>
    <xf numFmtId="0" fontId="13" fillId="0" borderId="316" xfId="25" applyBorder="1"/>
    <xf numFmtId="0" fontId="69" fillId="0" borderId="0" xfId="25" applyFont="1" applyAlignment="1">
      <alignment horizontal="right" vertical="center"/>
    </xf>
    <xf numFmtId="0" fontId="69" fillId="0" borderId="0" xfId="25" applyFont="1" applyAlignment="1">
      <alignment vertical="center"/>
    </xf>
    <xf numFmtId="0" fontId="297" fillId="0" borderId="0" xfId="25" applyFont="1"/>
    <xf numFmtId="0" fontId="106" fillId="0" borderId="0" xfId="25" applyFont="1" applyAlignment="1">
      <alignment horizontal="right" vertical="center"/>
    </xf>
    <xf numFmtId="0" fontId="106" fillId="0" borderId="0" xfId="25" applyFont="1" applyAlignment="1">
      <alignment vertical="center"/>
    </xf>
    <xf numFmtId="0" fontId="13" fillId="0" borderId="402" xfId="25" applyBorder="1"/>
    <xf numFmtId="0" fontId="13" fillId="2" borderId="403" xfId="25" applyFill="1" applyBorder="1"/>
    <xf numFmtId="0" fontId="69" fillId="2" borderId="403" xfId="25" applyFont="1" applyFill="1" applyBorder="1" applyAlignment="1">
      <alignment vertical="center"/>
    </xf>
    <xf numFmtId="0" fontId="13" fillId="2" borderId="404" xfId="25" applyFill="1" applyBorder="1"/>
    <xf numFmtId="0" fontId="13" fillId="2" borderId="0" xfId="25" applyFill="1"/>
    <xf numFmtId="0" fontId="69" fillId="2" borderId="0" xfId="25" applyFont="1" applyFill="1" applyAlignment="1">
      <alignment vertical="center"/>
    </xf>
    <xf numFmtId="0" fontId="34" fillId="0" borderId="129" xfId="10" applyFont="1" applyBorder="1" applyAlignment="1" applyProtection="1">
      <alignment horizontal="right" vertical="center"/>
      <protection locked="0"/>
    </xf>
    <xf numFmtId="190" fontId="34" fillId="0" borderId="129" xfId="10" applyNumberFormat="1" applyFont="1" applyBorder="1" applyAlignment="1" applyProtection="1">
      <alignment horizontal="center" vertical="center"/>
      <protection locked="0"/>
    </xf>
    <xf numFmtId="0" fontId="39" fillId="0" borderId="0" xfId="25" applyFont="1"/>
    <xf numFmtId="0" fontId="13" fillId="0" borderId="403" xfId="25" applyBorder="1"/>
    <xf numFmtId="0" fontId="39" fillId="0" borderId="403" xfId="25" applyFont="1" applyBorder="1"/>
    <xf numFmtId="0" fontId="13" fillId="0" borderId="404" xfId="25" applyBorder="1"/>
    <xf numFmtId="0" fontId="13" fillId="0" borderId="0" xfId="25" applyAlignment="1">
      <alignment horizontal="center" vertical="center"/>
    </xf>
    <xf numFmtId="232" fontId="62" fillId="13" borderId="0" xfId="63" applyNumberFormat="1" applyFont="1" applyFill="1" applyBorder="1"/>
    <xf numFmtId="232" fontId="13" fillId="0" borderId="0" xfId="25" applyNumberFormat="1" applyAlignment="1">
      <alignment horizontal="center" vertical="center"/>
    </xf>
    <xf numFmtId="0" fontId="69" fillId="2" borderId="0" xfId="25" applyFont="1" applyFill="1"/>
    <xf numFmtId="0" fontId="69" fillId="0" borderId="0" xfId="25" applyFont="1" applyAlignment="1">
      <alignment horizontal="center" vertical="center"/>
    </xf>
    <xf numFmtId="232" fontId="69" fillId="0" borderId="0" xfId="25" applyNumberFormat="1" applyFont="1" applyAlignment="1">
      <alignment horizontal="center" vertical="center"/>
    </xf>
    <xf numFmtId="0" fontId="100" fillId="0" borderId="129" xfId="10" applyFont="1" applyBorder="1" applyAlignment="1" applyProtection="1">
      <alignment horizontal="right" vertical="center"/>
      <protection locked="0"/>
    </xf>
    <xf numFmtId="233" fontId="100" fillId="0" borderId="129" xfId="10" applyNumberFormat="1" applyFont="1" applyBorder="1" applyAlignment="1" applyProtection="1">
      <alignment horizontal="center" vertical="center"/>
      <protection locked="0"/>
    </xf>
    <xf numFmtId="0" fontId="8" fillId="33" borderId="469" xfId="64" applyBorder="1"/>
    <xf numFmtId="232" fontId="116" fillId="14" borderId="469" xfId="25" applyNumberFormat="1" applyFont="1" applyFill="1" applyBorder="1" applyAlignment="1">
      <alignment horizontal="right" vertical="center"/>
    </xf>
    <xf numFmtId="232" fontId="116" fillId="14" borderId="498" xfId="25" applyNumberFormat="1" applyFont="1" applyFill="1" applyBorder="1" applyAlignment="1">
      <alignment horizontal="right" vertical="center"/>
    </xf>
    <xf numFmtId="234" fontId="8" fillId="33" borderId="475" xfId="65" applyNumberFormat="1" applyBorder="1"/>
    <xf numFmtId="0" fontId="319" fillId="5" borderId="0" xfId="31" applyFont="1" applyFill="1" applyAlignment="1">
      <alignment vertical="center"/>
    </xf>
    <xf numFmtId="0" fontId="622" fillId="4" borderId="0" xfId="31" applyFont="1" applyFill="1" applyAlignment="1">
      <alignment horizontal="center" vertical="center"/>
    </xf>
    <xf numFmtId="0" fontId="623" fillId="4" borderId="0" xfId="31" applyFont="1" applyFill="1" applyAlignment="1">
      <alignment horizontal="center" vertical="center"/>
    </xf>
    <xf numFmtId="0" fontId="624" fillId="4" borderId="0" xfId="31" applyFont="1" applyFill="1" applyAlignment="1">
      <alignment horizontal="center" vertical="center"/>
    </xf>
    <xf numFmtId="0" fontId="625" fillId="4" borderId="0" xfId="31" applyFont="1" applyFill="1" applyAlignment="1">
      <alignment horizontal="center" vertical="center"/>
    </xf>
    <xf numFmtId="0" fontId="626" fillId="4" borderId="0" xfId="31" applyFont="1" applyFill="1" applyAlignment="1">
      <alignment horizontal="center" vertical="center"/>
    </xf>
    <xf numFmtId="0" fontId="627" fillId="4" borderId="0" xfId="31" applyFont="1" applyFill="1" applyAlignment="1">
      <alignment horizontal="center" vertical="center"/>
    </xf>
    <xf numFmtId="0" fontId="628" fillId="4" borderId="0" xfId="31" applyFont="1" applyFill="1" applyAlignment="1">
      <alignment horizontal="center" vertical="center"/>
    </xf>
    <xf numFmtId="0" fontId="629" fillId="4" borderId="0" xfId="31" applyFont="1" applyFill="1" applyAlignment="1">
      <alignment horizontal="center" vertical="center"/>
    </xf>
    <xf numFmtId="0" fontId="630" fillId="4" borderId="0" xfId="31" applyFont="1" applyFill="1" applyAlignment="1">
      <alignment horizontal="center" vertical="center"/>
    </xf>
    <xf numFmtId="0" fontId="631" fillId="4" borderId="0" xfId="31" applyFont="1" applyFill="1" applyAlignment="1">
      <alignment horizontal="center" vertical="center"/>
    </xf>
    <xf numFmtId="0" fontId="632" fillId="4" borderId="0" xfId="31" applyFont="1" applyFill="1" applyAlignment="1">
      <alignment horizontal="center" vertical="center"/>
    </xf>
    <xf numFmtId="0" fontId="633" fillId="4" borderId="0" xfId="31" applyFont="1" applyFill="1" applyAlignment="1">
      <alignment horizontal="center" vertical="center"/>
    </xf>
    <xf numFmtId="0" fontId="634" fillId="4" borderId="0" xfId="31" applyFont="1" applyFill="1" applyAlignment="1">
      <alignment horizontal="center" vertical="center"/>
    </xf>
    <xf numFmtId="0" fontId="635" fillId="4" borderId="0" xfId="31" applyFont="1" applyFill="1" applyAlignment="1">
      <alignment horizontal="center" vertical="center"/>
    </xf>
    <xf numFmtId="0" fontId="636" fillId="4" borderId="0" xfId="31" applyFont="1" applyFill="1" applyAlignment="1">
      <alignment horizontal="center" vertical="center"/>
    </xf>
    <xf numFmtId="0" fontId="637" fillId="4" borderId="0" xfId="31" applyFont="1" applyFill="1" applyAlignment="1">
      <alignment horizontal="center" vertical="center"/>
    </xf>
    <xf numFmtId="0" fontId="638" fillId="4" borderId="0" xfId="31" applyFont="1" applyFill="1" applyAlignment="1">
      <alignment horizontal="center" vertical="center"/>
    </xf>
    <xf numFmtId="0" fontId="639" fillId="4" borderId="0" xfId="31" applyFont="1" applyFill="1" applyAlignment="1">
      <alignment horizontal="center" vertical="center"/>
    </xf>
    <xf numFmtId="0" fontId="640" fillId="2" borderId="13" xfId="31" applyFont="1" applyFill="1" applyBorder="1" applyAlignment="1">
      <alignment horizontal="center" vertical="center"/>
    </xf>
    <xf numFmtId="0" fontId="641" fillId="0" borderId="54" xfId="32" applyFont="1" applyBorder="1" applyAlignment="1">
      <alignment horizontal="center" vertical="center"/>
    </xf>
    <xf numFmtId="0" fontId="642" fillId="140" borderId="13" xfId="31" applyFont="1" applyFill="1" applyBorder="1" applyAlignment="1">
      <alignment horizontal="center" vertical="center"/>
    </xf>
    <xf numFmtId="0" fontId="642" fillId="141" borderId="13" xfId="31" applyFont="1" applyFill="1" applyBorder="1" applyAlignment="1">
      <alignment horizontal="center" vertical="center"/>
    </xf>
    <xf numFmtId="0" fontId="264" fillId="50" borderId="0" xfId="2" applyFont="1" applyFill="1" applyAlignment="1" applyProtection="1">
      <alignment horizontal="left" vertical="center"/>
      <protection hidden="1"/>
    </xf>
    <xf numFmtId="0" fontId="460" fillId="50" borderId="0" xfId="36" applyFont="1" applyFill="1" applyAlignment="1">
      <alignment vertical="center"/>
    </xf>
    <xf numFmtId="0" fontId="264" fillId="50" borderId="0" xfId="31" applyFont="1" applyFill="1" applyAlignment="1" applyProtection="1">
      <alignment vertical="center"/>
      <protection hidden="1"/>
    </xf>
    <xf numFmtId="0" fontId="264" fillId="50" borderId="0" xfId="0" applyFont="1" applyFill="1" applyAlignment="1">
      <alignment horizontal="left" vertical="center"/>
    </xf>
    <xf numFmtId="0" fontId="643" fillId="50" borderId="0" xfId="2" applyFont="1" applyFill="1" applyAlignment="1">
      <alignment horizontal="center" vertical="center"/>
    </xf>
    <xf numFmtId="0" fontId="198" fillId="50" borderId="0" xfId="0" applyFont="1" applyFill="1" applyAlignment="1">
      <alignment horizontal="left" vertical="top"/>
    </xf>
    <xf numFmtId="0" fontId="644" fillId="2" borderId="0" xfId="31" applyFont="1" applyFill="1" applyAlignment="1">
      <alignment vertical="center"/>
    </xf>
    <xf numFmtId="0" fontId="13" fillId="2" borderId="0" xfId="31" applyFill="1" applyProtection="1">
      <protection hidden="1"/>
    </xf>
    <xf numFmtId="0" fontId="645" fillId="2" borderId="13" xfId="31" applyFont="1" applyFill="1" applyBorder="1" applyAlignment="1">
      <alignment vertical="center"/>
    </xf>
    <xf numFmtId="0" fontId="13" fillId="2" borderId="0" xfId="31" applyFill="1" applyAlignment="1">
      <alignment vertical="center"/>
    </xf>
    <xf numFmtId="195" fontId="646" fillId="2" borderId="0" xfId="31" applyNumberFormat="1" applyFont="1" applyFill="1" applyAlignment="1">
      <alignment vertical="center"/>
    </xf>
    <xf numFmtId="0" fontId="645" fillId="2" borderId="0" xfId="31" applyFont="1" applyFill="1" applyAlignment="1">
      <alignment horizontal="left" vertical="center"/>
    </xf>
    <xf numFmtId="0" fontId="13" fillId="0" borderId="0" xfId="31" applyProtection="1">
      <protection hidden="1"/>
    </xf>
    <xf numFmtId="0" fontId="246" fillId="26" borderId="0" xfId="31" applyFont="1" applyFill="1" applyAlignment="1">
      <alignment horizontal="center" vertical="center"/>
    </xf>
    <xf numFmtId="0" fontId="647" fillId="8" borderId="12" xfId="31" applyFont="1" applyFill="1" applyBorder="1" applyAlignment="1">
      <alignment horizontal="center" vertical="center"/>
    </xf>
    <xf numFmtId="0" fontId="647" fillId="8" borderId="0" xfId="31" applyFont="1" applyFill="1" applyAlignment="1">
      <alignment horizontal="center" vertical="center"/>
    </xf>
    <xf numFmtId="0" fontId="459" fillId="50" borderId="0" xfId="31" applyFont="1" applyFill="1" applyAlignment="1">
      <alignment vertical="center"/>
    </xf>
    <xf numFmtId="0" fontId="459" fillId="50" borderId="13" xfId="31" applyFont="1" applyFill="1" applyBorder="1" applyAlignment="1">
      <alignment vertical="center"/>
    </xf>
    <xf numFmtId="0" fontId="459" fillId="50" borderId="0" xfId="31" applyFont="1" applyFill="1" applyAlignment="1">
      <alignment horizontal="right" vertical="center"/>
    </xf>
    <xf numFmtId="0" fontId="240" fillId="2" borderId="12" xfId="2" applyFont="1" applyFill="1" applyBorder="1" applyAlignment="1">
      <alignment horizontal="center" vertical="center" wrapText="1"/>
    </xf>
    <xf numFmtId="0" fontId="226" fillId="2" borderId="0" xfId="13" applyFont="1" applyFill="1" applyAlignment="1">
      <alignment horizontal="left" vertical="center"/>
    </xf>
    <xf numFmtId="0" fontId="474" fillId="42" borderId="0" xfId="31" applyFont="1" applyFill="1" applyAlignment="1">
      <alignment horizontal="center" vertical="center"/>
    </xf>
    <xf numFmtId="0" fontId="475" fillId="17" borderId="0" xfId="0" applyFont="1" applyFill="1" applyAlignment="1">
      <alignment horizontal="left" vertical="center"/>
    </xf>
    <xf numFmtId="0" fontId="475" fillId="5" borderId="0" xfId="31" applyFont="1" applyFill="1" applyAlignment="1">
      <alignment horizontal="center" vertical="center"/>
    </xf>
    <xf numFmtId="0" fontId="7" fillId="50" borderId="0" xfId="66" applyFill="1"/>
    <xf numFmtId="0" fontId="500" fillId="50" borderId="0" xfId="12" applyFont="1" applyFill="1" applyAlignment="1">
      <alignment horizontal="left" vertical="center"/>
    </xf>
    <xf numFmtId="0" fontId="498" fillId="50" borderId="0" xfId="15" applyFont="1" applyFill="1" applyAlignment="1">
      <alignment vertical="center"/>
    </xf>
    <xf numFmtId="0" fontId="648" fillId="50" borderId="0" xfId="31" applyFont="1" applyFill="1" applyAlignment="1">
      <alignment horizontal="center"/>
    </xf>
    <xf numFmtId="0" fontId="302" fillId="50" borderId="0" xfId="31" applyFont="1" applyFill="1" applyAlignment="1">
      <alignment horizontal="center"/>
    </xf>
    <xf numFmtId="0" fontId="347" fillId="2" borderId="0" xfId="33" applyFont="1" applyFill="1" applyAlignment="1">
      <alignment horizontal="right" vertical="center"/>
    </xf>
    <xf numFmtId="201" fontId="385" fillId="43" borderId="0" xfId="33" applyNumberFormat="1" applyFont="1" applyFill="1" applyAlignment="1">
      <alignment horizontal="center" vertical="center"/>
    </xf>
    <xf numFmtId="0" fontId="649" fillId="50" borderId="0" xfId="66" applyFont="1" applyFill="1" applyAlignment="1">
      <alignment vertical="center"/>
    </xf>
    <xf numFmtId="0" fontId="533" fillId="50" borderId="0" xfId="31" applyFont="1" applyFill="1" applyAlignment="1">
      <alignment vertical="center"/>
    </xf>
    <xf numFmtId="0" fontId="474" fillId="30" borderId="0" xfId="31" applyFont="1" applyFill="1" applyAlignment="1">
      <alignment horizontal="center" vertical="center"/>
    </xf>
    <xf numFmtId="0" fontId="476" fillId="17" borderId="0" xfId="31" applyFont="1" applyFill="1" applyAlignment="1">
      <alignment horizontal="center" vertical="center"/>
    </xf>
    <xf numFmtId="0" fontId="193" fillId="50" borderId="0" xfId="31" applyFont="1" applyFill="1" applyProtection="1">
      <protection hidden="1"/>
    </xf>
    <xf numFmtId="0" fontId="401" fillId="50" borderId="0" xfId="31" applyFont="1" applyFill="1" applyAlignment="1">
      <alignment vertical="center"/>
    </xf>
    <xf numFmtId="0" fontId="460" fillId="50" borderId="0" xfId="31" applyFont="1" applyFill="1" applyAlignment="1">
      <alignment vertical="center"/>
    </xf>
    <xf numFmtId="0" fontId="116" fillId="17" borderId="0" xfId="66" applyFont="1" applyFill="1"/>
    <xf numFmtId="0" fontId="475" fillId="17" borderId="0" xfId="66" applyFont="1" applyFill="1" applyAlignment="1">
      <alignment horizontal="right" vertical="center"/>
    </xf>
    <xf numFmtId="0" fontId="193" fillId="0" borderId="0" xfId="31" applyFont="1" applyAlignment="1">
      <alignment vertical="center"/>
    </xf>
    <xf numFmtId="0" fontId="650" fillId="50" borderId="0" xfId="33" applyFont="1" applyFill="1" applyAlignment="1">
      <alignment horizontal="left" vertical="center"/>
    </xf>
    <xf numFmtId="0" fontId="476" fillId="17" borderId="0" xfId="31" applyFont="1" applyFill="1" applyAlignment="1">
      <alignment horizontal="left" vertical="center"/>
    </xf>
    <xf numFmtId="0" fontId="13" fillId="33" borderId="0" xfId="31" applyFill="1" applyProtection="1">
      <protection hidden="1"/>
    </xf>
    <xf numFmtId="0" fontId="7" fillId="33" borderId="0" xfId="66" applyFill="1"/>
    <xf numFmtId="0" fontId="13" fillId="33" borderId="0" xfId="31" applyFill="1" applyAlignment="1">
      <alignment vertical="center"/>
    </xf>
    <xf numFmtId="0" fontId="302" fillId="50" borderId="0" xfId="31" applyFont="1" applyFill="1" applyAlignment="1">
      <alignment horizontal="center" vertical="top"/>
    </xf>
    <xf numFmtId="0" fontId="13" fillId="2" borderId="0" xfId="31" applyFill="1"/>
    <xf numFmtId="0" fontId="231" fillId="2" borderId="0" xfId="31" applyFont="1" applyFill="1"/>
    <xf numFmtId="0" fontId="260" fillId="2" borderId="0" xfId="31" applyFont="1" applyFill="1"/>
    <xf numFmtId="0" fontId="345" fillId="2" borderId="0" xfId="33" applyFont="1" applyFill="1" applyAlignment="1">
      <alignment horizontal="right" vertical="center"/>
    </xf>
    <xf numFmtId="0" fontId="260" fillId="2" borderId="0" xfId="33" applyFont="1" applyFill="1" applyAlignment="1">
      <alignment horizontal="right" vertical="center"/>
    </xf>
    <xf numFmtId="0" fontId="260" fillId="2" borderId="0" xfId="31" applyFont="1" applyFill="1" applyAlignment="1">
      <alignment vertical="center"/>
    </xf>
    <xf numFmtId="0" fontId="7" fillId="50" borderId="0" xfId="67" applyFill="1"/>
    <xf numFmtId="0" fontId="231" fillId="50" borderId="0" xfId="33" applyFont="1" applyFill="1" applyAlignment="1">
      <alignment horizontal="right" vertical="center"/>
    </xf>
    <xf numFmtId="0" fontId="347" fillId="50" borderId="0" xfId="33" applyFont="1" applyFill="1" applyAlignment="1">
      <alignment horizontal="right" vertical="center"/>
    </xf>
    <xf numFmtId="0" fontId="651" fillId="50" borderId="0" xfId="31" applyFont="1" applyFill="1" applyAlignment="1">
      <alignment vertical="center"/>
    </xf>
    <xf numFmtId="0" fontId="652" fillId="50" borderId="0" xfId="66" applyFont="1" applyFill="1" applyAlignment="1">
      <alignment vertical="center"/>
    </xf>
    <xf numFmtId="0" fontId="653" fillId="50" borderId="0" xfId="67" applyFont="1" applyFill="1" applyAlignment="1">
      <alignment vertical="center"/>
    </xf>
    <xf numFmtId="0" fontId="231" fillId="2" borderId="0" xfId="33" applyFont="1" applyFill="1" applyAlignment="1">
      <alignment horizontal="right" vertical="center"/>
    </xf>
    <xf numFmtId="0" fontId="532" fillId="30" borderId="13" xfId="31" applyFont="1" applyFill="1" applyBorder="1" applyAlignment="1" applyProtection="1">
      <alignment horizontal="right" vertical="center"/>
      <protection hidden="1"/>
    </xf>
    <xf numFmtId="0" fontId="653" fillId="50" borderId="0" xfId="31" applyFont="1" applyFill="1" applyAlignment="1">
      <alignment horizontal="center" vertical="center"/>
    </xf>
    <xf numFmtId="0" fontId="149" fillId="50" borderId="506" xfId="31" applyFont="1" applyFill="1" applyBorder="1"/>
    <xf numFmtId="0" fontId="654" fillId="50" borderId="507" xfId="31" applyFont="1" applyFill="1" applyBorder="1"/>
    <xf numFmtId="0" fontId="654" fillId="50" borderId="507" xfId="33" applyFont="1" applyFill="1" applyBorder="1" applyAlignment="1">
      <alignment horizontal="right" vertical="center"/>
    </xf>
    <xf numFmtId="0" fontId="654" fillId="50" borderId="507" xfId="31" applyFont="1" applyFill="1" applyBorder="1" applyAlignment="1">
      <alignment vertical="center"/>
    </xf>
    <xf numFmtId="0" fontId="654" fillId="50" borderId="508" xfId="31" applyFont="1" applyFill="1" applyBorder="1"/>
    <xf numFmtId="0" fontId="654" fillId="50" borderId="509" xfId="33" applyFont="1" applyFill="1" applyBorder="1" applyAlignment="1">
      <alignment horizontal="center" vertical="center"/>
    </xf>
    <xf numFmtId="0" fontId="656" fillId="50" borderId="0" xfId="33" applyFont="1" applyFill="1" applyAlignment="1">
      <alignment horizontal="left" vertical="center"/>
    </xf>
    <xf numFmtId="0" fontId="654" fillId="50" borderId="0" xfId="33" applyFont="1" applyFill="1" applyAlignment="1">
      <alignment horizontal="right" vertical="center"/>
    </xf>
    <xf numFmtId="0" fontId="654" fillId="50" borderId="0" xfId="31" applyFont="1" applyFill="1" applyAlignment="1">
      <alignment vertical="center"/>
    </xf>
    <xf numFmtId="0" fontId="654" fillId="50" borderId="0" xfId="31" applyFont="1" applyFill="1"/>
    <xf numFmtId="0" fontId="654" fillId="50" borderId="510" xfId="31" applyFont="1" applyFill="1" applyBorder="1"/>
    <xf numFmtId="0" fontId="209" fillId="17" borderId="0" xfId="66" applyFont="1" applyFill="1" applyAlignment="1">
      <alignment vertical="center"/>
    </xf>
    <xf numFmtId="0" fontId="654" fillId="50" borderId="0" xfId="66" applyFont="1" applyFill="1" applyAlignment="1">
      <alignment vertical="center"/>
    </xf>
    <xf numFmtId="0" fontId="198" fillId="50" borderId="0" xfId="31" applyFont="1" applyFill="1" applyAlignment="1">
      <alignment horizontal="right" vertical="center"/>
    </xf>
    <xf numFmtId="0" fontId="63" fillId="50" borderId="510" xfId="31" applyFont="1" applyFill="1" applyBorder="1"/>
    <xf numFmtId="49" fontId="165" fillId="2" borderId="13" xfId="66" applyNumberFormat="1" applyFont="1" applyFill="1" applyBorder="1" applyAlignment="1">
      <alignment horizontal="center" vertical="center"/>
    </xf>
    <xf numFmtId="49" fontId="165" fillId="2" borderId="0" xfId="66" applyNumberFormat="1" applyFont="1" applyFill="1" applyAlignment="1">
      <alignment horizontal="center" vertical="center"/>
    </xf>
    <xf numFmtId="0" fontId="198" fillId="50" borderId="0" xfId="66" applyFont="1" applyFill="1" applyAlignment="1">
      <alignment vertical="center"/>
    </xf>
    <xf numFmtId="0" fontId="198" fillId="50" borderId="510" xfId="66" applyFont="1" applyFill="1" applyBorder="1" applyAlignment="1">
      <alignment vertical="center"/>
    </xf>
    <xf numFmtId="49" fontId="657" fillId="2" borderId="13" xfId="66" applyNumberFormat="1" applyFont="1" applyFill="1" applyBorder="1" applyAlignment="1">
      <alignment horizontal="center" vertical="center" wrapText="1"/>
    </xf>
    <xf numFmtId="49" fontId="657" fillId="2" borderId="0" xfId="66" applyNumberFormat="1" applyFont="1" applyFill="1" applyAlignment="1">
      <alignment horizontal="center" vertical="center" wrapText="1"/>
    </xf>
    <xf numFmtId="0" fontId="149" fillId="50" borderId="514" xfId="31" applyFont="1" applyFill="1" applyBorder="1"/>
    <xf numFmtId="0" fontId="658" fillId="50" borderId="515" xfId="31" applyFont="1" applyFill="1" applyBorder="1"/>
    <xf numFmtId="0" fontId="654" fillId="50" borderId="515" xfId="33" applyFont="1" applyFill="1" applyBorder="1" applyAlignment="1">
      <alignment horizontal="right" vertical="center"/>
    </xf>
    <xf numFmtId="0" fontId="654" fillId="50" borderId="515" xfId="31" applyFont="1" applyFill="1" applyBorder="1" applyAlignment="1">
      <alignment vertical="center"/>
    </xf>
    <xf numFmtId="0" fontId="654" fillId="50" borderId="515" xfId="31" applyFont="1" applyFill="1" applyBorder="1"/>
    <xf numFmtId="0" fontId="654" fillId="50" borderId="516" xfId="31" applyFont="1" applyFill="1" applyBorder="1"/>
    <xf numFmtId="0" fontId="345" fillId="50" borderId="0" xfId="33" applyFont="1" applyFill="1" applyAlignment="1">
      <alignment horizontal="right" vertical="center"/>
    </xf>
    <xf numFmtId="0" fontId="260" fillId="50" borderId="0" xfId="33" applyFont="1" applyFill="1" applyAlignment="1">
      <alignment horizontal="right" vertical="center"/>
    </xf>
    <xf numFmtId="0" fontId="231" fillId="50" borderId="506" xfId="31" applyFont="1" applyFill="1" applyBorder="1"/>
    <xf numFmtId="0" fontId="260" fillId="50" borderId="507" xfId="31" applyFont="1" applyFill="1" applyBorder="1"/>
    <xf numFmtId="0" fontId="345" fillId="50" borderId="507" xfId="33" applyFont="1" applyFill="1" applyBorder="1" applyAlignment="1">
      <alignment horizontal="right" vertical="center"/>
    </xf>
    <xf numFmtId="0" fontId="260" fillId="50" borderId="507" xfId="33" applyFont="1" applyFill="1" applyBorder="1" applyAlignment="1">
      <alignment horizontal="right" vertical="center"/>
    </xf>
    <xf numFmtId="0" fontId="260" fillId="50" borderId="507" xfId="31" applyFont="1" applyFill="1" applyBorder="1" applyAlignment="1">
      <alignment vertical="center"/>
    </xf>
    <xf numFmtId="0" fontId="260" fillId="50" borderId="508" xfId="31" applyFont="1" applyFill="1" applyBorder="1"/>
    <xf numFmtId="0" fontId="652" fillId="50" borderId="0" xfId="33" applyFont="1" applyFill="1" applyAlignment="1">
      <alignment horizontal="left" vertical="center"/>
    </xf>
    <xf numFmtId="0" fontId="654" fillId="33" borderId="0" xfId="66" applyFont="1" applyFill="1" applyAlignment="1">
      <alignment vertical="center"/>
    </xf>
    <xf numFmtId="0" fontId="231" fillId="50" borderId="514" xfId="31" applyFont="1" applyFill="1" applyBorder="1"/>
    <xf numFmtId="0" fontId="149" fillId="50" borderId="515" xfId="31" applyFont="1" applyFill="1" applyBorder="1"/>
    <xf numFmtId="0" fontId="149" fillId="50" borderId="516" xfId="31" applyFont="1" applyFill="1" applyBorder="1"/>
    <xf numFmtId="0" fontId="27" fillId="4" borderId="161" xfId="2" applyFont="1" applyFill="1" applyBorder="1" applyProtection="1">
      <protection hidden="1"/>
    </xf>
    <xf numFmtId="0" fontId="27" fillId="4" borderId="197" xfId="2" applyFont="1" applyFill="1" applyBorder="1" applyProtection="1">
      <protection hidden="1"/>
    </xf>
    <xf numFmtId="0" fontId="27" fillId="0" borderId="214" xfId="2" applyFont="1" applyBorder="1" applyProtection="1">
      <protection hidden="1"/>
    </xf>
    <xf numFmtId="0" fontId="654" fillId="50" borderId="508" xfId="31" applyFont="1" applyFill="1" applyBorder="1" applyAlignment="1">
      <alignment vertical="center"/>
    </xf>
    <xf numFmtId="0" fontId="662" fillId="50" borderId="0" xfId="33" applyFont="1" applyFill="1" applyAlignment="1">
      <alignment horizontal="left" vertical="center"/>
    </xf>
    <xf numFmtId="0" fontId="654" fillId="50" borderId="0" xfId="33" applyFont="1" applyFill="1" applyAlignment="1">
      <alignment horizontal="left" vertical="center"/>
    </xf>
    <xf numFmtId="0" fontId="654" fillId="2" borderId="0" xfId="66" applyFont="1" applyFill="1" applyAlignment="1">
      <alignment vertical="center"/>
    </xf>
    <xf numFmtId="0" fontId="198" fillId="2" borderId="0" xfId="31" applyFont="1" applyFill="1" applyAlignment="1">
      <alignment horizontal="right" vertical="center"/>
    </xf>
    <xf numFmtId="0" fontId="654" fillId="2" borderId="510" xfId="31" applyFont="1" applyFill="1" applyBorder="1"/>
    <xf numFmtId="0" fontId="260" fillId="50" borderId="508" xfId="33" applyFont="1" applyFill="1" applyBorder="1" applyAlignment="1">
      <alignment horizontal="right" vertical="center"/>
    </xf>
    <xf numFmtId="0" fontId="260" fillId="50" borderId="510" xfId="33" applyFont="1" applyFill="1" applyBorder="1" applyAlignment="1">
      <alignment horizontal="right" vertical="center"/>
    </xf>
    <xf numFmtId="0" fontId="16" fillId="17" borderId="0" xfId="66" applyFont="1" applyFill="1" applyAlignment="1">
      <alignment vertical="center"/>
    </xf>
    <xf numFmtId="0" fontId="260" fillId="2" borderId="0" xfId="33" applyFont="1" applyFill="1" applyAlignment="1">
      <alignment horizontal="left" vertical="center"/>
    </xf>
    <xf numFmtId="0" fontId="260" fillId="50" borderId="515" xfId="31" applyFont="1" applyFill="1" applyBorder="1"/>
    <xf numFmtId="0" fontId="345" fillId="50" borderId="515" xfId="33" applyFont="1" applyFill="1" applyBorder="1" applyAlignment="1">
      <alignment horizontal="right" vertical="center"/>
    </xf>
    <xf numFmtId="0" fontId="260" fillId="50" borderId="515" xfId="33" applyFont="1" applyFill="1" applyBorder="1" applyAlignment="1">
      <alignment horizontal="right" vertical="center"/>
    </xf>
    <xf numFmtId="0" fontId="260" fillId="50" borderId="516" xfId="33" applyFont="1" applyFill="1" applyBorder="1" applyAlignment="1">
      <alignment horizontal="right" vertical="center"/>
    </xf>
    <xf numFmtId="0" fontId="198" fillId="33" borderId="0" xfId="31" applyFont="1" applyFill="1" applyAlignment="1">
      <alignment horizontal="right" vertical="center"/>
    </xf>
    <xf numFmtId="0" fontId="63" fillId="33" borderId="0" xfId="31" applyFont="1" applyFill="1"/>
    <xf numFmtId="0" fontId="654" fillId="33" borderId="510" xfId="31" applyFont="1" applyFill="1" applyBorder="1"/>
    <xf numFmtId="0" fontId="149" fillId="50" borderId="509" xfId="31" applyFont="1" applyFill="1" applyBorder="1"/>
    <xf numFmtId="0" fontId="90" fillId="50" borderId="515" xfId="31" applyFont="1" applyFill="1" applyBorder="1"/>
    <xf numFmtId="0" fontId="16" fillId="41" borderId="0" xfId="66" applyFont="1" applyFill="1" applyAlignment="1">
      <alignment vertical="center"/>
    </xf>
    <xf numFmtId="0" fontId="149" fillId="33" borderId="0" xfId="33" applyFont="1" applyFill="1" applyAlignment="1">
      <alignment horizontal="right" vertical="center"/>
    </xf>
    <xf numFmtId="0" fontId="63" fillId="50" borderId="527" xfId="31" applyFont="1" applyFill="1" applyBorder="1"/>
    <xf numFmtId="0" fontId="198" fillId="50" borderId="527" xfId="66" applyFont="1" applyFill="1" applyBorder="1" applyAlignment="1">
      <alignment vertical="center"/>
    </xf>
    <xf numFmtId="0" fontId="198" fillId="50" borderId="515" xfId="66" applyFont="1" applyFill="1" applyBorder="1" applyAlignment="1">
      <alignment vertical="center"/>
    </xf>
    <xf numFmtId="0" fontId="260" fillId="50" borderId="515" xfId="31" applyFont="1" applyFill="1" applyBorder="1" applyAlignment="1">
      <alignment vertical="center"/>
    </xf>
    <xf numFmtId="0" fontId="260" fillId="50" borderId="516" xfId="31" applyFont="1" applyFill="1" applyBorder="1"/>
    <xf numFmtId="0" fontId="227" fillId="50" borderId="528" xfId="31" applyFont="1" applyFill="1" applyBorder="1"/>
    <xf numFmtId="0" fontId="63" fillId="50" borderId="529" xfId="31" applyFont="1" applyFill="1" applyBorder="1"/>
    <xf numFmtId="0" fontId="654" fillId="50" borderId="529" xfId="33" applyFont="1" applyFill="1" applyBorder="1" applyAlignment="1">
      <alignment horizontal="right" vertical="center"/>
    </xf>
    <xf numFmtId="0" fontId="63" fillId="50" borderId="529" xfId="33" applyFont="1" applyFill="1" applyBorder="1" applyAlignment="1">
      <alignment horizontal="right" vertical="center"/>
    </xf>
    <xf numFmtId="0" fontId="63" fillId="50" borderId="529" xfId="31" applyFont="1" applyFill="1" applyBorder="1" applyAlignment="1">
      <alignment vertical="center"/>
    </xf>
    <xf numFmtId="0" fontId="63" fillId="50" borderId="530" xfId="31" applyFont="1" applyFill="1" applyBorder="1"/>
    <xf numFmtId="0" fontId="63" fillId="50" borderId="0" xfId="33" applyFont="1" applyFill="1" applyAlignment="1">
      <alignment horizontal="right" vertical="center"/>
    </xf>
    <xf numFmtId="0" fontId="63" fillId="50" borderId="0" xfId="31" applyFont="1" applyFill="1" applyAlignment="1">
      <alignment vertical="center"/>
    </xf>
    <xf numFmtId="0" fontId="227" fillId="50" borderId="531" xfId="31" applyFont="1" applyFill="1" applyBorder="1"/>
    <xf numFmtId="0" fontId="183" fillId="33" borderId="515" xfId="31" applyFont="1" applyFill="1" applyBorder="1"/>
    <xf numFmtId="0" fontId="210" fillId="33" borderId="532" xfId="33" applyFont="1" applyFill="1" applyBorder="1" applyAlignment="1">
      <alignment horizontal="right" vertical="center"/>
    </xf>
    <xf numFmtId="0" fontId="663" fillId="33" borderId="532" xfId="33" applyFont="1" applyFill="1" applyBorder="1" applyAlignment="1">
      <alignment horizontal="right" vertical="center"/>
    </xf>
    <xf numFmtId="0" fontId="63" fillId="50" borderId="532" xfId="31" applyFont="1" applyFill="1" applyBorder="1"/>
    <xf numFmtId="0" fontId="63" fillId="50" borderId="533" xfId="31" applyFont="1" applyFill="1" applyBorder="1"/>
    <xf numFmtId="0" fontId="664" fillId="50" borderId="0" xfId="31" applyFont="1" applyFill="1" applyAlignment="1">
      <alignment horizontal="center" vertical="center"/>
    </xf>
    <xf numFmtId="0" fontId="198" fillId="50" borderId="0" xfId="31" applyFont="1" applyFill="1" applyAlignment="1">
      <alignment horizontal="left" vertical="center"/>
    </xf>
    <xf numFmtId="0" fontId="664" fillId="50" borderId="0" xfId="67" applyFont="1" applyFill="1" applyAlignment="1">
      <alignment vertical="center"/>
    </xf>
    <xf numFmtId="0" fontId="654" fillId="50" borderId="534" xfId="67" applyFont="1" applyFill="1" applyBorder="1" applyAlignment="1">
      <alignment vertical="center"/>
    </xf>
    <xf numFmtId="0" fontId="654" fillId="50" borderId="535" xfId="67" applyFont="1" applyFill="1" applyBorder="1"/>
    <xf numFmtId="0" fontId="209" fillId="17" borderId="535" xfId="66" applyFont="1" applyFill="1" applyBorder="1" applyAlignment="1">
      <alignment vertical="center"/>
    </xf>
    <xf numFmtId="0" fontId="654" fillId="33" borderId="536" xfId="66" applyFont="1" applyFill="1" applyBorder="1" applyAlignment="1">
      <alignment vertical="center"/>
    </xf>
    <xf numFmtId="0" fontId="260" fillId="50" borderId="510" xfId="31" applyFont="1" applyFill="1" applyBorder="1"/>
    <xf numFmtId="0" fontId="149" fillId="33" borderId="0" xfId="31" applyFont="1" applyFill="1" applyAlignment="1">
      <alignment horizontal="center" vertical="center"/>
    </xf>
    <xf numFmtId="0" fontId="268" fillId="17" borderId="0" xfId="66" applyFont="1" applyFill="1" applyAlignment="1">
      <alignment horizontal="center" vertical="center"/>
    </xf>
    <xf numFmtId="0" fontId="664" fillId="50" borderId="0" xfId="31" applyFont="1" applyFill="1" applyAlignment="1">
      <alignment horizontal="left" vertical="center"/>
    </xf>
    <xf numFmtId="0" fontId="654" fillId="50" borderId="514" xfId="31" applyFont="1" applyFill="1" applyBorder="1"/>
    <xf numFmtId="0" fontId="198" fillId="50" borderId="0" xfId="67" applyFont="1" applyFill="1" applyAlignment="1">
      <alignment vertical="center"/>
    </xf>
    <xf numFmtId="0" fontId="210" fillId="33" borderId="0" xfId="67" applyFont="1" applyFill="1" applyAlignment="1">
      <alignment vertical="center"/>
    </xf>
    <xf numFmtId="0" fontId="198" fillId="50" borderId="515" xfId="31" applyFont="1" applyFill="1" applyBorder="1" applyAlignment="1">
      <alignment horizontal="left" vertical="center"/>
    </xf>
    <xf numFmtId="0" fontId="149" fillId="50" borderId="0" xfId="31" applyFont="1" applyFill="1"/>
    <xf numFmtId="0" fontId="149" fillId="50" borderId="528" xfId="31" applyFont="1" applyFill="1" applyBorder="1"/>
    <xf numFmtId="0" fontId="654" fillId="50" borderId="529" xfId="31" applyFont="1" applyFill="1" applyBorder="1"/>
    <xf numFmtId="0" fontId="654" fillId="50" borderId="537" xfId="33" applyFont="1" applyFill="1" applyBorder="1" applyAlignment="1">
      <alignment horizontal="right" vertical="center"/>
    </xf>
    <xf numFmtId="0" fontId="149" fillId="50" borderId="538" xfId="31" applyFont="1" applyFill="1" applyBorder="1"/>
    <xf numFmtId="0" fontId="654" fillId="50" borderId="539" xfId="33" applyFont="1" applyFill="1" applyBorder="1" applyAlignment="1">
      <alignment horizontal="right" vertical="center"/>
    </xf>
    <xf numFmtId="0" fontId="662" fillId="50" borderId="0" xfId="31" applyFont="1" applyFill="1"/>
    <xf numFmtId="0" fontId="654" fillId="50" borderId="539" xfId="31" applyFont="1" applyFill="1" applyBorder="1"/>
    <xf numFmtId="0" fontId="654" fillId="50" borderId="538" xfId="33" applyFont="1" applyFill="1" applyBorder="1" applyAlignment="1">
      <alignment horizontal="center" vertical="center"/>
    </xf>
    <xf numFmtId="0" fontId="664" fillId="50" borderId="0" xfId="31" applyFont="1" applyFill="1" applyAlignment="1">
      <alignment horizontal="right" vertical="center"/>
    </xf>
    <xf numFmtId="0" fontId="654" fillId="50" borderId="0" xfId="31" applyFont="1" applyFill="1" applyAlignment="1">
      <alignment horizontal="left" vertical="center"/>
    </xf>
    <xf numFmtId="204" fontId="148" fillId="41" borderId="0" xfId="66" applyNumberFormat="1" applyFont="1" applyFill="1" applyAlignment="1">
      <alignment horizontal="center" vertical="center"/>
    </xf>
    <xf numFmtId="0" fontId="654" fillId="50" borderId="0" xfId="67" applyFont="1" applyFill="1"/>
    <xf numFmtId="0" fontId="149" fillId="50" borderId="539" xfId="31" applyFont="1" applyFill="1" applyBorder="1"/>
    <xf numFmtId="0" fontId="654" fillId="50" borderId="539" xfId="31" applyFont="1" applyFill="1" applyBorder="1" applyAlignment="1">
      <alignment vertical="center"/>
    </xf>
    <xf numFmtId="0" fontId="149" fillId="50" borderId="531" xfId="31" applyFont="1" applyFill="1" applyBorder="1"/>
    <xf numFmtId="0" fontId="664" fillId="50" borderId="532" xfId="31" applyFont="1" applyFill="1" applyBorder="1" applyAlignment="1">
      <alignment horizontal="left" vertical="center"/>
    </xf>
    <xf numFmtId="0" fontId="654" fillId="50" borderId="532" xfId="31" applyFont="1" applyFill="1" applyBorder="1" applyAlignment="1">
      <alignment vertical="center"/>
    </xf>
    <xf numFmtId="0" fontId="654" fillId="50" borderId="540" xfId="31" applyFont="1" applyFill="1" applyBorder="1" applyAlignment="1">
      <alignment vertical="center"/>
    </xf>
    <xf numFmtId="0" fontId="662" fillId="50" borderId="0" xfId="33" applyFont="1" applyFill="1" applyAlignment="1">
      <alignment horizontal="right" vertical="center"/>
    </xf>
    <xf numFmtId="0" fontId="662" fillId="50" borderId="0" xfId="66" applyFont="1" applyFill="1" applyAlignment="1">
      <alignment vertical="center"/>
    </xf>
    <xf numFmtId="0" fontId="665" fillId="45" borderId="0" xfId="66" applyFont="1" applyFill="1" applyAlignment="1">
      <alignment horizontal="center" vertical="center"/>
    </xf>
    <xf numFmtId="0" fontId="198" fillId="50" borderId="0" xfId="66" applyFont="1" applyFill="1" applyAlignment="1">
      <alignment horizontal="left" vertical="center"/>
    </xf>
    <xf numFmtId="14" fontId="198" fillId="50" borderId="0" xfId="67" applyNumberFormat="1" applyFont="1" applyFill="1" applyAlignment="1">
      <alignment horizontal="center" vertical="center"/>
    </xf>
    <xf numFmtId="0" fontId="654" fillId="50" borderId="510" xfId="31" applyFont="1" applyFill="1" applyBorder="1" applyAlignment="1">
      <alignment vertical="center"/>
    </xf>
    <xf numFmtId="0" fontId="193" fillId="50" borderId="510" xfId="31" applyFont="1" applyFill="1" applyBorder="1" applyAlignment="1">
      <alignment vertical="center"/>
    </xf>
    <xf numFmtId="0" fontId="662" fillId="50" borderId="515" xfId="66" applyFont="1" applyFill="1" applyBorder="1" applyAlignment="1">
      <alignment vertical="center"/>
    </xf>
    <xf numFmtId="14" fontId="378" fillId="50" borderId="0" xfId="31" applyNumberFormat="1" applyFont="1" applyFill="1"/>
    <xf numFmtId="0" fontId="90" fillId="50" borderId="0" xfId="67" applyFont="1" applyFill="1" applyAlignment="1">
      <alignment vertical="center"/>
    </xf>
    <xf numFmtId="0" fontId="534" fillId="50" borderId="0" xfId="31" applyFont="1" applyFill="1" applyAlignment="1">
      <alignment horizontal="center" vertical="center"/>
    </xf>
    <xf numFmtId="0" fontId="90" fillId="50" borderId="0" xfId="31" applyFont="1" applyFill="1" applyAlignment="1">
      <alignment horizontal="left" vertical="center"/>
    </xf>
    <xf numFmtId="0" fontId="535" fillId="50" borderId="0" xfId="33" applyFont="1" applyFill="1" applyAlignment="1">
      <alignment horizontal="right" vertical="center"/>
    </xf>
    <xf numFmtId="0" fontId="535" fillId="50" borderId="0" xfId="31" applyFont="1" applyFill="1" applyAlignment="1">
      <alignment vertical="center"/>
    </xf>
    <xf numFmtId="204" fontId="165" fillId="50" borderId="0" xfId="66" applyNumberFormat="1" applyFont="1" applyFill="1" applyAlignment="1">
      <alignment horizontal="center" vertical="center"/>
    </xf>
    <xf numFmtId="0" fontId="274" fillId="50" borderId="0" xfId="31" applyFont="1" applyFill="1" applyAlignment="1">
      <alignment horizontal="center" vertical="center"/>
    </xf>
    <xf numFmtId="0" fontId="209" fillId="17" borderId="0" xfId="45" applyFont="1" applyFill="1"/>
    <xf numFmtId="0" fontId="193" fillId="33" borderId="0" xfId="45" applyFont="1" applyFill="1"/>
    <xf numFmtId="0" fontId="7" fillId="0" borderId="0" xfId="66" applyAlignment="1">
      <alignment horizontal="center" vertical="center"/>
    </xf>
    <xf numFmtId="0" fontId="7" fillId="0" borderId="0" xfId="66"/>
    <xf numFmtId="0" fontId="10" fillId="30" borderId="481" xfId="12" applyFont="1" applyFill="1" applyBorder="1" applyAlignment="1" applyProtection="1">
      <alignment horizontal="center" vertical="center"/>
      <protection hidden="1"/>
    </xf>
    <xf numFmtId="0" fontId="7" fillId="2" borderId="0" xfId="66" applyFill="1"/>
    <xf numFmtId="0" fontId="666" fillId="2" borderId="0" xfId="2" applyFont="1" applyFill="1" applyProtection="1">
      <protection hidden="1"/>
    </xf>
    <xf numFmtId="0" fontId="39" fillId="2" borderId="0" xfId="2" applyFont="1" applyFill="1" applyProtection="1">
      <protection hidden="1"/>
    </xf>
    <xf numFmtId="0" fontId="601" fillId="56" borderId="117" xfId="2" applyFont="1" applyFill="1" applyBorder="1" applyAlignment="1" applyProtection="1">
      <alignment horizontal="center" vertical="center"/>
      <protection hidden="1"/>
    </xf>
    <xf numFmtId="0" fontId="601" fillId="56" borderId="145" xfId="2" applyFont="1" applyFill="1" applyBorder="1" applyAlignment="1" applyProtection="1">
      <alignment horizontal="center" vertical="center" wrapText="1"/>
      <protection hidden="1"/>
    </xf>
    <xf numFmtId="0" fontId="667" fillId="56" borderId="145" xfId="2" applyFont="1" applyFill="1" applyBorder="1" applyAlignment="1" applyProtection="1">
      <alignment horizontal="center" vertical="center"/>
      <protection hidden="1"/>
    </xf>
    <xf numFmtId="0" fontId="94" fillId="2" borderId="0" xfId="66" applyFont="1" applyFill="1"/>
    <xf numFmtId="0" fontId="668" fillId="2" borderId="0" xfId="66" applyFont="1" applyFill="1"/>
    <xf numFmtId="0" fontId="14" fillId="2" borderId="0" xfId="2" applyFont="1" applyFill="1" applyProtection="1">
      <protection hidden="1"/>
    </xf>
    <xf numFmtId="0" fontId="244" fillId="4" borderId="316" xfId="2" applyFont="1" applyFill="1" applyBorder="1" applyAlignment="1">
      <alignment horizontal="left" vertical="center"/>
    </xf>
    <xf numFmtId="0" fontId="669" fillId="25" borderId="333" xfId="66" applyFont="1" applyFill="1" applyBorder="1" applyAlignment="1" applyProtection="1">
      <alignment horizontal="center" vertical="center"/>
      <protection locked="0"/>
    </xf>
    <xf numFmtId="169" fontId="670" fillId="25" borderId="266" xfId="66" applyNumberFormat="1" applyFont="1" applyFill="1" applyBorder="1" applyAlignment="1">
      <alignment horizontal="center" vertical="center" wrapText="1"/>
    </xf>
    <xf numFmtId="185" fontId="669" fillId="25" borderId="266" xfId="33" applyNumberFormat="1" applyFont="1" applyFill="1" applyBorder="1" applyAlignment="1">
      <alignment horizontal="center" vertical="center"/>
    </xf>
    <xf numFmtId="0" fontId="671" fillId="2" borderId="0" xfId="66" applyFont="1" applyFill="1" applyAlignment="1">
      <alignment horizontal="left" vertical="center"/>
    </xf>
    <xf numFmtId="0" fontId="0" fillId="2" borderId="0" xfId="66" applyFont="1" applyFill="1"/>
    <xf numFmtId="0" fontId="78" fillId="2" borderId="0" xfId="2" applyFont="1" applyFill="1" applyAlignment="1" applyProtection="1">
      <alignment vertical="center"/>
      <protection hidden="1"/>
    </xf>
    <xf numFmtId="0" fontId="276" fillId="2" borderId="0" xfId="66" applyFont="1" applyFill="1"/>
    <xf numFmtId="0" fontId="13" fillId="2" borderId="0" xfId="2" applyFill="1" applyAlignment="1" applyProtection="1">
      <alignment vertical="center"/>
      <protection hidden="1"/>
    </xf>
    <xf numFmtId="169" fontId="670" fillId="47" borderId="266" xfId="66" applyNumberFormat="1" applyFont="1" applyFill="1" applyBorder="1" applyAlignment="1">
      <alignment horizontal="center" vertical="center" wrapText="1"/>
    </xf>
    <xf numFmtId="0" fontId="671" fillId="4" borderId="0" xfId="66" applyFont="1" applyFill="1" applyAlignment="1">
      <alignment horizontal="left" vertical="center"/>
    </xf>
    <xf numFmtId="0" fontId="249" fillId="2" borderId="0" xfId="2" applyFont="1" applyFill="1" applyProtection="1">
      <protection hidden="1"/>
    </xf>
    <xf numFmtId="0" fontId="672" fillId="44" borderId="333" xfId="66" applyFont="1" applyFill="1" applyBorder="1" applyAlignment="1" applyProtection="1">
      <alignment horizontal="center" vertical="center"/>
      <protection locked="0"/>
    </xf>
    <xf numFmtId="169" fontId="673" fillId="44" borderId="266" xfId="66" applyNumberFormat="1" applyFont="1" applyFill="1" applyBorder="1" applyAlignment="1">
      <alignment horizontal="left" vertical="center" wrapText="1"/>
    </xf>
    <xf numFmtId="165" fontId="672" fillId="44" borderId="266" xfId="33" applyNumberFormat="1" applyFont="1" applyFill="1" applyBorder="1" applyAlignment="1">
      <alignment horizontal="center" vertical="center"/>
    </xf>
    <xf numFmtId="0" fontId="9" fillId="35" borderId="13" xfId="66" applyFont="1" applyFill="1" applyBorder="1" applyAlignment="1" applyProtection="1">
      <alignment horizontal="center" vertical="center"/>
      <protection locked="0"/>
    </xf>
    <xf numFmtId="0" fontId="9" fillId="35" borderId="0" xfId="66" applyFont="1" applyFill="1" applyAlignment="1" applyProtection="1">
      <alignment horizontal="left" vertical="center"/>
      <protection locked="0"/>
    </xf>
    <xf numFmtId="165" fontId="674" fillId="57" borderId="0" xfId="33" applyNumberFormat="1" applyFont="1" applyFill="1" applyAlignment="1">
      <alignment horizontal="center" vertical="center"/>
    </xf>
    <xf numFmtId="0" fontId="101" fillId="2" borderId="0" xfId="2" applyFont="1" applyFill="1" applyAlignment="1" applyProtection="1">
      <alignment vertical="center"/>
      <protection hidden="1"/>
    </xf>
    <xf numFmtId="0" fontId="669" fillId="25" borderId="117" xfId="66" applyFont="1" applyFill="1" applyBorder="1" applyAlignment="1" applyProtection="1">
      <alignment horizontal="center" vertical="center"/>
      <protection locked="0"/>
    </xf>
    <xf numFmtId="169" fontId="670" fillId="25" borderId="145" xfId="66" applyNumberFormat="1" applyFont="1" applyFill="1" applyBorder="1" applyAlignment="1">
      <alignment horizontal="center" vertical="center" wrapText="1"/>
    </xf>
    <xf numFmtId="185" fontId="669" fillId="25" borderId="145" xfId="33" applyNumberFormat="1" applyFont="1" applyFill="1" applyBorder="1" applyAlignment="1">
      <alignment horizontal="center" vertical="center"/>
    </xf>
    <xf numFmtId="2" fontId="245" fillId="2" borderId="0" xfId="66" applyNumberFormat="1" applyFont="1" applyFill="1" applyAlignment="1">
      <alignment horizontal="right" vertical="center"/>
    </xf>
    <xf numFmtId="2" fontId="245" fillId="2" borderId="0" xfId="66" applyNumberFormat="1" applyFont="1" applyFill="1" applyAlignment="1">
      <alignment horizontal="center" vertical="center"/>
    </xf>
    <xf numFmtId="0" fontId="675" fillId="2" borderId="0" xfId="2" applyFont="1" applyFill="1" applyAlignment="1" applyProtection="1">
      <alignment horizontal="center"/>
      <protection hidden="1"/>
    </xf>
    <xf numFmtId="0" fontId="675" fillId="2" borderId="0" xfId="66" applyFont="1" applyFill="1" applyAlignment="1">
      <alignment horizontal="center"/>
    </xf>
    <xf numFmtId="0" fontId="7" fillId="3" borderId="0" xfId="66" applyFill="1"/>
    <xf numFmtId="0" fontId="16" fillId="0" borderId="0" xfId="66" applyFont="1"/>
    <xf numFmtId="0" fontId="16" fillId="2" borderId="0" xfId="2" applyFont="1" applyFill="1" applyAlignment="1" applyProtection="1">
      <alignment horizontal="left" vertical="center"/>
      <protection locked="0"/>
    </xf>
    <xf numFmtId="0" fontId="126" fillId="2" borderId="0" xfId="2" applyFont="1" applyFill="1" applyAlignment="1" applyProtection="1">
      <alignment horizontal="left" vertical="center"/>
      <protection locked="0"/>
    </xf>
    <xf numFmtId="0" fontId="126" fillId="2" borderId="541" xfId="2" applyFont="1" applyFill="1" applyBorder="1" applyAlignment="1" applyProtection="1">
      <alignment horizontal="left" vertical="center"/>
      <protection locked="0"/>
    </xf>
    <xf numFmtId="0" fontId="242" fillId="2" borderId="13" xfId="2" applyFont="1" applyFill="1" applyBorder="1" applyAlignment="1">
      <alignment horizontal="center" vertical="center"/>
    </xf>
    <xf numFmtId="0" fontId="242" fillId="2" borderId="0" xfId="2" applyFont="1" applyFill="1" applyAlignment="1">
      <alignment horizontal="center" vertical="center"/>
    </xf>
    <xf numFmtId="0" fontId="242" fillId="2" borderId="12" xfId="2" applyFont="1" applyFill="1" applyBorder="1" applyAlignment="1">
      <alignment horizontal="center" vertical="center"/>
    </xf>
    <xf numFmtId="195" fontId="241" fillId="17" borderId="0" xfId="2" applyNumberFormat="1" applyFont="1" applyFill="1" applyAlignment="1">
      <alignment vertical="center"/>
    </xf>
    <xf numFmtId="195" fontId="241" fillId="2" borderId="0" xfId="2" applyNumberFormat="1" applyFont="1" applyFill="1" applyAlignment="1">
      <alignment vertical="center"/>
    </xf>
    <xf numFmtId="0" fontId="240" fillId="2" borderId="0" xfId="2" applyFont="1" applyFill="1" applyAlignment="1">
      <alignment horizontal="center" vertical="center" wrapText="1"/>
    </xf>
    <xf numFmtId="0" fontId="240" fillId="2" borderId="0" xfId="2" applyFont="1" applyFill="1" applyAlignment="1">
      <alignment vertical="center" wrapText="1"/>
    </xf>
    <xf numFmtId="0" fontId="239" fillId="2" borderId="0" xfId="2" applyFont="1" applyFill="1" applyAlignment="1">
      <alignment horizontal="right" vertical="center"/>
    </xf>
    <xf numFmtId="0" fontId="269" fillId="2" borderId="0" xfId="2" applyFont="1" applyFill="1" applyAlignment="1">
      <alignment horizontal="center" vertical="center"/>
    </xf>
    <xf numFmtId="0" fontId="237" fillId="26" borderId="0" xfId="2" applyFont="1" applyFill="1" applyAlignment="1">
      <alignment horizontal="center" vertical="center"/>
    </xf>
    <xf numFmtId="0" fontId="238" fillId="2" borderId="0" xfId="2" applyFont="1" applyFill="1" applyAlignment="1">
      <alignment horizontal="center" vertical="center"/>
    </xf>
    <xf numFmtId="0" fontId="237" fillId="2" borderId="0" xfId="2" applyFont="1" applyFill="1" applyAlignment="1">
      <alignment horizontal="center" vertical="center"/>
    </xf>
    <xf numFmtId="0" fontId="269" fillId="2" borderId="13" xfId="2" applyFont="1" applyFill="1" applyBorder="1" applyAlignment="1">
      <alignment horizontal="center" vertical="center"/>
    </xf>
    <xf numFmtId="0" fontId="27" fillId="2" borderId="0" xfId="33" applyFont="1" applyFill="1" applyAlignment="1">
      <alignment horizontal="right" vertical="center"/>
    </xf>
    <xf numFmtId="201" fontId="74" fillId="43" borderId="0" xfId="33" applyNumberFormat="1" applyFont="1" applyFill="1" applyAlignment="1">
      <alignment horizontal="center" vertical="center"/>
    </xf>
    <xf numFmtId="0" fontId="90" fillId="42" borderId="0" xfId="66" applyFont="1" applyFill="1" applyAlignment="1">
      <alignment horizontal="center" vertical="center"/>
    </xf>
    <xf numFmtId="0" fontId="236" fillId="8" borderId="0" xfId="2" applyFont="1" applyFill="1" applyAlignment="1">
      <alignment horizontal="center" vertical="center"/>
    </xf>
    <xf numFmtId="201" fontId="74" fillId="2" borderId="0" xfId="33" applyNumberFormat="1" applyFont="1" applyFill="1" applyAlignment="1">
      <alignment horizontal="center" vertical="center"/>
    </xf>
    <xf numFmtId="0" fontId="236" fillId="2" borderId="0" xfId="2" applyFont="1" applyFill="1" applyAlignment="1">
      <alignment horizontal="center" vertical="center"/>
    </xf>
    <xf numFmtId="0" fontId="137" fillId="17" borderId="0" xfId="66" applyFont="1" applyFill="1" applyAlignment="1">
      <alignment horizontal="center" vertical="center"/>
    </xf>
    <xf numFmtId="0" fontId="90" fillId="30" borderId="0" xfId="66" applyFont="1" applyFill="1" applyAlignment="1">
      <alignment horizontal="center" vertical="center"/>
    </xf>
    <xf numFmtId="0" fontId="138" fillId="2" borderId="0" xfId="2" applyFont="1" applyFill="1" applyAlignment="1">
      <alignment horizontal="right" vertical="center"/>
    </xf>
    <xf numFmtId="0" fontId="138" fillId="169" borderId="0" xfId="2" applyFont="1" applyFill="1" applyAlignment="1">
      <alignment horizontal="left" vertical="center"/>
    </xf>
    <xf numFmtId="0" fontId="13" fillId="2" borderId="481" xfId="2" applyFill="1" applyBorder="1"/>
    <xf numFmtId="0" fontId="13" fillId="2" borderId="412" xfId="2" applyFill="1" applyBorder="1"/>
    <xf numFmtId="0" fontId="13" fillId="2" borderId="413" xfId="2" applyFill="1" applyBorder="1"/>
    <xf numFmtId="0" fontId="676" fillId="8" borderId="405" xfId="2" applyFont="1" applyFill="1" applyBorder="1" applyAlignment="1">
      <alignment horizontal="center" vertical="center"/>
    </xf>
    <xf numFmtId="0" fontId="677" fillId="5" borderId="13" xfId="2" applyFont="1" applyFill="1" applyBorder="1" applyAlignment="1">
      <alignment horizontal="center" vertical="center"/>
    </xf>
    <xf numFmtId="0" fontId="678" fillId="5" borderId="13" xfId="2" applyFont="1" applyFill="1" applyBorder="1" applyAlignment="1">
      <alignment horizontal="center" vertical="center"/>
    </xf>
    <xf numFmtId="0" fontId="49" fillId="5" borderId="13" xfId="2" applyFont="1" applyFill="1" applyBorder="1" applyAlignment="1">
      <alignment horizontal="center" vertical="center"/>
    </xf>
    <xf numFmtId="0" fontId="137" fillId="2" borderId="0" xfId="66" applyFont="1" applyFill="1"/>
    <xf numFmtId="0" fontId="97" fillId="2" borderId="0" xfId="66" applyFont="1" applyFill="1"/>
    <xf numFmtId="0" fontId="15" fillId="2" borderId="0" xfId="2" applyFont="1" applyFill="1" applyAlignment="1">
      <alignment horizontal="center" vertical="center" wrapText="1"/>
    </xf>
    <xf numFmtId="0" fontId="216" fillId="2" borderId="0" xfId="3" applyFont="1" applyFill="1" applyBorder="1" applyAlignment="1">
      <alignment horizontal="left" vertical="center"/>
    </xf>
    <xf numFmtId="0" fontId="224" fillId="17" borderId="0" xfId="66" applyFont="1" applyFill="1" applyAlignment="1">
      <alignment horizontal="centerContinuous" vertical="center"/>
    </xf>
    <xf numFmtId="0" fontId="7" fillId="17" borderId="0" xfId="66" applyFill="1" applyAlignment="1">
      <alignment horizontal="centerContinuous" vertical="center"/>
    </xf>
    <xf numFmtId="0" fontId="223" fillId="17" borderId="0" xfId="66" applyFont="1" applyFill="1" applyAlignment="1">
      <alignment horizontal="centerContinuous" vertical="center"/>
    </xf>
    <xf numFmtId="0" fontId="34" fillId="17" borderId="0" xfId="66" applyFont="1" applyFill="1" applyAlignment="1">
      <alignment horizontal="left" vertical="center"/>
    </xf>
    <xf numFmtId="0" fontId="100" fillId="17" borderId="0" xfId="66" applyFont="1" applyFill="1" applyAlignment="1">
      <alignment horizontal="left" vertical="center"/>
    </xf>
    <xf numFmtId="49" fontId="27" fillId="17" borderId="0" xfId="66" applyNumberFormat="1" applyFont="1" applyFill="1" applyAlignment="1">
      <alignment horizontal="left" vertical="center"/>
    </xf>
    <xf numFmtId="0" fontId="15" fillId="17" borderId="0" xfId="66" applyFont="1" applyFill="1" applyAlignment="1">
      <alignment horizontal="left" vertical="center"/>
    </xf>
    <xf numFmtId="0" fontId="15" fillId="137" borderId="0" xfId="15" applyFont="1" applyFill="1" applyAlignment="1">
      <alignment vertical="top"/>
    </xf>
    <xf numFmtId="0" fontId="7" fillId="137" borderId="0" xfId="66" applyFill="1"/>
    <xf numFmtId="0" fontId="223" fillId="137" borderId="0" xfId="66" applyFont="1" applyFill="1" applyAlignment="1">
      <alignment horizontal="left" vertical="center"/>
    </xf>
    <xf numFmtId="0" fontId="7" fillId="137" borderId="104" xfId="66" applyFill="1" applyBorder="1"/>
    <xf numFmtId="0" fontId="15" fillId="137" borderId="0" xfId="15" applyFont="1" applyFill="1" applyAlignment="1">
      <alignment horizontal="right" vertical="top"/>
    </xf>
    <xf numFmtId="0" fontId="222" fillId="38" borderId="0" xfId="16" applyFont="1" applyFill="1" applyAlignment="1">
      <alignment horizontal="right" vertical="center"/>
    </xf>
    <xf numFmtId="0" fontId="143" fillId="38" borderId="0" xfId="16" applyFont="1" applyFill="1" applyAlignment="1">
      <alignment horizontal="left" vertical="center" wrapText="1"/>
    </xf>
    <xf numFmtId="49" fontId="27" fillId="2" borderId="487" xfId="66" applyNumberFormat="1" applyFont="1" applyFill="1" applyBorder="1" applyAlignment="1">
      <alignment horizontal="left" vertical="center"/>
    </xf>
    <xf numFmtId="0" fontId="7" fillId="137" borderId="102" xfId="66" applyFill="1" applyBorder="1"/>
    <xf numFmtId="0" fontId="39" fillId="36" borderId="0" xfId="15" applyFont="1" applyFill="1" applyAlignment="1">
      <alignment vertical="center" wrapText="1"/>
    </xf>
    <xf numFmtId="0" fontId="221" fillId="37" borderId="0" xfId="66" applyFont="1" applyFill="1" applyAlignment="1">
      <alignment horizontal="left" vertical="center"/>
    </xf>
    <xf numFmtId="0" fontId="39" fillId="36" borderId="0" xfId="15" applyFont="1" applyFill="1" applyAlignment="1">
      <alignment vertical="center"/>
    </xf>
    <xf numFmtId="0" fontId="34" fillId="137" borderId="0" xfId="15" applyFont="1" applyFill="1" applyAlignment="1">
      <alignment horizontal="right" vertical="top"/>
    </xf>
    <xf numFmtId="0" fontId="34" fillId="137" borderId="0" xfId="15" applyFont="1" applyFill="1" applyAlignment="1">
      <alignment vertical="top"/>
    </xf>
    <xf numFmtId="0" fontId="137" fillId="0" borderId="0" xfId="66" applyFont="1"/>
    <xf numFmtId="0" fontId="20" fillId="2" borderId="0" xfId="3" applyFill="1"/>
    <xf numFmtId="0" fontId="94" fillId="2" borderId="0" xfId="66" applyFont="1" applyFill="1" applyAlignment="1">
      <alignment horizontal="left" vertical="center"/>
    </xf>
    <xf numFmtId="0" fontId="94" fillId="0" borderId="0" xfId="66" applyFont="1" applyAlignment="1">
      <alignment horizontal="center" vertical="center"/>
    </xf>
    <xf numFmtId="14" fontId="7" fillId="2" borderId="0" xfId="66" applyNumberFormat="1" applyFill="1" applyAlignment="1">
      <alignment horizontal="center" vertical="center"/>
    </xf>
    <xf numFmtId="0" fontId="7" fillId="2" borderId="0" xfId="66" applyFill="1" applyAlignment="1">
      <alignment horizontal="right" vertical="center"/>
    </xf>
    <xf numFmtId="0" fontId="7" fillId="2" borderId="0" xfId="66" applyFill="1" applyAlignment="1">
      <alignment horizontal="left" vertical="center"/>
    </xf>
    <xf numFmtId="0" fontId="137" fillId="2" borderId="0" xfId="66" applyFont="1" applyFill="1" applyAlignment="1">
      <alignment vertical="center"/>
    </xf>
    <xf numFmtId="1" fontId="345" fillId="170" borderId="0" xfId="2" applyNumberFormat="1" applyFont="1" applyFill="1" applyAlignment="1" applyProtection="1">
      <alignment horizontal="center" vertical="center"/>
      <protection locked="0"/>
    </xf>
    <xf numFmtId="0" fontId="157" fillId="0" borderId="0" xfId="33" applyFont="1" applyAlignment="1" applyProtection="1">
      <alignment vertical="center"/>
      <protection locked="0"/>
    </xf>
    <xf numFmtId="0" fontId="157" fillId="0" borderId="0" xfId="33" applyFont="1" applyAlignment="1">
      <alignment vertical="center"/>
    </xf>
    <xf numFmtId="0" fontId="683" fillId="5" borderId="0" xfId="2" applyFont="1" applyFill="1" applyAlignment="1">
      <alignment vertical="center"/>
    </xf>
    <xf numFmtId="0" fontId="201" fillId="5" borderId="0" xfId="14" applyFont="1" applyFill="1" applyAlignment="1">
      <alignment vertical="center"/>
    </xf>
    <xf numFmtId="0" fontId="14" fillId="2" borderId="0" xfId="33" applyFont="1" applyFill="1" applyAlignment="1">
      <alignment vertical="center"/>
    </xf>
    <xf numFmtId="0" fontId="198" fillId="2" borderId="0" xfId="66" applyFont="1" applyFill="1" applyAlignment="1">
      <alignment horizontal="center" vertical="center"/>
    </xf>
    <xf numFmtId="0" fontId="14" fillId="5" borderId="0" xfId="33" applyFont="1" applyFill="1" applyAlignment="1">
      <alignment vertical="center"/>
    </xf>
    <xf numFmtId="0" fontId="138" fillId="3" borderId="0" xfId="33" applyFont="1" applyFill="1" applyAlignment="1">
      <alignment horizontal="center" vertical="center"/>
    </xf>
    <xf numFmtId="0" fontId="138" fillId="3" borderId="0" xfId="33" applyFont="1" applyFill="1" applyAlignment="1">
      <alignment vertical="center" wrapText="1"/>
    </xf>
    <xf numFmtId="0" fontId="684" fillId="3" borderId="0" xfId="14" applyFont="1" applyFill="1" applyAlignment="1">
      <alignment vertical="center"/>
    </xf>
    <xf numFmtId="0" fontId="14" fillId="3" borderId="0" xfId="33" applyFont="1" applyFill="1" applyAlignment="1">
      <alignment vertical="center"/>
    </xf>
    <xf numFmtId="0" fontId="90" fillId="2" borderId="0" xfId="33" applyFont="1" applyFill="1" applyAlignment="1">
      <alignment horizontal="center" vertical="center" wrapText="1"/>
    </xf>
    <xf numFmtId="0" fontId="686" fillId="2" borderId="0" xfId="66" applyFont="1" applyFill="1" applyAlignment="1">
      <alignment vertical="center" wrapText="1"/>
    </xf>
    <xf numFmtId="0" fontId="198" fillId="3" borderId="0" xfId="66" applyFont="1" applyFill="1" applyAlignment="1">
      <alignment horizontal="center" vertical="center"/>
    </xf>
    <xf numFmtId="0" fontId="216" fillId="2" borderId="0" xfId="3" applyFont="1" applyFill="1" applyAlignment="1">
      <alignment vertical="center"/>
    </xf>
    <xf numFmtId="0" fontId="101" fillId="2" borderId="0" xfId="66" applyFont="1" applyFill="1" applyAlignment="1">
      <alignment vertical="center"/>
    </xf>
    <xf numFmtId="0" fontId="101" fillId="2" borderId="0" xfId="66" applyFont="1" applyFill="1"/>
    <xf numFmtId="0" fontId="687" fillId="0" borderId="0" xfId="3" applyFont="1" applyAlignment="1">
      <alignment vertical="center"/>
    </xf>
    <xf numFmtId="0" fontId="68" fillId="24" borderId="490" xfId="2" applyFont="1" applyFill="1" applyBorder="1" applyAlignment="1">
      <alignment horizontal="center" vertical="center"/>
    </xf>
    <xf numFmtId="0" fontId="214" fillId="2" borderId="13" xfId="66" applyFont="1" applyFill="1" applyBorder="1"/>
    <xf numFmtId="0" fontId="214" fillId="2" borderId="0" xfId="66" applyFont="1" applyFill="1"/>
    <xf numFmtId="0" fontId="10" fillId="2" borderId="13" xfId="33" applyFont="1" applyFill="1" applyBorder="1" applyAlignment="1">
      <alignment horizontal="center" vertical="center" wrapText="1"/>
    </xf>
    <xf numFmtId="0" fontId="10" fillId="2" borderId="0" xfId="33" applyFont="1" applyFill="1" applyAlignment="1">
      <alignment horizontal="center" vertical="center" wrapText="1"/>
    </xf>
    <xf numFmtId="0" fontId="10" fillId="2" borderId="12" xfId="33" applyFont="1" applyFill="1" applyBorder="1" applyAlignment="1">
      <alignment horizontal="center" vertical="center" wrapText="1"/>
    </xf>
    <xf numFmtId="0" fontId="213" fillId="2" borderId="13" xfId="33" applyFont="1" applyFill="1" applyBorder="1" applyAlignment="1">
      <alignment horizontal="center" vertical="center"/>
    </xf>
    <xf numFmtId="0" fontId="212" fillId="2" borderId="13" xfId="33" applyFont="1" applyFill="1" applyBorder="1" applyAlignment="1">
      <alignment horizontal="center" vertical="center"/>
    </xf>
    <xf numFmtId="0" fontId="13" fillId="2" borderId="99" xfId="2" applyFill="1" applyBorder="1"/>
    <xf numFmtId="0" fontId="13" fillId="0" borderId="7" xfId="2" applyBorder="1"/>
    <xf numFmtId="0" fontId="13" fillId="2" borderId="7" xfId="2" applyFill="1" applyBorder="1"/>
    <xf numFmtId="0" fontId="13" fillId="2" borderId="98" xfId="2" applyFill="1" applyBorder="1"/>
    <xf numFmtId="0" fontId="101" fillId="2" borderId="13" xfId="2" applyFont="1" applyFill="1" applyBorder="1" applyAlignment="1">
      <alignment vertical="center" wrapText="1"/>
    </xf>
    <xf numFmtId="0" fontId="101" fillId="2" borderId="0" xfId="2" applyFont="1" applyFill="1" applyAlignment="1">
      <alignment vertical="center" wrapText="1"/>
    </xf>
    <xf numFmtId="0" fontId="101" fillId="2" borderId="12" xfId="2" applyFont="1" applyFill="1" applyBorder="1" applyAlignment="1">
      <alignment vertical="center" wrapText="1"/>
    </xf>
    <xf numFmtId="195" fontId="171" fillId="3" borderId="0" xfId="2" applyNumberFormat="1" applyFont="1" applyFill="1" applyAlignment="1">
      <alignment vertical="center"/>
    </xf>
    <xf numFmtId="195" fontId="171" fillId="5" borderId="12" xfId="2" applyNumberFormat="1" applyFont="1" applyFill="1" applyBorder="1" applyAlignment="1">
      <alignment vertical="center"/>
    </xf>
    <xf numFmtId="0" fontId="116" fillId="2" borderId="203" xfId="2" applyFont="1" applyFill="1" applyBorder="1" applyAlignment="1">
      <alignment vertical="center"/>
    </xf>
    <xf numFmtId="0" fontId="13" fillId="0" borderId="325" xfId="2" applyBorder="1"/>
    <xf numFmtId="0" fontId="171" fillId="2" borderId="325" xfId="2" applyFont="1" applyFill="1" applyBorder="1" applyAlignment="1">
      <alignment vertical="center"/>
    </xf>
    <xf numFmtId="0" fontId="116" fillId="2" borderId="416" xfId="2" applyFont="1" applyFill="1" applyBorder="1" applyAlignment="1">
      <alignment vertical="center"/>
    </xf>
    <xf numFmtId="0" fontId="171" fillId="2" borderId="403" xfId="2" applyFont="1" applyFill="1" applyBorder="1" applyAlignment="1">
      <alignment vertical="center"/>
    </xf>
    <xf numFmtId="0" fontId="13" fillId="0" borderId="203" xfId="2" applyBorder="1"/>
    <xf numFmtId="0" fontId="116" fillId="2" borderId="0" xfId="33" applyFont="1" applyFill="1" applyAlignment="1">
      <alignment horizontal="center" vertical="center" wrapText="1"/>
    </xf>
    <xf numFmtId="0" fontId="116" fillId="2" borderId="0" xfId="33" applyFont="1" applyFill="1" applyAlignment="1">
      <alignment horizontal="center" vertical="center"/>
    </xf>
    <xf numFmtId="0" fontId="7" fillId="0" borderId="12" xfId="66" applyBorder="1"/>
    <xf numFmtId="0" fontId="7" fillId="2" borderId="12" xfId="66" applyFill="1" applyBorder="1"/>
    <xf numFmtId="3" fontId="208" fillId="3" borderId="13" xfId="33" applyNumberFormat="1" applyFont="1" applyFill="1" applyBorder="1" applyAlignment="1">
      <alignment horizontal="center" vertical="center"/>
    </xf>
    <xf numFmtId="0" fontId="7" fillId="5" borderId="0" xfId="66" applyFill="1"/>
    <xf numFmtId="0" fontId="7" fillId="5" borderId="12" xfId="66" applyFill="1" applyBorder="1"/>
    <xf numFmtId="0" fontId="45" fillId="2" borderId="13" xfId="2" applyFont="1" applyFill="1" applyBorder="1"/>
    <xf numFmtId="199" fontId="114" fillId="2" borderId="0" xfId="2" applyNumberFormat="1" applyFont="1" applyFill="1" applyAlignment="1">
      <alignment horizontal="center" vertical="center"/>
    </xf>
    <xf numFmtId="2" fontId="101" fillId="2" borderId="0" xfId="2" applyNumberFormat="1" applyFont="1" applyFill="1" applyAlignment="1">
      <alignment horizontal="center" vertical="center"/>
    </xf>
    <xf numFmtId="0" fontId="205" fillId="2" borderId="0" xfId="66" applyFont="1" applyFill="1" applyAlignment="1">
      <alignment wrapText="1"/>
    </xf>
    <xf numFmtId="0" fontId="178" fillId="2" borderId="101" xfId="33" applyFont="1" applyFill="1" applyBorder="1" applyAlignment="1">
      <alignment vertical="center"/>
    </xf>
    <xf numFmtId="0" fontId="178" fillId="2" borderId="2" xfId="33" applyFont="1" applyFill="1" applyBorder="1" applyAlignment="1">
      <alignment vertical="center"/>
    </xf>
    <xf numFmtId="0" fontId="178" fillId="2" borderId="100" xfId="33" applyFont="1" applyFill="1" applyBorder="1" applyAlignment="1">
      <alignment vertical="center"/>
    </xf>
    <xf numFmtId="0" fontId="688" fillId="2" borderId="242" xfId="2" applyFont="1" applyFill="1" applyBorder="1" applyAlignment="1">
      <alignment vertical="center"/>
    </xf>
    <xf numFmtId="0" fontId="201" fillId="2" borderId="0" xfId="14" applyFont="1" applyFill="1" applyBorder="1" applyAlignment="1">
      <alignment vertical="center"/>
    </xf>
    <xf numFmtId="0" fontId="7" fillId="2" borderId="413" xfId="66" applyFill="1" applyBorder="1"/>
    <xf numFmtId="0" fontId="199" fillId="2" borderId="13" xfId="2" applyFont="1" applyFill="1" applyBorder="1" applyAlignment="1">
      <alignment vertical="center"/>
    </xf>
    <xf numFmtId="0" fontId="199" fillId="2" borderId="0" xfId="2" applyFont="1" applyFill="1" applyAlignment="1">
      <alignment vertical="center"/>
    </xf>
    <xf numFmtId="0" fontId="199" fillId="2" borderId="12" xfId="2" applyFont="1" applyFill="1" applyBorder="1" applyAlignment="1">
      <alignment vertical="center"/>
    </xf>
    <xf numFmtId="0" fontId="199" fillId="2" borderId="481" xfId="2" applyFont="1" applyFill="1" applyBorder="1" applyAlignment="1">
      <alignment vertical="center"/>
    </xf>
    <xf numFmtId="0" fontId="199" fillId="2" borderId="412" xfId="2" applyFont="1" applyFill="1" applyBorder="1" applyAlignment="1">
      <alignment vertical="center"/>
    </xf>
    <xf numFmtId="0" fontId="199" fillId="2" borderId="413" xfId="2" applyFont="1" applyFill="1" applyBorder="1" applyAlignment="1">
      <alignment vertical="center"/>
    </xf>
    <xf numFmtId="0" fontId="7" fillId="0" borderId="13" xfId="66" applyBorder="1"/>
    <xf numFmtId="0" fontId="127" fillId="2" borderId="12" xfId="33" applyFont="1" applyFill="1" applyBorder="1" applyAlignment="1">
      <alignment horizontal="center" vertical="center" wrapText="1"/>
    </xf>
    <xf numFmtId="0" fontId="171" fillId="2" borderId="0" xfId="33" applyFont="1" applyFill="1" applyAlignment="1">
      <alignment horizontal="center" vertical="center" wrapText="1"/>
    </xf>
    <xf numFmtId="0" fontId="127" fillId="2" borderId="0" xfId="33" applyFont="1" applyFill="1" applyAlignment="1">
      <alignment horizontal="center" vertical="center" wrapText="1"/>
    </xf>
    <xf numFmtId="0" fontId="11" fillId="2" borderId="15" xfId="66" applyFont="1" applyFill="1" applyBorder="1" applyAlignment="1">
      <alignment horizontal="center" vertical="center"/>
    </xf>
    <xf numFmtId="165" fontId="156" fillId="2" borderId="15" xfId="33" applyNumberFormat="1" applyFont="1" applyFill="1" applyBorder="1" applyAlignment="1">
      <alignment horizontal="center" vertical="center"/>
    </xf>
    <xf numFmtId="165" fontId="187" fillId="2" borderId="0" xfId="33" applyNumberFormat="1" applyFont="1" applyFill="1" applyAlignment="1">
      <alignment horizontal="left" vertical="center"/>
    </xf>
    <xf numFmtId="165" fontId="187" fillId="2" borderId="18" xfId="33" applyNumberFormat="1" applyFont="1" applyFill="1" applyBorder="1" applyAlignment="1">
      <alignment horizontal="left" vertical="center"/>
    </xf>
    <xf numFmtId="0" fontId="7" fillId="2" borderId="13" xfId="66" applyFill="1" applyBorder="1" applyAlignment="1">
      <alignment horizontal="center" vertical="center" textRotation="90"/>
    </xf>
    <xf numFmtId="0" fontId="184" fillId="2" borderId="0" xfId="33" applyFont="1" applyFill="1" applyAlignment="1">
      <alignment horizontal="center" vertical="center" wrapText="1"/>
    </xf>
    <xf numFmtId="0" fontId="177" fillId="5" borderId="0" xfId="33" applyFont="1" applyFill="1" applyAlignment="1">
      <alignment horizontal="center" vertical="center"/>
    </xf>
    <xf numFmtId="0" fontId="9" fillId="5" borderId="0" xfId="66" applyFont="1" applyFill="1"/>
    <xf numFmtId="0" fontId="7" fillId="2" borderId="7" xfId="66" applyFill="1" applyBorder="1"/>
    <xf numFmtId="0" fontId="78" fillId="2" borderId="0" xfId="33" applyFont="1" applyFill="1" applyAlignment="1">
      <alignment vertical="center"/>
    </xf>
    <xf numFmtId="0" fontId="163" fillId="2" borderId="0" xfId="66" applyFont="1" applyFill="1" applyAlignment="1">
      <alignment vertical="center"/>
    </xf>
    <xf numFmtId="0" fontId="164" fillId="2" borderId="0" xfId="66" applyFont="1" applyFill="1" applyAlignment="1">
      <alignment vertical="center"/>
    </xf>
    <xf numFmtId="0" fontId="163" fillId="2" borderId="0" xfId="66" applyFont="1" applyFill="1" applyAlignment="1">
      <alignment horizontal="left" vertical="center"/>
    </xf>
    <xf numFmtId="0" fontId="162" fillId="2" borderId="0" xfId="14" applyFont="1" applyFill="1" applyBorder="1" applyAlignment="1">
      <alignment vertical="center"/>
    </xf>
    <xf numFmtId="0" fontId="7" fillId="2" borderId="481" xfId="66" applyFill="1" applyBorder="1" applyAlignment="1">
      <alignment horizontal="center" vertical="center" textRotation="90"/>
    </xf>
    <xf numFmtId="0" fontId="160" fillId="2" borderId="13" xfId="66" applyFont="1" applyFill="1" applyBorder="1"/>
    <xf numFmtId="0" fontId="14" fillId="2" borderId="0" xfId="2" applyFont="1" applyFill="1"/>
    <xf numFmtId="0" fontId="161" fillId="17" borderId="0" xfId="66" applyFont="1" applyFill="1" applyAlignment="1">
      <alignment horizontal="center"/>
    </xf>
    <xf numFmtId="0" fontId="158" fillId="2" borderId="13" xfId="66" applyFont="1" applyFill="1" applyBorder="1"/>
    <xf numFmtId="0" fontId="158" fillId="2" borderId="0" xfId="66" applyFont="1" applyFill="1"/>
    <xf numFmtId="0" fontId="9" fillId="2" borderId="13" xfId="66" applyFont="1" applyFill="1" applyBorder="1"/>
    <xf numFmtId="0" fontId="9" fillId="2" borderId="0" xfId="66" applyFont="1" applyFill="1"/>
    <xf numFmtId="0" fontId="98" fillId="2" borderId="13" xfId="14" applyFont="1" applyFill="1" applyBorder="1"/>
    <xf numFmtId="0" fontId="94" fillId="2" borderId="145" xfId="66" applyFont="1" applyFill="1" applyBorder="1" applyAlignment="1">
      <alignment horizontal="center"/>
    </xf>
    <xf numFmtId="0" fontId="14" fillId="2" borderId="145" xfId="2" applyFont="1" applyFill="1" applyBorder="1" applyAlignment="1" applyProtection="1">
      <alignment horizontal="center" vertical="center"/>
      <protection hidden="1"/>
    </xf>
    <xf numFmtId="0" fontId="94" fillId="2" borderId="0" xfId="66" applyFont="1" applyFill="1" applyAlignment="1">
      <alignment horizontal="left"/>
    </xf>
    <xf numFmtId="165" fontId="14" fillId="33" borderId="12" xfId="33" applyNumberFormat="1" applyFont="1" applyFill="1" applyBorder="1" applyAlignment="1">
      <alignment horizontal="center" vertical="center"/>
    </xf>
    <xf numFmtId="0" fontId="94" fillId="2" borderId="412" xfId="66" applyFont="1" applyFill="1" applyBorder="1" applyAlignment="1">
      <alignment horizontal="left"/>
    </xf>
    <xf numFmtId="192" fontId="157" fillId="2" borderId="412" xfId="2" applyNumberFormat="1" applyFont="1" applyFill="1" applyBorder="1" applyAlignment="1" applyProtection="1">
      <alignment horizontal="center" vertical="center"/>
      <protection hidden="1"/>
    </xf>
    <xf numFmtId="191" fontId="39" fillId="2" borderId="412" xfId="2" applyNumberFormat="1" applyFont="1" applyFill="1" applyBorder="1" applyAlignment="1" applyProtection="1">
      <alignment horizontal="center" vertical="center"/>
      <protection hidden="1"/>
    </xf>
    <xf numFmtId="165" fontId="14" fillId="33" borderId="413" xfId="33" applyNumberFormat="1" applyFont="1" applyFill="1" applyBorder="1" applyAlignment="1">
      <alignment horizontal="center" vertical="center"/>
    </xf>
    <xf numFmtId="0" fontId="156" fillId="2" borderId="542" xfId="2" applyFont="1" applyFill="1" applyBorder="1" applyAlignment="1">
      <alignment horizontal="center" vertical="center"/>
    </xf>
    <xf numFmtId="0" fontId="156" fillId="2" borderId="543" xfId="2" applyFont="1" applyFill="1" applyBorder="1" applyAlignment="1">
      <alignment horizontal="center" vertical="center"/>
    </xf>
    <xf numFmtId="0" fontId="156" fillId="2" borderId="544" xfId="2" applyFont="1" applyFill="1" applyBorder="1" applyAlignment="1">
      <alignment horizontal="center" vertical="center"/>
    </xf>
    <xf numFmtId="0" fontId="114" fillId="2" borderId="545" xfId="2" applyFont="1" applyFill="1" applyBorder="1" applyAlignment="1">
      <alignment horizontal="center" vertical="center"/>
    </xf>
    <xf numFmtId="0" fontId="100" fillId="2" borderId="497" xfId="2" applyFont="1" applyFill="1" applyBorder="1" applyAlignment="1">
      <alignment horizontal="center" vertical="center"/>
    </xf>
    <xf numFmtId="0" fontId="100" fillId="2" borderId="546" xfId="2" applyFont="1" applyFill="1" applyBorder="1" applyAlignment="1">
      <alignment horizontal="center" vertical="center"/>
    </xf>
    <xf numFmtId="0" fontId="101" fillId="2" borderId="501" xfId="2" applyFont="1" applyFill="1" applyBorder="1" applyAlignment="1">
      <alignment horizontal="center" vertical="center"/>
    </xf>
    <xf numFmtId="0" fontId="114" fillId="17" borderId="501" xfId="2" applyFont="1" applyFill="1" applyBorder="1" applyAlignment="1">
      <alignment horizontal="center" vertical="center"/>
    </xf>
    <xf numFmtId="49" fontId="101" fillId="2" borderId="86" xfId="66" applyNumberFormat="1" applyFont="1" applyFill="1" applyBorder="1" applyAlignment="1">
      <alignment horizontal="right" vertical="center"/>
    </xf>
    <xf numFmtId="49" fontId="7" fillId="2" borderId="85" xfId="66" applyNumberFormat="1" applyFill="1" applyBorder="1" applyAlignment="1">
      <alignment horizontal="center" vertical="center"/>
    </xf>
    <xf numFmtId="49" fontId="7" fillId="2" borderId="84" xfId="66" applyNumberFormat="1" applyFill="1" applyBorder="1" applyAlignment="1">
      <alignment horizontal="center" vertical="center"/>
    </xf>
    <xf numFmtId="0" fontId="101" fillId="2" borderId="203" xfId="2" applyFont="1" applyFill="1" applyBorder="1" applyAlignment="1">
      <alignment horizontal="center" vertical="center"/>
    </xf>
    <xf numFmtId="0" fontId="101" fillId="2" borderId="325" xfId="2" applyFont="1" applyFill="1" applyBorder="1" applyAlignment="1">
      <alignment horizontal="center" vertical="center"/>
    </xf>
    <xf numFmtId="0" fontId="114" fillId="17" borderId="326" xfId="2" applyFont="1" applyFill="1" applyBorder="1" applyAlignment="1">
      <alignment horizontal="center" vertical="center"/>
    </xf>
    <xf numFmtId="49" fontId="101" fillId="2" borderId="13" xfId="66" applyNumberFormat="1" applyFont="1" applyFill="1" applyBorder="1" applyAlignment="1">
      <alignment horizontal="right" vertical="center"/>
    </xf>
    <xf numFmtId="49" fontId="7" fillId="2" borderId="0" xfId="66" applyNumberFormat="1" applyFill="1" applyAlignment="1">
      <alignment horizontal="center" vertical="center"/>
    </xf>
    <xf numFmtId="49" fontId="7" fillId="2" borderId="12" xfId="66" applyNumberFormat="1" applyFill="1" applyBorder="1" applyAlignment="1">
      <alignment horizontal="center" vertical="center"/>
    </xf>
    <xf numFmtId="0" fontId="152" fillId="19" borderId="490" xfId="10" applyFont="1" applyFill="1" applyBorder="1" applyAlignment="1">
      <alignment horizontal="center" vertical="center"/>
    </xf>
    <xf numFmtId="0" fontId="151" fillId="19" borderId="325" xfId="10" applyFont="1" applyFill="1" applyBorder="1" applyAlignment="1" applyProtection="1">
      <alignment horizontal="center" vertical="center"/>
      <protection locked="0"/>
    </xf>
    <xf numFmtId="0" fontId="151" fillId="19" borderId="491" xfId="10" applyFont="1" applyFill="1" applyBorder="1" applyAlignment="1" applyProtection="1">
      <alignment horizontal="center" vertical="center"/>
      <protection locked="0"/>
    </xf>
    <xf numFmtId="0" fontId="148" fillId="2" borderId="0" xfId="66" applyFont="1" applyFill="1"/>
    <xf numFmtId="190" fontId="150" fillId="31" borderId="316" xfId="10" applyNumberFormat="1" applyFont="1" applyFill="1" applyBorder="1" applyAlignment="1" applyProtection="1">
      <alignment horizontal="center" vertical="center"/>
      <protection locked="0"/>
    </xf>
    <xf numFmtId="190" fontId="77" fillId="19" borderId="316" xfId="10" applyNumberFormat="1" applyFont="1" applyFill="1" applyBorder="1" applyAlignment="1" applyProtection="1">
      <alignment horizontal="center" vertical="center"/>
      <protection locked="0"/>
    </xf>
    <xf numFmtId="190" fontId="34" fillId="0" borderId="316" xfId="10" applyNumberFormat="1" applyFont="1" applyBorder="1" applyAlignment="1" applyProtection="1">
      <alignment horizontal="center" vertical="center"/>
      <protection locked="0"/>
    </xf>
    <xf numFmtId="190" fontId="34" fillId="0" borderId="402" xfId="10" applyNumberFormat="1" applyFont="1" applyBorder="1" applyAlignment="1" applyProtection="1">
      <alignment horizontal="center" vertical="center"/>
      <protection locked="0"/>
    </xf>
    <xf numFmtId="0" fontId="34" fillId="0" borderId="403" xfId="10" applyFont="1" applyBorder="1" applyAlignment="1">
      <alignment horizontal="center" vertical="center"/>
    </xf>
    <xf numFmtId="0" fontId="36" fillId="19" borderId="404" xfId="10" applyFont="1" applyFill="1" applyBorder="1" applyAlignment="1">
      <alignment horizontal="center" vertical="center"/>
    </xf>
    <xf numFmtId="0" fontId="13" fillId="2" borderId="316" xfId="2" applyFill="1" applyBorder="1" applyAlignment="1">
      <alignment horizontal="center" vertical="center" wrapText="1"/>
    </xf>
    <xf numFmtId="0" fontId="13" fillId="2" borderId="412" xfId="2" applyFill="1" applyBorder="1" applyAlignment="1">
      <alignment horizontal="centerContinuous" vertical="center"/>
    </xf>
    <xf numFmtId="0" fontId="13" fillId="2" borderId="412" xfId="2" applyFill="1" applyBorder="1" applyAlignment="1">
      <alignment horizontal="center" vertical="center"/>
    </xf>
    <xf numFmtId="0" fontId="13" fillId="2" borderId="413" xfId="2" applyFill="1" applyBorder="1" applyAlignment="1">
      <alignment horizontal="center" vertical="center"/>
    </xf>
    <xf numFmtId="1" fontId="34" fillId="25" borderId="405" xfId="66" applyNumberFormat="1" applyFont="1" applyFill="1" applyBorder="1" applyAlignment="1">
      <alignment horizontal="centerContinuous" vertical="center" wrapText="1"/>
    </xf>
    <xf numFmtId="0" fontId="13" fillId="25" borderId="406" xfId="66" applyFont="1" applyFill="1" applyBorder="1" applyAlignment="1">
      <alignment horizontal="centerContinuous" vertical="center" wrapText="1"/>
    </xf>
    <xf numFmtId="0" fontId="13" fillId="25" borderId="407" xfId="66" applyFont="1" applyFill="1" applyBorder="1" applyAlignment="1">
      <alignment horizontal="centerContinuous" vertical="center" wrapText="1"/>
    </xf>
    <xf numFmtId="0" fontId="34" fillId="25" borderId="405" xfId="66" applyFont="1" applyFill="1" applyBorder="1" applyAlignment="1">
      <alignment horizontal="centerContinuous" vertical="center"/>
    </xf>
    <xf numFmtId="0" fontId="34" fillId="25" borderId="406" xfId="66" applyFont="1" applyFill="1" applyBorder="1" applyAlignment="1">
      <alignment horizontal="centerContinuous" vertical="center"/>
    </xf>
    <xf numFmtId="0" fontId="7" fillId="25" borderId="406" xfId="66" applyFill="1" applyBorder="1" applyAlignment="1">
      <alignment horizontal="centerContinuous" vertical="center"/>
    </xf>
    <xf numFmtId="0" fontId="7" fillId="25" borderId="407" xfId="66" applyFill="1" applyBorder="1" applyAlignment="1">
      <alignment horizontal="centerContinuous" vertical="center"/>
    </xf>
    <xf numFmtId="174" fontId="13" fillId="0" borderId="13" xfId="66" applyNumberFormat="1" applyFont="1" applyBorder="1" applyAlignment="1" applyProtection="1">
      <alignment horizontal="center" vertical="center" wrapText="1"/>
      <protection locked="0"/>
    </xf>
    <xf numFmtId="174" fontId="13" fillId="0" borderId="0" xfId="66" applyNumberFormat="1" applyFont="1" applyAlignment="1" applyProtection="1">
      <alignment horizontal="center" vertical="center" wrapText="1"/>
      <protection locked="0"/>
    </xf>
    <xf numFmtId="174" fontId="13" fillId="0" borderId="12" xfId="66" applyNumberFormat="1" applyFont="1" applyBorder="1" applyAlignment="1" applyProtection="1">
      <alignment horizontal="center" vertical="center" wrapText="1"/>
      <protection locked="0"/>
    </xf>
    <xf numFmtId="175" fontId="13" fillId="0" borderId="13" xfId="4" applyNumberFormat="1" applyFont="1" applyBorder="1" applyAlignment="1">
      <alignment horizontal="center" vertical="center"/>
    </xf>
    <xf numFmtId="175" fontId="13" fillId="0" borderId="0" xfId="4" applyNumberFormat="1" applyFont="1" applyAlignment="1">
      <alignment horizontal="center" vertical="center"/>
    </xf>
    <xf numFmtId="175" fontId="13" fillId="0" borderId="12" xfId="4" applyNumberFormat="1" applyFont="1" applyBorder="1" applyAlignment="1">
      <alignment horizontal="center" vertical="center"/>
    </xf>
    <xf numFmtId="0" fontId="126" fillId="2" borderId="13" xfId="66" applyFont="1" applyFill="1" applyBorder="1" applyAlignment="1" applyProtection="1">
      <alignment horizontal="left" vertical="center"/>
      <protection locked="0"/>
    </xf>
    <xf numFmtId="0" fontId="126" fillId="2" borderId="0" xfId="66" applyFont="1" applyFill="1" applyAlignment="1" applyProtection="1">
      <alignment horizontal="left" vertical="center"/>
      <protection locked="0"/>
    </xf>
    <xf numFmtId="0" fontId="130" fillId="2" borderId="326" xfId="2" applyFont="1" applyFill="1" applyBorder="1" applyAlignment="1" applyProtection="1">
      <alignment horizontal="right" vertical="center"/>
      <protection hidden="1"/>
    </xf>
    <xf numFmtId="0" fontId="9" fillId="2" borderId="0" xfId="66" applyFont="1" applyFill="1" applyAlignment="1" applyProtection="1">
      <alignment horizontal="left" vertical="center"/>
      <protection locked="0"/>
    </xf>
    <xf numFmtId="0" fontId="126" fillId="2" borderId="12" xfId="66" applyFont="1" applyFill="1" applyBorder="1" applyAlignment="1" applyProtection="1">
      <alignment horizontal="left" vertical="center"/>
      <protection locked="0"/>
    </xf>
    <xf numFmtId="0" fontId="39" fillId="2" borderId="316" xfId="66" applyFont="1" applyFill="1" applyBorder="1" applyAlignment="1">
      <alignment horizontal="centerContinuous" vertical="center"/>
    </xf>
    <xf numFmtId="0" fontId="39" fillId="2" borderId="0" xfId="66" applyFont="1" applyFill="1" applyAlignment="1">
      <alignment horizontal="centerContinuous" vertical="center"/>
    </xf>
    <xf numFmtId="0" fontId="132" fillId="2" borderId="316" xfId="2" applyFont="1" applyFill="1" applyBorder="1" applyAlignment="1">
      <alignment horizontal="center" vertical="center"/>
    </xf>
    <xf numFmtId="185" fontId="142" fillId="28" borderId="0" xfId="66" applyNumberFormat="1" applyFont="1" applyFill="1" applyAlignment="1">
      <alignment horizontal="center" vertical="center"/>
    </xf>
    <xf numFmtId="0" fontId="7" fillId="2" borderId="0" xfId="66" applyFill="1" applyAlignment="1">
      <alignment vertical="center"/>
    </xf>
    <xf numFmtId="0" fontId="129" fillId="2" borderId="0" xfId="3" applyFont="1" applyFill="1" applyBorder="1" applyAlignment="1" applyProtection="1"/>
    <xf numFmtId="0" fontId="114" fillId="2" borderId="0" xfId="66" applyFont="1" applyFill="1" applyAlignment="1">
      <alignment horizontal="center" vertical="center" wrapText="1"/>
    </xf>
    <xf numFmtId="0" fontId="114" fillId="2" borderId="41" xfId="66" applyFont="1" applyFill="1" applyBorder="1" applyAlignment="1">
      <alignment horizontal="center" vertical="center" wrapText="1"/>
    </xf>
    <xf numFmtId="0" fontId="114" fillId="17" borderId="316" xfId="66" applyFont="1" applyFill="1" applyBorder="1" applyAlignment="1">
      <alignment horizontal="center" vertical="center"/>
    </xf>
    <xf numFmtId="0" fontId="11" fillId="2" borderId="0" xfId="66" applyFont="1" applyFill="1" applyAlignment="1">
      <alignment horizontal="left" vertical="center"/>
    </xf>
    <xf numFmtId="185" fontId="101" fillId="2" borderId="0" xfId="66" applyNumberFormat="1" applyFont="1" applyFill="1" applyAlignment="1">
      <alignment horizontal="center" vertical="center"/>
    </xf>
    <xf numFmtId="0" fontId="7" fillId="2" borderId="0" xfId="66" applyFill="1" applyAlignment="1">
      <alignment horizontal="center" vertical="center"/>
    </xf>
    <xf numFmtId="0" fontId="129" fillId="2" borderId="0" xfId="3" applyFont="1" applyFill="1" applyBorder="1" applyAlignment="1" applyProtection="1">
      <alignment horizontal="left" vertical="center"/>
    </xf>
    <xf numFmtId="0" fontId="128" fillId="2" borderId="316" xfId="2" applyFont="1" applyFill="1" applyBorder="1" applyAlignment="1">
      <alignment horizontal="center" vertical="center"/>
    </xf>
    <xf numFmtId="0" fontId="114" fillId="2" borderId="72" xfId="66" applyFont="1" applyFill="1" applyBorder="1" applyAlignment="1">
      <alignment horizontal="center" vertical="center" wrapText="1"/>
    </xf>
    <xf numFmtId="0" fontId="114" fillId="2" borderId="71" xfId="66" applyFont="1" applyFill="1" applyBorder="1" applyAlignment="1">
      <alignment horizontal="center" vertical="center" wrapText="1"/>
    </xf>
    <xf numFmtId="0" fontId="132" fillId="17" borderId="402" xfId="2" applyFont="1" applyFill="1" applyBorder="1" applyAlignment="1">
      <alignment horizontal="center" vertical="center"/>
    </xf>
    <xf numFmtId="0" fontId="131" fillId="2" borderId="403" xfId="2" applyFont="1" applyFill="1" applyBorder="1" applyAlignment="1" applyProtection="1">
      <alignment horizontal="left"/>
      <protection hidden="1"/>
    </xf>
    <xf numFmtId="0" fontId="114" fillId="2" borderId="403" xfId="66" applyFont="1" applyFill="1" applyBorder="1" applyAlignment="1">
      <alignment horizontal="center" vertical="center" wrapText="1"/>
    </xf>
    <xf numFmtId="0" fontId="114" fillId="2" borderId="404" xfId="66" applyFont="1" applyFill="1" applyBorder="1" applyAlignment="1">
      <alignment horizontal="center" vertical="center" wrapText="1"/>
    </xf>
    <xf numFmtId="0" fontId="55" fillId="0" borderId="0" xfId="66" applyFont="1" applyAlignment="1">
      <alignment vertical="top"/>
    </xf>
    <xf numFmtId="0" fontId="132" fillId="2" borderId="416" xfId="2" applyFont="1" applyFill="1" applyBorder="1" applyAlignment="1">
      <alignment horizontal="center" vertical="center"/>
    </xf>
    <xf numFmtId="0" fontId="39" fillId="2" borderId="403" xfId="66" applyFont="1" applyFill="1" applyBorder="1" applyAlignment="1">
      <alignment horizontal="center" vertical="center"/>
    </xf>
    <xf numFmtId="0" fontId="128" fillId="2" borderId="403" xfId="2" applyFont="1" applyFill="1" applyBorder="1" applyAlignment="1">
      <alignment horizontal="center" vertical="center"/>
    </xf>
    <xf numFmtId="0" fontId="132" fillId="2" borderId="403" xfId="2" applyFont="1" applyFill="1" applyBorder="1" applyAlignment="1">
      <alignment horizontal="center" vertical="center"/>
    </xf>
    <xf numFmtId="0" fontId="39" fillId="2" borderId="410" xfId="66" applyFont="1" applyFill="1" applyBorder="1" applyAlignment="1">
      <alignment horizontal="center" vertical="center"/>
    </xf>
    <xf numFmtId="185" fontId="136" fillId="28" borderId="325" xfId="66" applyNumberFormat="1" applyFont="1" applyFill="1" applyBorder="1" applyAlignment="1">
      <alignment horizontal="center" vertical="center"/>
    </xf>
    <xf numFmtId="9" fontId="7" fillId="2" borderId="325" xfId="66" applyNumberFormat="1" applyFill="1" applyBorder="1" applyAlignment="1">
      <alignment horizontal="center" vertical="center"/>
    </xf>
    <xf numFmtId="0" fontId="7" fillId="2" borderId="325" xfId="66" applyFill="1" applyBorder="1"/>
    <xf numFmtId="182" fontId="7" fillId="0" borderId="325" xfId="66" applyNumberFormat="1" applyBorder="1" applyAlignment="1">
      <alignment horizontal="center"/>
    </xf>
    <xf numFmtId="182" fontId="7" fillId="0" borderId="326" xfId="66" applyNumberFormat="1" applyBorder="1" applyAlignment="1">
      <alignment horizontal="center"/>
    </xf>
    <xf numFmtId="0" fontId="114" fillId="17" borderId="13" xfId="66" applyFont="1" applyFill="1" applyBorder="1" applyAlignment="1">
      <alignment horizontal="center" vertical="center"/>
    </xf>
    <xf numFmtId="0" fontId="11" fillId="2" borderId="0" xfId="66" applyFont="1" applyFill="1" applyAlignment="1">
      <alignment horizontal="center" vertical="center"/>
    </xf>
    <xf numFmtId="0" fontId="11" fillId="2" borderId="12" xfId="66" applyFont="1" applyFill="1" applyBorder="1" applyAlignment="1">
      <alignment horizontal="left" vertical="center"/>
    </xf>
    <xf numFmtId="0" fontId="135" fillId="2" borderId="13" xfId="66" applyFont="1" applyFill="1" applyBorder="1" applyAlignment="1">
      <alignment horizontal="center" vertical="center"/>
    </xf>
    <xf numFmtId="0" fontId="135" fillId="2" borderId="0" xfId="66" applyFont="1" applyFill="1" applyAlignment="1">
      <alignment horizontal="center" vertical="center"/>
    </xf>
    <xf numFmtId="0" fontId="135" fillId="2" borderId="12" xfId="66" applyFont="1" applyFill="1" applyBorder="1" applyAlignment="1">
      <alignment horizontal="center" vertical="center"/>
    </xf>
    <xf numFmtId="189" fontId="94" fillId="2" borderId="13" xfId="66" applyNumberFormat="1" applyFont="1" applyFill="1" applyBorder="1" applyAlignment="1">
      <alignment horizontal="center" vertical="center"/>
    </xf>
    <xf numFmtId="188" fontId="134" fillId="2" borderId="0" xfId="66" applyNumberFormat="1" applyFont="1" applyFill="1" applyAlignment="1">
      <alignment horizontal="center" vertical="center"/>
    </xf>
    <xf numFmtId="188" fontId="94" fillId="2" borderId="0" xfId="66" applyNumberFormat="1" applyFont="1" applyFill="1" applyAlignment="1">
      <alignment horizontal="center" vertical="center"/>
    </xf>
    <xf numFmtId="188" fontId="134" fillId="2" borderId="12" xfId="66" applyNumberFormat="1" applyFont="1" applyFill="1" applyBorder="1" applyAlignment="1">
      <alignment horizontal="center" vertical="center"/>
    </xf>
    <xf numFmtId="182" fontId="128" fillId="27" borderId="13" xfId="66" applyNumberFormat="1" applyFont="1" applyFill="1" applyBorder="1" applyAlignment="1">
      <alignment horizontal="center" vertical="center"/>
    </xf>
    <xf numFmtId="182" fontId="128" fillId="27" borderId="0" xfId="66" applyNumberFormat="1" applyFont="1" applyFill="1" applyAlignment="1">
      <alignment horizontal="center" vertical="center"/>
    </xf>
    <xf numFmtId="182" fontId="128" fillId="2" borderId="0" xfId="66" applyNumberFormat="1" applyFont="1" applyFill="1" applyAlignment="1">
      <alignment horizontal="center" vertical="center"/>
    </xf>
    <xf numFmtId="182" fontId="128" fillId="27" borderId="12" xfId="66" applyNumberFormat="1" applyFont="1" applyFill="1" applyBorder="1" applyAlignment="1">
      <alignment horizontal="center" vertical="center"/>
    </xf>
    <xf numFmtId="182" fontId="128" fillId="2" borderId="416" xfId="66" applyNumberFormat="1" applyFont="1" applyFill="1" applyBorder="1" applyAlignment="1">
      <alignment horizontal="center" vertical="center"/>
    </xf>
    <xf numFmtId="0" fontId="7" fillId="2" borderId="403" xfId="66" applyFill="1" applyBorder="1"/>
    <xf numFmtId="182" fontId="128" fillId="2" borderId="403" xfId="66" applyNumberFormat="1" applyFont="1" applyFill="1" applyBorder="1" applyAlignment="1">
      <alignment horizontal="center" vertical="center"/>
    </xf>
    <xf numFmtId="0" fontId="128" fillId="2" borderId="410" xfId="2" applyFont="1" applyFill="1" applyBorder="1" applyAlignment="1">
      <alignment horizontal="center" vertical="center"/>
    </xf>
    <xf numFmtId="182" fontId="128" fillId="2" borderId="13" xfId="66" applyNumberFormat="1" applyFont="1" applyFill="1" applyBorder="1" applyAlignment="1">
      <alignment horizontal="center" vertical="center"/>
    </xf>
    <xf numFmtId="0" fontId="7" fillId="0" borderId="0" xfId="66" applyAlignment="1">
      <alignment horizontal="right"/>
    </xf>
    <xf numFmtId="0" fontId="129" fillId="0" borderId="0" xfId="3" applyFont="1" applyAlignment="1" applyProtection="1"/>
    <xf numFmtId="0" fontId="34" fillId="2" borderId="0" xfId="66" applyFont="1" applyFill="1"/>
    <xf numFmtId="0" fontId="85" fillId="2" borderId="13" xfId="66" applyFont="1" applyFill="1" applyBorder="1" applyAlignment="1" applyProtection="1">
      <alignment horizontal="left" vertical="center"/>
      <protection locked="0"/>
    </xf>
    <xf numFmtId="0" fontId="85" fillId="2" borderId="97" xfId="66" applyFont="1" applyFill="1" applyBorder="1" applyAlignment="1" applyProtection="1">
      <alignment horizontal="right" vertical="center"/>
      <protection locked="0"/>
    </xf>
    <xf numFmtId="187" fontId="125" fillId="9" borderId="41" xfId="66" applyNumberFormat="1" applyFont="1" applyFill="1" applyBorder="1" applyAlignment="1" applyProtection="1">
      <alignment horizontal="center" vertical="center"/>
      <protection locked="0"/>
    </xf>
    <xf numFmtId="0" fontId="85" fillId="2" borderId="0" xfId="66" applyFont="1" applyFill="1" applyAlignment="1" applyProtection="1">
      <alignment horizontal="right" vertical="center"/>
      <protection locked="0"/>
    </xf>
    <xf numFmtId="0" fontId="92" fillId="2" borderId="0" xfId="66" applyFont="1" applyFill="1" applyAlignment="1" applyProtection="1">
      <alignment horizontal="right" vertical="center"/>
      <protection locked="0"/>
    </xf>
    <xf numFmtId="187" fontId="109" fillId="9" borderId="12" xfId="66" applyNumberFormat="1" applyFont="1" applyFill="1" applyBorder="1" applyAlignment="1" applyProtection="1">
      <alignment horizontal="center" vertical="center"/>
      <protection locked="0"/>
    </xf>
    <xf numFmtId="0" fontId="124" fillId="2" borderId="13" xfId="66" applyFont="1" applyFill="1" applyBorder="1" applyAlignment="1" applyProtection="1">
      <alignment horizontal="left" vertical="center"/>
      <protection locked="0"/>
    </xf>
    <xf numFmtId="0" fontId="124" fillId="2" borderId="0" xfId="66" applyFont="1" applyFill="1" applyAlignment="1" applyProtection="1">
      <alignment horizontal="right" vertical="center"/>
      <protection locked="0"/>
    </xf>
    <xf numFmtId="186" fontId="109" fillId="9" borderId="41" xfId="66" applyNumberFormat="1" applyFont="1" applyFill="1" applyBorder="1" applyAlignment="1" applyProtection="1">
      <alignment horizontal="center" vertical="center"/>
      <protection locked="0"/>
    </xf>
    <xf numFmtId="187" fontId="109" fillId="9" borderId="41" xfId="66" applyNumberFormat="1" applyFont="1" applyFill="1" applyBorder="1" applyAlignment="1" applyProtection="1">
      <alignment horizontal="center" vertical="center"/>
      <protection locked="0"/>
    </xf>
    <xf numFmtId="187" fontId="125" fillId="9" borderId="12" xfId="66" applyNumberFormat="1" applyFont="1" applyFill="1" applyBorder="1" applyAlignment="1" applyProtection="1">
      <alignment horizontal="center" vertical="center"/>
      <protection locked="0"/>
    </xf>
    <xf numFmtId="0" fontId="45" fillId="2" borderId="13" xfId="66" applyFont="1" applyFill="1" applyBorder="1" applyAlignment="1" applyProtection="1">
      <alignment horizontal="left" vertical="center"/>
      <protection locked="0"/>
    </xf>
    <xf numFmtId="0" fontId="45" fillId="2" borderId="0" xfId="66" applyFont="1" applyFill="1" applyAlignment="1" applyProtection="1">
      <alignment horizontal="right" vertical="center"/>
      <protection locked="0"/>
    </xf>
    <xf numFmtId="187" fontId="14" fillId="2" borderId="41" xfId="66" applyNumberFormat="1" applyFont="1" applyFill="1" applyBorder="1" applyAlignment="1" applyProtection="1">
      <alignment horizontal="center" vertical="center"/>
      <protection locked="0"/>
    </xf>
    <xf numFmtId="0" fontId="13" fillId="2" borderId="0" xfId="66" applyFont="1" applyFill="1" applyAlignment="1" applyProtection="1">
      <alignment horizontal="right" vertical="center"/>
      <protection locked="0"/>
    </xf>
    <xf numFmtId="187" fontId="14" fillId="2" borderId="12" xfId="66" applyNumberFormat="1" applyFont="1" applyFill="1" applyBorder="1" applyAlignment="1" applyProtection="1">
      <alignment horizontal="center" vertical="center"/>
      <protection locked="0"/>
    </xf>
    <xf numFmtId="0" fontId="13" fillId="2" borderId="68" xfId="66" applyFont="1" applyFill="1" applyBorder="1" applyAlignment="1" applyProtection="1">
      <alignment horizontal="left" vertical="center"/>
      <protection locked="0"/>
    </xf>
    <xf numFmtId="0" fontId="14" fillId="2" borderId="0" xfId="66" applyFont="1" applyFill="1" applyAlignment="1" applyProtection="1">
      <alignment horizontal="right" vertical="center"/>
      <protection locked="0"/>
    </xf>
    <xf numFmtId="186" fontId="14" fillId="2" borderId="41" xfId="66" applyNumberFormat="1" applyFont="1" applyFill="1" applyBorder="1" applyAlignment="1" applyProtection="1">
      <alignment horizontal="center" vertical="center"/>
      <protection locked="0"/>
    </xf>
    <xf numFmtId="186" fontId="14" fillId="2" borderId="12" xfId="66" applyNumberFormat="1" applyFont="1" applyFill="1" applyBorder="1" applyAlignment="1" applyProtection="1">
      <alignment horizontal="center" vertical="center"/>
      <protection locked="0"/>
    </xf>
    <xf numFmtId="0" fontId="13" fillId="5" borderId="276" xfId="66" applyFont="1" applyFill="1" applyBorder="1" applyAlignment="1" applyProtection="1">
      <alignment horizontal="left" vertical="center"/>
      <protection locked="0"/>
    </xf>
    <xf numFmtId="0" fontId="13" fillId="5" borderId="266" xfId="66" applyFont="1" applyFill="1" applyBorder="1" applyAlignment="1" applyProtection="1">
      <alignment horizontal="right" vertical="center"/>
      <protection locked="0"/>
    </xf>
    <xf numFmtId="187" fontId="14" fillId="5" borderId="266" xfId="66" applyNumberFormat="1" applyFont="1" applyFill="1" applyBorder="1" applyAlignment="1" applyProtection="1">
      <alignment horizontal="center" vertical="center"/>
      <protection locked="0"/>
    </xf>
    <xf numFmtId="0" fontId="13" fillId="5" borderId="266" xfId="2" applyFill="1" applyBorder="1" applyProtection="1">
      <protection hidden="1"/>
    </xf>
    <xf numFmtId="0" fontId="14" fillId="5" borderId="266" xfId="66" applyFont="1" applyFill="1" applyBorder="1" applyAlignment="1" applyProtection="1">
      <alignment horizontal="right" vertical="center"/>
      <protection locked="0"/>
    </xf>
    <xf numFmtId="186" fontId="14" fillId="5" borderId="266" xfId="66" applyNumberFormat="1" applyFont="1" applyFill="1" applyBorder="1" applyAlignment="1" applyProtection="1">
      <alignment horizontal="center" vertical="center"/>
      <protection locked="0"/>
    </xf>
    <xf numFmtId="186" fontId="14" fillId="5" borderId="565" xfId="66" applyNumberFormat="1" applyFont="1" applyFill="1" applyBorder="1" applyAlignment="1" applyProtection="1">
      <alignment horizontal="center" vertical="center"/>
      <protection locked="0"/>
    </xf>
    <xf numFmtId="0" fontId="92" fillId="2" borderId="13" xfId="66" applyFont="1" applyFill="1" applyBorder="1" applyAlignment="1" applyProtection="1">
      <alignment horizontal="left" vertical="center"/>
      <protection locked="0"/>
    </xf>
    <xf numFmtId="0" fontId="124" fillId="2" borderId="0" xfId="66" applyFont="1" applyFill="1" applyAlignment="1" applyProtection="1">
      <alignment horizontal="right" vertical="center" wrapText="1"/>
      <protection locked="0"/>
    </xf>
    <xf numFmtId="179" fontId="70" fillId="9" borderId="41" xfId="66" applyNumberFormat="1" applyFont="1" applyFill="1" applyBorder="1" applyAlignment="1" applyProtection="1">
      <alignment horizontal="center" vertical="center"/>
      <protection locked="0"/>
    </xf>
    <xf numFmtId="0" fontId="14" fillId="2" borderId="416" xfId="66" applyFont="1" applyFill="1" applyBorder="1" applyAlignment="1" applyProtection="1">
      <alignment horizontal="left" vertical="center"/>
      <protection locked="0"/>
    </xf>
    <xf numFmtId="0" fontId="14" fillId="2" borderId="403" xfId="66" applyFont="1" applyFill="1" applyBorder="1" applyAlignment="1" applyProtection="1">
      <alignment horizontal="right" vertical="center"/>
      <protection locked="0"/>
    </xf>
    <xf numFmtId="186" fontId="14" fillId="2" borderId="404" xfId="66" applyNumberFormat="1" applyFont="1" applyFill="1" applyBorder="1" applyAlignment="1" applyProtection="1">
      <alignment horizontal="center" vertical="center"/>
      <protection locked="0"/>
    </xf>
    <xf numFmtId="0" fontId="13" fillId="2" borderId="403" xfId="66" applyFont="1" applyFill="1" applyBorder="1" applyAlignment="1" applyProtection="1">
      <alignment horizontal="right" vertical="center"/>
      <protection locked="0"/>
    </xf>
    <xf numFmtId="187" fontId="14" fillId="2" borderId="404" xfId="66" applyNumberFormat="1" applyFont="1" applyFill="1" applyBorder="1" applyAlignment="1" applyProtection="1">
      <alignment horizontal="center" vertical="center"/>
      <protection locked="0"/>
    </xf>
    <xf numFmtId="186" fontId="14" fillId="2" borderId="410" xfId="66" applyNumberFormat="1" applyFont="1" applyFill="1" applyBorder="1" applyAlignment="1" applyProtection="1">
      <alignment horizontal="center" vertical="center"/>
      <protection locked="0"/>
    </xf>
    <xf numFmtId="0" fontId="123" fillId="0" borderId="0" xfId="66" applyFont="1" applyAlignment="1">
      <alignment horizontal="center" vertical="center"/>
    </xf>
    <xf numFmtId="0" fontId="123" fillId="2" borderId="0" xfId="66" applyFont="1" applyFill="1" applyAlignment="1">
      <alignment vertical="center"/>
    </xf>
    <xf numFmtId="0" fontId="123" fillId="0" borderId="0" xfId="66" applyFont="1" applyAlignment="1">
      <alignment vertical="center"/>
    </xf>
    <xf numFmtId="0" fontId="15" fillId="8" borderId="500" xfId="9" applyFont="1" applyFill="1" applyBorder="1" applyAlignment="1" applyProtection="1">
      <alignment horizontal="left" vertical="center"/>
      <protection locked="0"/>
    </xf>
    <xf numFmtId="0" fontId="34" fillId="8" borderId="501" xfId="9" applyFont="1" applyFill="1" applyBorder="1" applyAlignment="1" applyProtection="1">
      <alignment horizontal="centerContinuous" vertical="center"/>
      <protection locked="0"/>
    </xf>
    <xf numFmtId="0" fontId="34" fillId="8" borderId="502" xfId="9" applyFont="1" applyFill="1" applyBorder="1" applyAlignment="1" applyProtection="1">
      <alignment horizontal="right" vertical="center"/>
      <protection locked="0"/>
    </xf>
    <xf numFmtId="0" fontId="122" fillId="4" borderId="316" xfId="66" applyFont="1" applyFill="1" applyBorder="1" applyAlignment="1" applyProtection="1">
      <alignment horizontal="right" vertical="center"/>
      <protection locked="0"/>
    </xf>
    <xf numFmtId="185" fontId="47" fillId="13" borderId="41" xfId="66" applyNumberFormat="1" applyFont="1" applyFill="1" applyBorder="1" applyAlignment="1" applyProtection="1">
      <alignment horizontal="center" vertical="center"/>
      <protection locked="0"/>
    </xf>
    <xf numFmtId="0" fontId="122" fillId="2" borderId="0" xfId="66" applyFont="1" applyFill="1" applyAlignment="1" applyProtection="1">
      <alignment horizontal="right" vertical="center"/>
      <protection locked="0"/>
    </xf>
    <xf numFmtId="0" fontId="122" fillId="4" borderId="490" xfId="66" applyFont="1" applyFill="1" applyBorder="1" applyAlignment="1" applyProtection="1">
      <alignment horizontal="right" vertical="center"/>
      <protection locked="0"/>
    </xf>
    <xf numFmtId="170" fontId="47" fillId="9" borderId="41" xfId="66" applyNumberFormat="1" applyFont="1" applyFill="1" applyBorder="1" applyAlignment="1" applyProtection="1">
      <alignment horizontal="center" vertical="center"/>
      <protection locked="0"/>
    </xf>
    <xf numFmtId="0" fontId="115" fillId="4" borderId="316" xfId="66" applyFont="1" applyFill="1" applyBorder="1" applyAlignment="1" applyProtection="1">
      <alignment horizontal="right" vertical="center"/>
      <protection locked="0"/>
    </xf>
    <xf numFmtId="185" fontId="36" fillId="9" borderId="41" xfId="66" applyNumberFormat="1" applyFont="1" applyFill="1" applyBorder="1" applyAlignment="1" applyProtection="1">
      <alignment horizontal="center" vertical="center"/>
      <protection locked="0"/>
    </xf>
    <xf numFmtId="0" fontId="115" fillId="2" borderId="0" xfId="66" applyFont="1" applyFill="1" applyAlignment="1" applyProtection="1">
      <alignment horizontal="right" vertical="center"/>
      <protection locked="0"/>
    </xf>
    <xf numFmtId="179" fontId="36" fillId="9" borderId="41" xfId="66" applyNumberFormat="1" applyFont="1" applyFill="1" applyBorder="1" applyAlignment="1" applyProtection="1">
      <alignment horizontal="center" vertical="center"/>
      <protection locked="0"/>
    </xf>
    <xf numFmtId="170" fontId="36" fillId="9" borderId="41" xfId="66" applyNumberFormat="1" applyFont="1" applyFill="1" applyBorder="1" applyAlignment="1" applyProtection="1">
      <alignment horizontal="center" vertical="center"/>
      <protection locked="0"/>
    </xf>
    <xf numFmtId="0" fontId="78" fillId="4" borderId="316" xfId="66" applyFont="1" applyFill="1" applyBorder="1" applyAlignment="1" applyProtection="1">
      <alignment horizontal="right" vertical="center"/>
      <protection locked="0"/>
    </xf>
    <xf numFmtId="185" fontId="78" fillId="4" borderId="41" xfId="66" applyNumberFormat="1" applyFont="1" applyFill="1" applyBorder="1" applyAlignment="1" applyProtection="1">
      <alignment horizontal="center" vertical="center"/>
      <protection locked="0"/>
    </xf>
    <xf numFmtId="171" fontId="78" fillId="4" borderId="41" xfId="66" applyNumberFormat="1" applyFont="1" applyFill="1" applyBorder="1" applyAlignment="1" applyProtection="1">
      <alignment horizontal="center" vertical="center"/>
      <protection locked="0"/>
    </xf>
    <xf numFmtId="170" fontId="78" fillId="4" borderId="41" xfId="66" applyNumberFormat="1" applyFont="1" applyFill="1" applyBorder="1" applyAlignment="1" applyProtection="1">
      <alignment horizontal="center" vertical="center"/>
      <protection locked="0"/>
    </xf>
    <xf numFmtId="0" fontId="78" fillId="4" borderId="402" xfId="66" applyFont="1" applyFill="1" applyBorder="1" applyAlignment="1" applyProtection="1">
      <alignment horizontal="right" vertical="center"/>
      <protection locked="0"/>
    </xf>
    <xf numFmtId="182" fontId="78" fillId="4" borderId="404" xfId="66" applyNumberFormat="1" applyFont="1" applyFill="1" applyBorder="1" applyAlignment="1" applyProtection="1">
      <alignment horizontal="center" vertical="center"/>
      <protection locked="0"/>
    </xf>
    <xf numFmtId="174" fontId="78" fillId="4" borderId="404" xfId="66" applyNumberFormat="1" applyFont="1" applyFill="1" applyBorder="1" applyAlignment="1" applyProtection="1">
      <alignment horizontal="center" vertical="center"/>
      <protection locked="0"/>
    </xf>
    <xf numFmtId="0" fontId="121" fillId="4" borderId="316" xfId="66" applyFont="1" applyFill="1" applyBorder="1" applyAlignment="1" applyProtection="1">
      <alignment horizontal="right" vertical="center"/>
      <protection locked="0"/>
    </xf>
    <xf numFmtId="0" fontId="121" fillId="4" borderId="325" xfId="66" applyFont="1" applyFill="1" applyBorder="1" applyAlignment="1" applyProtection="1">
      <alignment horizontal="right" vertical="center"/>
      <protection locked="0"/>
    </xf>
    <xf numFmtId="0" fontId="121" fillId="4" borderId="490" xfId="66" applyFont="1" applyFill="1" applyBorder="1" applyAlignment="1" applyProtection="1">
      <alignment horizontal="right" vertical="center"/>
      <protection locked="0"/>
    </xf>
    <xf numFmtId="185" fontId="36" fillId="9" borderId="491" xfId="66" applyNumberFormat="1" applyFont="1" applyFill="1" applyBorder="1" applyAlignment="1" applyProtection="1">
      <alignment horizontal="center" vertical="center"/>
      <protection locked="0"/>
    </xf>
    <xf numFmtId="170" fontId="62" fillId="9" borderId="41" xfId="66" applyNumberFormat="1" applyFont="1" applyFill="1" applyBorder="1" applyAlignment="1" applyProtection="1">
      <alignment horizontal="center" vertical="center"/>
      <protection locked="0"/>
    </xf>
    <xf numFmtId="170" fontId="62" fillId="9" borderId="491" xfId="66" applyNumberFormat="1" applyFont="1" applyFill="1" applyBorder="1" applyAlignment="1" applyProtection="1">
      <alignment horizontal="center" vertical="center"/>
      <protection locked="0"/>
    </xf>
    <xf numFmtId="0" fontId="114" fillId="4" borderId="316" xfId="66" applyFont="1" applyFill="1" applyBorder="1" applyAlignment="1" applyProtection="1">
      <alignment horizontal="right" vertical="center"/>
      <protection locked="0"/>
    </xf>
    <xf numFmtId="0" fontId="114" fillId="4" borderId="0" xfId="66" applyFont="1" applyFill="1" applyAlignment="1" applyProtection="1">
      <alignment horizontal="right" vertical="center"/>
      <protection locked="0"/>
    </xf>
    <xf numFmtId="179" fontId="100" fillId="9" borderId="41" xfId="66" applyNumberFormat="1" applyFont="1" applyFill="1" applyBorder="1" applyAlignment="1" applyProtection="1">
      <alignment horizontal="center" vertical="center"/>
      <protection locked="0"/>
    </xf>
    <xf numFmtId="170" fontId="100" fillId="9" borderId="41" xfId="66" applyNumberFormat="1" applyFont="1" applyFill="1" applyBorder="1" applyAlignment="1" applyProtection="1">
      <alignment horizontal="center" vertical="center"/>
      <protection locked="0"/>
    </xf>
    <xf numFmtId="171" fontId="78" fillId="4" borderId="404" xfId="66" applyNumberFormat="1" applyFont="1" applyFill="1" applyBorder="1" applyAlignment="1" applyProtection="1">
      <alignment horizontal="center" vertical="center"/>
      <protection locked="0"/>
    </xf>
    <xf numFmtId="170" fontId="78" fillId="4" borderId="404" xfId="66" applyNumberFormat="1" applyFont="1" applyFill="1" applyBorder="1" applyAlignment="1" applyProtection="1">
      <alignment horizontal="center" vertical="center"/>
      <protection locked="0"/>
    </xf>
    <xf numFmtId="0" fontId="16" fillId="2" borderId="0" xfId="66" applyFont="1" applyFill="1"/>
    <xf numFmtId="0" fontId="117" fillId="2" borderId="0" xfId="3" applyFont="1" applyFill="1"/>
    <xf numFmtId="0" fontId="20" fillId="2" borderId="0" xfId="3" applyFill="1" applyBorder="1" applyAlignment="1">
      <alignment horizontal="left" vertical="center"/>
    </xf>
    <xf numFmtId="0" fontId="99" fillId="2" borderId="0" xfId="66" applyFont="1" applyFill="1"/>
    <xf numFmtId="0" fontId="100" fillId="2" borderId="0" xfId="66" applyFont="1" applyFill="1"/>
    <xf numFmtId="0" fontId="115" fillId="4" borderId="13" xfId="66" applyFont="1" applyFill="1" applyBorder="1" applyAlignment="1" applyProtection="1">
      <alignment horizontal="right" vertical="center"/>
      <protection locked="0"/>
    </xf>
    <xf numFmtId="184" fontId="36" fillId="9" borderId="12" xfId="66" applyNumberFormat="1" applyFont="1" applyFill="1" applyBorder="1" applyAlignment="1" applyProtection="1">
      <alignment horizontal="center" vertical="center"/>
      <protection locked="0"/>
    </xf>
    <xf numFmtId="0" fontId="113" fillId="4" borderId="13" xfId="66" applyFont="1" applyFill="1" applyBorder="1" applyAlignment="1" applyProtection="1">
      <alignment horizontal="right" vertical="center"/>
      <protection locked="0"/>
    </xf>
    <xf numFmtId="184" fontId="92" fillId="9" borderId="12" xfId="66" applyNumberFormat="1" applyFont="1" applyFill="1" applyBorder="1" applyAlignment="1" applyProtection="1">
      <alignment horizontal="center" vertical="center"/>
      <protection locked="0"/>
    </xf>
    <xf numFmtId="0" fontId="114" fillId="4" borderId="13" xfId="66" applyFont="1" applyFill="1" applyBorder="1" applyAlignment="1" applyProtection="1">
      <alignment horizontal="right" vertical="center"/>
      <protection locked="0"/>
    </xf>
    <xf numFmtId="179" fontId="100" fillId="9" borderId="12" xfId="66" applyNumberFormat="1" applyFont="1" applyFill="1" applyBorder="1" applyAlignment="1" applyProtection="1">
      <alignment horizontal="center" vertical="center"/>
      <protection locked="0"/>
    </xf>
    <xf numFmtId="0" fontId="112" fillId="4" borderId="13" xfId="66" applyFont="1" applyFill="1" applyBorder="1" applyAlignment="1" applyProtection="1">
      <alignment horizontal="right" vertical="center"/>
      <protection locked="0"/>
    </xf>
    <xf numFmtId="179" fontId="111" fillId="9" borderId="12" xfId="66" applyNumberFormat="1" applyFont="1" applyFill="1" applyBorder="1" applyAlignment="1" applyProtection="1">
      <alignment horizontal="center" vertical="center"/>
      <protection locked="0"/>
    </xf>
    <xf numFmtId="0" fontId="78" fillId="4" borderId="13" xfId="66" applyFont="1" applyFill="1" applyBorder="1" applyAlignment="1" applyProtection="1">
      <alignment horizontal="right" vertical="center"/>
      <protection locked="0"/>
    </xf>
    <xf numFmtId="180" fontId="78" fillId="2" borderId="12" xfId="66" applyNumberFormat="1" applyFont="1" applyFill="1" applyBorder="1" applyAlignment="1" applyProtection="1">
      <alignment horizontal="center" vertical="center"/>
      <protection locked="0"/>
    </xf>
    <xf numFmtId="0" fontId="101" fillId="4" borderId="13" xfId="66" applyFont="1" applyFill="1" applyBorder="1" applyAlignment="1" applyProtection="1">
      <alignment horizontal="right" vertical="center"/>
      <protection locked="0"/>
    </xf>
    <xf numFmtId="2" fontId="101" fillId="4" borderId="12" xfId="66" applyNumberFormat="1" applyFont="1" applyFill="1" applyBorder="1" applyAlignment="1" applyProtection="1">
      <alignment horizontal="center" vertical="center"/>
      <protection locked="0"/>
    </xf>
    <xf numFmtId="167" fontId="78" fillId="4" borderId="12" xfId="66" applyNumberFormat="1" applyFont="1" applyFill="1" applyBorder="1" applyAlignment="1" applyProtection="1">
      <alignment horizontal="center" vertical="center"/>
      <protection locked="0"/>
    </xf>
    <xf numFmtId="0" fontId="101" fillId="4" borderId="481" xfId="66" applyFont="1" applyFill="1" applyBorder="1" applyAlignment="1" applyProtection="1">
      <alignment horizontal="right" vertical="center"/>
      <protection locked="0"/>
    </xf>
    <xf numFmtId="181" fontId="101" fillId="2" borderId="413" xfId="66" applyNumberFormat="1" applyFont="1" applyFill="1" applyBorder="1" applyAlignment="1" applyProtection="1">
      <alignment horizontal="center" vertical="center"/>
      <protection locked="0"/>
    </xf>
    <xf numFmtId="180" fontId="101" fillId="2" borderId="12" xfId="66" applyNumberFormat="1" applyFont="1" applyFill="1" applyBorder="1" applyAlignment="1" applyProtection="1">
      <alignment horizontal="center" vertical="center"/>
      <protection locked="0"/>
    </xf>
    <xf numFmtId="167" fontId="101" fillId="4" borderId="52" xfId="66" applyNumberFormat="1" applyFont="1" applyFill="1" applyBorder="1" applyAlignment="1" applyProtection="1">
      <alignment horizontal="center" vertical="center"/>
      <protection locked="0"/>
    </xf>
    <xf numFmtId="180" fontId="101" fillId="2" borderId="50" xfId="66" applyNumberFormat="1" applyFont="1" applyFill="1" applyBorder="1" applyAlignment="1" applyProtection="1">
      <alignment horizontal="center" vertical="center"/>
      <protection locked="0"/>
    </xf>
    <xf numFmtId="0" fontId="7" fillId="2" borderId="0" xfId="66" applyFill="1" applyAlignment="1">
      <alignment horizontal="right"/>
    </xf>
    <xf numFmtId="184" fontId="61" fillId="9" borderId="12" xfId="66" applyNumberFormat="1" applyFont="1" applyFill="1" applyBorder="1" applyAlignment="1" applyProtection="1">
      <alignment horizontal="center" vertical="center"/>
      <protection locked="0"/>
    </xf>
    <xf numFmtId="0" fontId="7" fillId="2" borderId="13" xfId="66" applyFill="1" applyBorder="1"/>
    <xf numFmtId="0" fontId="108" fillId="4" borderId="13" xfId="66" applyFont="1" applyFill="1" applyBorder="1" applyAlignment="1" applyProtection="1">
      <alignment horizontal="right" vertical="center"/>
      <protection locked="0"/>
    </xf>
    <xf numFmtId="179" fontId="107" fillId="9" borderId="12" xfId="66" applyNumberFormat="1" applyFont="1" applyFill="1" applyBorder="1" applyAlignment="1" applyProtection="1">
      <alignment horizontal="center" vertical="center"/>
      <protection locked="0"/>
    </xf>
    <xf numFmtId="167" fontId="78" fillId="4" borderId="481" xfId="66" applyNumberFormat="1" applyFont="1" applyFill="1" applyBorder="1" applyAlignment="1" applyProtection="1">
      <alignment horizontal="center" vertical="center"/>
      <protection locked="0"/>
    </xf>
    <xf numFmtId="180" fontId="101" fillId="2" borderId="413" xfId="66" applyNumberFormat="1" applyFont="1" applyFill="1" applyBorder="1" applyAlignment="1" applyProtection="1">
      <alignment horizontal="center" vertical="center"/>
      <protection locked="0"/>
    </xf>
    <xf numFmtId="0" fontId="110" fillId="4" borderId="13" xfId="66" applyFont="1" applyFill="1" applyBorder="1" applyAlignment="1" applyProtection="1">
      <alignment horizontal="right" vertical="center"/>
      <protection locked="0"/>
    </xf>
    <xf numFmtId="184" fontId="109" fillId="9" borderId="12" xfId="66" applyNumberFormat="1" applyFont="1" applyFill="1" applyBorder="1" applyAlignment="1" applyProtection="1">
      <alignment horizontal="center" vertical="center"/>
      <protection locked="0"/>
    </xf>
    <xf numFmtId="2" fontId="101" fillId="4" borderId="481" xfId="66" applyNumberFormat="1" applyFont="1" applyFill="1" applyBorder="1" applyAlignment="1" applyProtection="1">
      <alignment horizontal="center" vertical="center"/>
      <protection locked="0"/>
    </xf>
    <xf numFmtId="0" fontId="99" fillId="2" borderId="0" xfId="66" applyFont="1" applyFill="1" applyAlignment="1">
      <alignment vertical="center"/>
    </xf>
    <xf numFmtId="0" fontId="49" fillId="8" borderId="405" xfId="4" applyFont="1" applyFill="1" applyBorder="1" applyAlignment="1" applyProtection="1">
      <alignment horizontal="left" vertical="center"/>
      <protection locked="0"/>
    </xf>
    <xf numFmtId="0" fontId="34" fillId="8" borderId="61" xfId="4" applyFont="1" applyFill="1" applyBorder="1" applyAlignment="1" applyProtection="1">
      <alignment horizontal="centerContinuous" vertical="center"/>
      <protection locked="0"/>
    </xf>
    <xf numFmtId="0" fontId="49" fillId="8" borderId="60" xfId="4" applyFont="1" applyFill="1" applyBorder="1" applyAlignment="1" applyProtection="1">
      <alignment horizontal="right" vertical="center"/>
      <protection locked="0"/>
    </xf>
    <xf numFmtId="2" fontId="14" fillId="22" borderId="167" xfId="66" applyNumberFormat="1" applyFont="1" applyFill="1" applyBorder="1" applyAlignment="1" applyProtection="1">
      <alignment horizontal="center" vertical="center" wrapText="1"/>
      <protection locked="0"/>
    </xf>
    <xf numFmtId="0" fontId="106" fillId="14" borderId="97" xfId="4" applyFont="1" applyFill="1" applyBorder="1" applyAlignment="1">
      <alignment horizontal="right" vertical="center"/>
    </xf>
    <xf numFmtId="0" fontId="105" fillId="14" borderId="97" xfId="4" applyFont="1" applyFill="1" applyBorder="1" applyAlignment="1">
      <alignment horizontal="right" vertical="center"/>
    </xf>
    <xf numFmtId="9" fontId="104" fillId="14" borderId="566" xfId="66" applyNumberFormat="1" applyFont="1" applyFill="1" applyBorder="1" applyAlignment="1">
      <alignment horizontal="left" vertical="center"/>
    </xf>
    <xf numFmtId="169" fontId="69" fillId="5" borderId="567" xfId="66" applyNumberFormat="1" applyFont="1" applyFill="1" applyBorder="1" applyAlignment="1">
      <alignment horizontal="center" vertical="center"/>
    </xf>
    <xf numFmtId="0" fontId="13" fillId="5" borderId="33" xfId="66" applyFont="1" applyFill="1" applyBorder="1" applyAlignment="1">
      <alignment horizontal="center" vertical="center"/>
    </xf>
    <xf numFmtId="2" fontId="69" fillId="5" borderId="58" xfId="66" applyNumberFormat="1" applyFont="1" applyFill="1" applyBorder="1" applyAlignment="1">
      <alignment horizontal="center" vertical="center"/>
    </xf>
    <xf numFmtId="9" fontId="69" fillId="18" borderId="54" xfId="66" applyNumberFormat="1" applyFont="1" applyFill="1" applyBorder="1" applyAlignment="1">
      <alignment horizontal="center" vertical="center"/>
    </xf>
    <xf numFmtId="0" fontId="34" fillId="18" borderId="0" xfId="4" applyFont="1" applyFill="1" applyAlignment="1">
      <alignment horizontal="centerContinuous" vertical="center"/>
    </xf>
    <xf numFmtId="0" fontId="7" fillId="18" borderId="0" xfId="66" applyFill="1" applyAlignment="1">
      <alignment horizontal="centerContinuous" vertical="center" wrapText="1"/>
    </xf>
    <xf numFmtId="165" fontId="103" fillId="4" borderId="568" xfId="4" applyNumberFormat="1" applyFont="1" applyFill="1" applyBorder="1" applyAlignment="1">
      <alignment horizontal="center" vertical="center"/>
    </xf>
    <xf numFmtId="9" fontId="102" fillId="18" borderId="56" xfId="66" applyNumberFormat="1" applyFont="1" applyFill="1" applyBorder="1" applyAlignment="1">
      <alignment horizontal="center" vertical="center"/>
    </xf>
    <xf numFmtId="183" fontId="13" fillId="21" borderId="12" xfId="66" applyNumberFormat="1" applyFont="1" applyFill="1" applyBorder="1" applyAlignment="1">
      <alignment horizontal="centerContinuous" vertical="center" wrapText="1"/>
    </xf>
    <xf numFmtId="182" fontId="92" fillId="9" borderId="54" xfId="66" applyNumberFormat="1" applyFont="1" applyFill="1" applyBorder="1" applyAlignment="1">
      <alignment horizontal="center" vertical="center"/>
    </xf>
    <xf numFmtId="181" fontId="101" fillId="5" borderId="569" xfId="66" applyNumberFormat="1" applyFont="1" applyFill="1" applyBorder="1" applyAlignment="1" applyProtection="1">
      <alignment horizontal="center" vertical="center"/>
      <protection locked="0"/>
    </xf>
    <xf numFmtId="179" fontId="61" fillId="9" borderId="0" xfId="66" applyNumberFormat="1" applyFont="1" applyFill="1" applyAlignment="1" applyProtection="1">
      <alignment horizontal="center" vertical="center"/>
      <protection locked="0"/>
    </xf>
    <xf numFmtId="181" fontId="101" fillId="5" borderId="12" xfId="66" applyNumberFormat="1" applyFont="1" applyFill="1" applyBorder="1" applyAlignment="1" applyProtection="1">
      <alignment horizontal="center" vertical="center"/>
      <protection locked="0"/>
    </xf>
    <xf numFmtId="181" fontId="101" fillId="5" borderId="0" xfId="66" applyNumberFormat="1" applyFont="1" applyFill="1" applyAlignment="1" applyProtection="1">
      <alignment horizontal="center" vertical="center"/>
      <protection locked="0"/>
    </xf>
    <xf numFmtId="182" fontId="92" fillId="9" borderId="459" xfId="66" applyNumberFormat="1" applyFont="1" applyFill="1" applyBorder="1" applyAlignment="1">
      <alignment horizontal="center" vertical="center"/>
    </xf>
    <xf numFmtId="0" fontId="36" fillId="9" borderId="412" xfId="4" applyFont="1" applyFill="1" applyBorder="1" applyAlignment="1">
      <alignment horizontal="left" vertical="center"/>
    </xf>
    <xf numFmtId="181" fontId="101" fillId="5" borderId="412" xfId="66" applyNumberFormat="1" applyFont="1" applyFill="1" applyBorder="1" applyAlignment="1" applyProtection="1">
      <alignment horizontal="center" vertical="center"/>
      <protection locked="0"/>
    </xf>
    <xf numFmtId="179" fontId="61" fillId="9" borderId="412" xfId="66" applyNumberFormat="1" applyFont="1" applyFill="1" applyBorder="1" applyAlignment="1" applyProtection="1">
      <alignment horizontal="center" vertical="center"/>
      <protection locked="0"/>
    </xf>
    <xf numFmtId="181" fontId="101" fillId="5" borderId="413" xfId="66" applyNumberFormat="1" applyFont="1" applyFill="1" applyBorder="1" applyAlignment="1" applyProtection="1">
      <alignment horizontal="center" vertical="center"/>
      <protection locked="0"/>
    </xf>
    <xf numFmtId="2" fontId="101" fillId="4" borderId="0" xfId="66" applyNumberFormat="1" applyFont="1" applyFill="1" applyAlignment="1" applyProtection="1">
      <alignment horizontal="center" vertical="center"/>
      <protection locked="0"/>
    </xf>
    <xf numFmtId="180" fontId="101" fillId="2" borderId="0" xfId="66" applyNumberFormat="1" applyFont="1" applyFill="1" applyAlignment="1" applyProtection="1">
      <alignment horizontal="center" vertical="center"/>
      <protection locked="0"/>
    </xf>
    <xf numFmtId="0" fontId="96" fillId="20" borderId="0" xfId="2" applyFont="1" applyFill="1" applyAlignment="1" applyProtection="1">
      <alignment horizontal="center" vertical="center" wrapText="1"/>
      <protection hidden="1"/>
    </xf>
    <xf numFmtId="174" fontId="85" fillId="19" borderId="0" xfId="66" applyNumberFormat="1" applyFont="1" applyFill="1" applyAlignment="1" applyProtection="1">
      <alignment horizontal="center" vertical="center"/>
      <protection locked="0"/>
    </xf>
    <xf numFmtId="174" fontId="79" fillId="2" borderId="0" xfId="66" applyNumberFormat="1" applyFont="1" applyFill="1" applyAlignment="1">
      <alignment vertical="center"/>
    </xf>
    <xf numFmtId="174" fontId="95" fillId="0" borderId="0" xfId="66" applyNumberFormat="1" applyFont="1" applyAlignment="1" applyProtection="1">
      <alignment horizontal="center" vertical="center" wrapText="1"/>
      <protection locked="0"/>
    </xf>
    <xf numFmtId="179" fontId="93" fillId="9" borderId="0" xfId="66" applyNumberFormat="1" applyFont="1" applyFill="1" applyAlignment="1" applyProtection="1">
      <alignment horizontal="center" vertical="center"/>
      <protection locked="0"/>
    </xf>
    <xf numFmtId="179" fontId="92" fillId="9" borderId="0" xfId="66" applyNumberFormat="1" applyFont="1" applyFill="1" applyAlignment="1" applyProtection="1">
      <alignment horizontal="center" vertical="center"/>
      <protection locked="0"/>
    </xf>
    <xf numFmtId="179" fontId="91" fillId="2" borderId="0" xfId="66" applyNumberFormat="1" applyFont="1" applyFill="1" applyAlignment="1" applyProtection="1">
      <alignment horizontal="center" vertical="center"/>
      <protection locked="0"/>
    </xf>
    <xf numFmtId="0" fontId="64" fillId="2" borderId="0" xfId="66" applyFont="1" applyFill="1" applyAlignment="1">
      <alignment vertical="center"/>
    </xf>
    <xf numFmtId="0" fontId="7" fillId="2" borderId="402" xfId="66" applyFill="1" applyBorder="1" applyAlignment="1">
      <alignment vertical="center"/>
    </xf>
    <xf numFmtId="9" fontId="7" fillId="2" borderId="403" xfId="66" applyNumberFormat="1" applyFill="1" applyBorder="1" applyAlignment="1">
      <alignment vertical="center"/>
    </xf>
    <xf numFmtId="0" fontId="7" fillId="2" borderId="403" xfId="66" applyFill="1" applyBorder="1" applyAlignment="1">
      <alignment vertical="center"/>
    </xf>
    <xf numFmtId="0" fontId="13" fillId="2" borderId="403" xfId="2" applyFill="1" applyBorder="1" applyProtection="1">
      <protection hidden="1"/>
    </xf>
    <xf numFmtId="0" fontId="13" fillId="2" borderId="404" xfId="2" applyFill="1" applyBorder="1" applyProtection="1">
      <protection hidden="1"/>
    </xf>
    <xf numFmtId="175" fontId="69" fillId="2" borderId="0" xfId="4" applyNumberFormat="1" applyFont="1" applyFill="1" applyAlignment="1">
      <alignment vertical="center" wrapText="1"/>
    </xf>
    <xf numFmtId="168" fontId="69" fillId="2" borderId="12" xfId="7" applyNumberFormat="1" applyFont="1" applyFill="1" applyBorder="1" applyAlignment="1" applyProtection="1">
      <alignment horizontal="center" vertical="center"/>
      <protection locked="0"/>
    </xf>
    <xf numFmtId="0" fontId="34" fillId="2" borderId="0" xfId="7" applyFont="1" applyFill="1" applyAlignment="1">
      <alignment horizontal="center" vertical="center"/>
    </xf>
    <xf numFmtId="0" fontId="85" fillId="9" borderId="570" xfId="4" applyFont="1" applyFill="1" applyBorder="1" applyAlignment="1">
      <alignment horizontal="center" vertical="center"/>
    </xf>
    <xf numFmtId="0" fontId="72" fillId="2" borderId="13" xfId="66" applyFont="1" applyFill="1" applyBorder="1" applyAlignment="1">
      <alignment horizontal="center" vertical="center"/>
    </xf>
    <xf numFmtId="0" fontId="85" fillId="2" borderId="12" xfId="4" applyFont="1" applyFill="1" applyBorder="1" applyAlignment="1">
      <alignment horizontal="center" vertical="center"/>
    </xf>
    <xf numFmtId="0" fontId="39" fillId="2" borderId="0" xfId="66" applyFont="1" applyFill="1" applyAlignment="1">
      <alignment horizontal="center" vertical="center"/>
    </xf>
    <xf numFmtId="1" fontId="61" fillId="9" borderId="12" xfId="4" applyNumberFormat="1" applyFont="1" applyFill="1" applyBorder="1" applyAlignment="1">
      <alignment horizontal="center" vertical="center"/>
    </xf>
    <xf numFmtId="0" fontId="69" fillId="2" borderId="0" xfId="66" applyFont="1" applyFill="1" applyAlignment="1">
      <alignment horizontal="right" vertical="center"/>
    </xf>
    <xf numFmtId="0" fontId="34" fillId="2" borderId="0" xfId="66" applyFont="1" applyFill="1" applyAlignment="1">
      <alignment horizontal="right" vertical="center"/>
    </xf>
    <xf numFmtId="167" fontId="39" fillId="2" borderId="12" xfId="4" applyNumberFormat="1" applyFont="1" applyFill="1" applyBorder="1" applyAlignment="1">
      <alignment horizontal="center" vertical="center"/>
    </xf>
    <xf numFmtId="174" fontId="79" fillId="2" borderId="13" xfId="66" applyNumberFormat="1" applyFont="1" applyFill="1" applyBorder="1" applyAlignment="1">
      <alignment vertical="center"/>
    </xf>
    <xf numFmtId="0" fontId="69" fillId="2" borderId="0" xfId="66" applyFont="1" applyFill="1" applyAlignment="1">
      <alignment horizontal="center" vertical="center"/>
    </xf>
    <xf numFmtId="167" fontId="61" fillId="2" borderId="12" xfId="4" applyNumberFormat="1" applyFont="1" applyFill="1" applyBorder="1" applyAlignment="1">
      <alignment horizontal="center" vertical="center"/>
    </xf>
    <xf numFmtId="0" fontId="72" fillId="15" borderId="13" xfId="66" applyFont="1" applyFill="1" applyBorder="1" applyAlignment="1">
      <alignment horizontal="center" vertical="center"/>
    </xf>
    <xf numFmtId="176" fontId="39" fillId="2" borderId="0" xfId="4" applyNumberFormat="1" applyFont="1" applyFill="1" applyAlignment="1">
      <alignment horizontal="center" vertical="center"/>
    </xf>
    <xf numFmtId="174" fontId="61" fillId="9" borderId="12" xfId="4" applyNumberFormat="1" applyFont="1" applyFill="1" applyBorder="1" applyAlignment="1">
      <alignment horizontal="center" vertical="center"/>
    </xf>
    <xf numFmtId="0" fontId="83" fillId="2" borderId="0" xfId="66" applyFont="1" applyFill="1" applyAlignment="1">
      <alignment horizontal="right" vertical="center"/>
    </xf>
    <xf numFmtId="0" fontId="82" fillId="2" borderId="0" xfId="66" applyFont="1" applyFill="1"/>
    <xf numFmtId="0" fontId="81" fillId="2" borderId="0" xfId="2" applyFont="1" applyFill="1" applyProtection="1">
      <protection hidden="1"/>
    </xf>
    <xf numFmtId="174" fontId="79" fillId="2" borderId="481" xfId="66" applyNumberFormat="1" applyFont="1" applyFill="1" applyBorder="1" applyAlignment="1">
      <alignment vertical="center"/>
    </xf>
    <xf numFmtId="174" fontId="79" fillId="2" borderId="412" xfId="66" applyNumberFormat="1" applyFont="1" applyFill="1" applyBorder="1" applyAlignment="1">
      <alignment vertical="center"/>
    </xf>
    <xf numFmtId="0" fontId="7" fillId="2" borderId="412" xfId="66" applyFill="1" applyBorder="1"/>
    <xf numFmtId="0" fontId="13" fillId="2" borderId="412" xfId="2" applyFill="1" applyBorder="1" applyProtection="1">
      <protection hidden="1"/>
    </xf>
    <xf numFmtId="0" fontId="69" fillId="2" borderId="412" xfId="66" applyFont="1" applyFill="1" applyBorder="1" applyAlignment="1">
      <alignment horizontal="center" vertical="center"/>
    </xf>
    <xf numFmtId="174" fontId="64" fillId="2" borderId="412" xfId="66" applyNumberFormat="1" applyFont="1" applyFill="1" applyBorder="1" applyAlignment="1" applyProtection="1">
      <alignment horizontal="center" vertical="center" wrapText="1"/>
      <protection locked="0"/>
    </xf>
    <xf numFmtId="0" fontId="45" fillId="14" borderId="13" xfId="66" applyFont="1" applyFill="1" applyBorder="1" applyAlignment="1">
      <alignment horizontal="centerContinuous" vertical="center"/>
    </xf>
    <xf numFmtId="0" fontId="7" fillId="14" borderId="0" xfId="66" applyFill="1" applyAlignment="1">
      <alignment horizontal="centerContinuous" vertical="center"/>
    </xf>
    <xf numFmtId="0" fontId="7" fillId="14" borderId="0" xfId="66" applyFill="1" applyAlignment="1">
      <alignment vertical="center"/>
    </xf>
    <xf numFmtId="0" fontId="7" fillId="14" borderId="12" xfId="66" applyFill="1" applyBorder="1" applyAlignment="1">
      <alignment vertical="center"/>
    </xf>
    <xf numFmtId="175" fontId="77" fillId="2" borderId="13" xfId="4" applyNumberFormat="1" applyFont="1" applyFill="1" applyBorder="1" applyAlignment="1">
      <alignment horizontal="center" vertical="center" wrapText="1"/>
    </xf>
    <xf numFmtId="175" fontId="77" fillId="2" borderId="0" xfId="4" applyNumberFormat="1" applyFont="1" applyFill="1" applyAlignment="1">
      <alignment horizontal="center" vertical="center" wrapText="1"/>
    </xf>
    <xf numFmtId="175" fontId="70" fillId="2" borderId="0" xfId="4" applyNumberFormat="1" applyFont="1" applyFill="1" applyAlignment="1">
      <alignment horizontal="right" vertical="center" wrapText="1"/>
    </xf>
    <xf numFmtId="174" fontId="36" fillId="2" borderId="0" xfId="4" applyNumberFormat="1" applyFont="1" applyFill="1" applyAlignment="1">
      <alignment horizontal="center" vertical="center"/>
    </xf>
    <xf numFmtId="175" fontId="76" fillId="2" borderId="0" xfId="4" applyNumberFormat="1" applyFont="1" applyFill="1" applyAlignment="1">
      <alignment horizontal="right" vertical="center" wrapText="1"/>
    </xf>
    <xf numFmtId="174" fontId="47" fillId="2" borderId="12" xfId="4" applyNumberFormat="1" applyFont="1" applyFill="1" applyBorder="1" applyAlignment="1">
      <alignment horizontal="center" vertical="center"/>
    </xf>
    <xf numFmtId="0" fontId="45" fillId="18" borderId="0" xfId="66" applyFont="1" applyFill="1" applyAlignment="1">
      <alignment vertical="center"/>
    </xf>
    <xf numFmtId="0" fontId="13" fillId="18" borderId="12" xfId="66" applyFont="1" applyFill="1" applyBorder="1" applyAlignment="1">
      <alignment vertical="center"/>
    </xf>
    <xf numFmtId="0" fontId="13" fillId="2" borderId="13" xfId="66" applyFont="1" applyFill="1" applyBorder="1" applyAlignment="1">
      <alignment horizontal="center" vertical="center" wrapText="1"/>
    </xf>
    <xf numFmtId="0" fontId="13" fillId="2" borderId="0" xfId="66" applyFont="1" applyFill="1" applyAlignment="1">
      <alignment horizontal="center" vertical="center" wrapText="1"/>
    </xf>
    <xf numFmtId="2" fontId="34" fillId="2" borderId="0" xfId="66" applyNumberFormat="1" applyFont="1" applyFill="1" applyAlignment="1">
      <alignment horizontal="center" vertical="center"/>
    </xf>
    <xf numFmtId="0" fontId="34" fillId="2" borderId="0" xfId="66" applyFont="1" applyFill="1" applyAlignment="1">
      <alignment horizontal="center" vertical="center"/>
    </xf>
    <xf numFmtId="0" fontId="34" fillId="2" borderId="0" xfId="66" applyFont="1" applyFill="1" applyAlignment="1">
      <alignment horizontal="left" vertical="center"/>
    </xf>
    <xf numFmtId="0" fontId="45" fillId="2" borderId="0" xfId="66" applyFont="1" applyFill="1" applyAlignment="1">
      <alignment vertical="center"/>
    </xf>
    <xf numFmtId="0" fontId="13" fillId="2" borderId="12" xfId="66" applyFont="1" applyFill="1" applyBorder="1" applyAlignment="1">
      <alignment vertical="center"/>
    </xf>
    <xf numFmtId="0" fontId="64" fillId="5" borderId="0" xfId="66" applyFont="1" applyFill="1" applyAlignment="1">
      <alignment horizontal="centerContinuous" vertical="center"/>
    </xf>
    <xf numFmtId="175" fontId="75" fillId="4" borderId="13" xfId="4" applyNumberFormat="1" applyFont="1" applyFill="1" applyBorder="1" applyAlignment="1">
      <alignment horizontal="center" vertical="center" wrapText="1"/>
    </xf>
    <xf numFmtId="175" fontId="75" fillId="4" borderId="0" xfId="4" applyNumberFormat="1" applyFont="1" applyFill="1" applyAlignment="1">
      <alignment horizontal="center" vertical="center" wrapText="1"/>
    </xf>
    <xf numFmtId="1" fontId="75" fillId="4" borderId="0" xfId="4" applyNumberFormat="1" applyFont="1" applyFill="1" applyAlignment="1">
      <alignment horizontal="centerContinuous" vertical="center"/>
    </xf>
    <xf numFmtId="0" fontId="75" fillId="4" borderId="0" xfId="66" applyFont="1" applyFill="1" applyAlignment="1">
      <alignment horizontal="center" vertical="center" wrapText="1"/>
    </xf>
    <xf numFmtId="0" fontId="75" fillId="4" borderId="0" xfId="66" applyFont="1" applyFill="1" applyAlignment="1">
      <alignment horizontal="centerContinuous" vertical="center"/>
    </xf>
    <xf numFmtId="0" fontId="75" fillId="4" borderId="0" xfId="66" applyFont="1" applyFill="1" applyAlignment="1">
      <alignment horizontal="center" vertical="center"/>
    </xf>
    <xf numFmtId="174" fontId="75" fillId="172" borderId="12" xfId="4" applyNumberFormat="1" applyFont="1" applyFill="1" applyBorder="1" applyAlignment="1">
      <alignment horizontal="center" vertical="center"/>
    </xf>
    <xf numFmtId="174" fontId="75" fillId="4" borderId="13" xfId="4" applyNumberFormat="1" applyFont="1" applyFill="1" applyBorder="1" applyAlignment="1">
      <alignment horizontal="center" vertical="center"/>
    </xf>
    <xf numFmtId="174" fontId="75" fillId="4" borderId="0" xfId="4" applyNumberFormat="1" applyFont="1" applyFill="1" applyAlignment="1">
      <alignment horizontal="center" vertical="center"/>
    </xf>
    <xf numFmtId="1" fontId="75" fillId="4" borderId="0" xfId="4" applyNumberFormat="1" applyFont="1" applyFill="1" applyAlignment="1">
      <alignment horizontal="center" vertical="center"/>
    </xf>
    <xf numFmtId="2" fontId="75" fillId="4" borderId="0" xfId="4" applyNumberFormat="1" applyFont="1" applyFill="1" applyAlignment="1">
      <alignment horizontal="center" vertical="center"/>
    </xf>
    <xf numFmtId="0" fontId="75" fillId="4" borderId="12" xfId="66" applyFont="1" applyFill="1" applyBorder="1" applyAlignment="1">
      <alignment horizontal="center" vertical="center"/>
    </xf>
    <xf numFmtId="174" fontId="75" fillId="4" borderId="481" xfId="4" applyNumberFormat="1" applyFont="1" applyFill="1" applyBorder="1" applyAlignment="1">
      <alignment horizontal="center" vertical="center"/>
    </xf>
    <xf numFmtId="174" fontId="75" fillId="4" borderId="412" xfId="4" applyNumberFormat="1" applyFont="1" applyFill="1" applyBorder="1" applyAlignment="1">
      <alignment horizontal="center" vertical="center"/>
    </xf>
    <xf numFmtId="1" fontId="75" fillId="4" borderId="412" xfId="4" applyNumberFormat="1" applyFont="1" applyFill="1" applyBorder="1" applyAlignment="1">
      <alignment horizontal="center" vertical="center"/>
    </xf>
    <xf numFmtId="0" fontId="75" fillId="4" borderId="412" xfId="66" applyFont="1" applyFill="1" applyBorder="1" applyAlignment="1">
      <alignment horizontal="center" vertical="center"/>
    </xf>
    <xf numFmtId="2" fontId="75" fillId="4" borderId="412" xfId="4" applyNumberFormat="1" applyFont="1" applyFill="1" applyBorder="1" applyAlignment="1">
      <alignment horizontal="center" vertical="center"/>
    </xf>
    <xf numFmtId="0" fontId="75" fillId="4" borderId="413" xfId="66" applyFont="1" applyFill="1" applyBorder="1" applyAlignment="1">
      <alignment horizontal="center" vertical="center"/>
    </xf>
    <xf numFmtId="0" fontId="72" fillId="15" borderId="316" xfId="7" applyFont="1" applyFill="1" applyBorder="1" applyAlignment="1">
      <alignment horizontal="center" vertical="center"/>
    </xf>
    <xf numFmtId="0" fontId="13" fillId="15" borderId="0" xfId="2" applyFill="1" applyProtection="1">
      <protection hidden="1"/>
    </xf>
    <xf numFmtId="0" fontId="69" fillId="2" borderId="0" xfId="6" applyFont="1" applyFill="1" applyAlignment="1">
      <alignment horizontal="center" wrapText="1"/>
    </xf>
    <xf numFmtId="0" fontId="7" fillId="2" borderId="41" xfId="66" applyFill="1" applyBorder="1"/>
    <xf numFmtId="0" fontId="39" fillId="2" borderId="0" xfId="6" applyFont="1" applyFill="1" applyAlignment="1">
      <alignment horizontal="right" vertical="center"/>
    </xf>
    <xf numFmtId="167" fontId="39" fillId="2" borderId="0" xfId="6" applyNumberFormat="1" applyFont="1" applyFill="1" applyAlignment="1">
      <alignment horizontal="left" vertical="center"/>
    </xf>
    <xf numFmtId="0" fontId="73" fillId="2" borderId="316" xfId="7" applyFont="1" applyFill="1" applyBorder="1"/>
    <xf numFmtId="0" fontId="72" fillId="16" borderId="316" xfId="7" applyFont="1" applyFill="1" applyBorder="1" applyAlignment="1">
      <alignment horizontal="center" vertical="center"/>
    </xf>
    <xf numFmtId="0" fontId="13" fillId="16" borderId="0" xfId="2" applyFill="1" applyProtection="1">
      <protection hidden="1"/>
    </xf>
    <xf numFmtId="0" fontId="39" fillId="2" borderId="0" xfId="6" applyFont="1" applyFill="1" applyAlignment="1">
      <alignment vertical="center"/>
    </xf>
    <xf numFmtId="165" fontId="39" fillId="2" borderId="0" xfId="6" applyNumberFormat="1" applyFont="1" applyFill="1" applyAlignment="1">
      <alignment horizontal="center" vertical="center"/>
    </xf>
    <xf numFmtId="0" fontId="39" fillId="2" borderId="0" xfId="66" applyFont="1" applyFill="1" applyAlignment="1">
      <alignment horizontal="left" vertical="center"/>
    </xf>
    <xf numFmtId="169" fontId="39" fillId="2" borderId="41" xfId="6" applyNumberFormat="1" applyFont="1" applyFill="1" applyBorder="1" applyAlignment="1">
      <alignment horizontal="center" vertical="center"/>
    </xf>
    <xf numFmtId="0" fontId="7" fillId="2" borderId="402" xfId="66" applyFill="1" applyBorder="1"/>
    <xf numFmtId="0" fontId="13" fillId="0" borderId="403" xfId="2" applyBorder="1" applyProtection="1">
      <protection hidden="1"/>
    </xf>
    <xf numFmtId="0" fontId="7" fillId="2" borderId="404" xfId="66" applyFill="1" applyBorder="1"/>
    <xf numFmtId="0" fontId="66" fillId="2" borderId="0" xfId="66" applyFont="1" applyFill="1"/>
    <xf numFmtId="0" fontId="13" fillId="2" borderId="0" xfId="66" applyFont="1" applyFill="1"/>
    <xf numFmtId="0" fontId="13" fillId="2" borderId="12" xfId="66" applyFont="1" applyFill="1" applyBorder="1"/>
    <xf numFmtId="172" fontId="65" fillId="2" borderId="0" xfId="6" applyNumberFormat="1" applyFont="1" applyFill="1" applyAlignment="1">
      <alignment horizontal="center" vertical="center"/>
    </xf>
    <xf numFmtId="0" fontId="13" fillId="2" borderId="490" xfId="2" applyFill="1" applyBorder="1" applyProtection="1">
      <protection hidden="1"/>
    </xf>
    <xf numFmtId="0" fontId="13" fillId="2" borderId="221" xfId="2" applyFill="1" applyBorder="1" applyProtection="1">
      <protection hidden="1"/>
    </xf>
    <xf numFmtId="0" fontId="13" fillId="2" borderId="491" xfId="2" applyFill="1" applyBorder="1" applyProtection="1">
      <protection hidden="1"/>
    </xf>
    <xf numFmtId="0" fontId="27" fillId="2" borderId="316" xfId="4" applyFont="1" applyFill="1" applyBorder="1" applyAlignment="1" applyProtection="1">
      <alignment horizontal="center" vertical="center"/>
      <protection locked="0"/>
    </xf>
    <xf numFmtId="0" fontId="55" fillId="2" borderId="316" xfId="66" applyFont="1" applyFill="1" applyBorder="1" applyAlignment="1">
      <alignment horizontal="left" vertical="center"/>
    </xf>
    <xf numFmtId="0" fontId="55" fillId="2" borderId="0" xfId="66" applyFont="1" applyFill="1" applyAlignment="1">
      <alignment horizontal="left" vertical="center"/>
    </xf>
    <xf numFmtId="0" fontId="47" fillId="2" borderId="0" xfId="66" applyFont="1" applyFill="1" applyAlignment="1">
      <alignment horizontal="right" vertical="center"/>
    </xf>
    <xf numFmtId="0" fontId="47" fillId="9" borderId="571" xfId="4" applyFont="1" applyFill="1" applyBorder="1" applyAlignment="1">
      <alignment horizontal="center" vertical="center"/>
    </xf>
    <xf numFmtId="2" fontId="45" fillId="2" borderId="0" xfId="66" applyNumberFormat="1" applyFont="1" applyFill="1" applyAlignment="1">
      <alignment horizontal="left" vertical="center"/>
    </xf>
    <xf numFmtId="0" fontId="7" fillId="0" borderId="46" xfId="66" applyBorder="1"/>
    <xf numFmtId="0" fontId="55" fillId="2" borderId="41" xfId="66" applyFont="1" applyFill="1" applyBorder="1" applyAlignment="1">
      <alignment horizontal="left" vertical="center"/>
    </xf>
    <xf numFmtId="0" fontId="36" fillId="2" borderId="0" xfId="66" applyFont="1" applyFill="1" applyAlignment="1">
      <alignment horizontal="right" vertical="center"/>
    </xf>
    <xf numFmtId="169" fontId="36" fillId="9" borderId="571" xfId="4" applyNumberFormat="1" applyFont="1" applyFill="1" applyBorder="1" applyAlignment="1">
      <alignment horizontal="center" vertical="center"/>
    </xf>
    <xf numFmtId="169" fontId="62" fillId="9" borderId="571" xfId="4" applyNumberFormat="1" applyFont="1" applyFill="1" applyBorder="1" applyAlignment="1">
      <alignment horizontal="center" vertical="center"/>
    </xf>
    <xf numFmtId="0" fontId="61" fillId="2" borderId="0" xfId="66" applyFont="1" applyFill="1" applyAlignment="1">
      <alignment horizontal="center" vertical="center"/>
    </xf>
    <xf numFmtId="168" fontId="36" fillId="9" borderId="44" xfId="66" applyNumberFormat="1" applyFont="1" applyFill="1" applyBorder="1" applyAlignment="1" applyProtection="1">
      <alignment horizontal="center" vertical="center"/>
      <protection locked="0"/>
    </xf>
    <xf numFmtId="0" fontId="34" fillId="2" borderId="572" xfId="4" applyFont="1" applyFill="1" applyBorder="1" applyAlignment="1">
      <alignment horizontal="center" vertical="center"/>
    </xf>
    <xf numFmtId="0" fontId="34" fillId="2" borderId="572" xfId="66" applyFont="1" applyFill="1" applyBorder="1" applyAlignment="1" applyProtection="1">
      <alignment horizontal="center" vertical="center"/>
      <protection locked="0"/>
    </xf>
    <xf numFmtId="0" fontId="45" fillId="2" borderId="0" xfId="66" applyFont="1" applyFill="1" applyAlignment="1">
      <alignment horizontal="right" vertical="center"/>
    </xf>
    <xf numFmtId="169" fontId="45" fillId="2" borderId="573" xfId="4" applyNumberFormat="1" applyFont="1" applyFill="1" applyBorder="1" applyAlignment="1">
      <alignment horizontal="center" vertical="center"/>
    </xf>
    <xf numFmtId="0" fontId="45" fillId="2" borderId="0" xfId="66" applyFont="1" applyFill="1" applyAlignment="1">
      <alignment horizontal="left" vertical="center"/>
    </xf>
    <xf numFmtId="169" fontId="34" fillId="2" borderId="573" xfId="4" applyNumberFormat="1" applyFont="1" applyFill="1" applyBorder="1" applyAlignment="1">
      <alignment horizontal="center" vertical="center"/>
    </xf>
    <xf numFmtId="0" fontId="60" fillId="2" borderId="0" xfId="66" applyFont="1" applyFill="1" applyAlignment="1">
      <alignment horizontal="left" vertical="center"/>
    </xf>
    <xf numFmtId="0" fontId="59" fillId="2" borderId="0" xfId="66" applyFont="1" applyFill="1" applyAlignment="1">
      <alignment horizontal="left" vertical="center"/>
    </xf>
    <xf numFmtId="0" fontId="56" fillId="2" borderId="0" xfId="66" applyFont="1" applyFill="1" applyAlignment="1">
      <alignment horizontal="left" vertical="center"/>
    </xf>
    <xf numFmtId="0" fontId="57" fillId="2" borderId="0" xfId="66" applyFont="1" applyFill="1" applyAlignment="1">
      <alignment horizontal="left" vertical="center"/>
    </xf>
    <xf numFmtId="0" fontId="13" fillId="2" borderId="402" xfId="2" applyFill="1" applyBorder="1" applyProtection="1">
      <protection hidden="1"/>
    </xf>
    <xf numFmtId="0" fontId="7" fillId="4" borderId="13" xfId="66" applyFill="1" applyBorder="1" applyAlignment="1">
      <alignment vertical="center"/>
    </xf>
    <xf numFmtId="0" fontId="7" fillId="4" borderId="0" xfId="66" applyFill="1" applyAlignment="1">
      <alignment vertical="center"/>
    </xf>
    <xf numFmtId="0" fontId="7" fillId="4" borderId="12" xfId="66" applyFill="1" applyBorder="1" applyAlignment="1">
      <alignment vertical="center"/>
    </xf>
    <xf numFmtId="0" fontId="35" fillId="0" borderId="0" xfId="66" applyFont="1" applyAlignment="1">
      <alignment horizontal="right" vertical="center"/>
    </xf>
    <xf numFmtId="0" fontId="7" fillId="4" borderId="0" xfId="66" applyFill="1" applyAlignment="1">
      <alignment horizontal="left" vertical="center"/>
    </xf>
    <xf numFmtId="0" fontId="46" fillId="4" borderId="0" xfId="66" applyFont="1" applyFill="1" applyAlignment="1">
      <alignment horizontal="right" vertical="center"/>
    </xf>
    <xf numFmtId="0" fontId="45" fillId="4" borderId="572" xfId="4" applyFont="1" applyFill="1" applyBorder="1" applyAlignment="1">
      <alignment horizontal="center" vertical="center"/>
    </xf>
    <xf numFmtId="0" fontId="45" fillId="4" borderId="572" xfId="66" applyFont="1" applyFill="1" applyBorder="1" applyAlignment="1" applyProtection="1">
      <alignment horizontal="center" vertical="center"/>
      <protection locked="0"/>
    </xf>
    <xf numFmtId="0" fontId="38" fillId="4" borderId="0" xfId="66" applyFont="1" applyFill="1" applyAlignment="1">
      <alignment horizontal="right" vertical="center"/>
    </xf>
    <xf numFmtId="0" fontId="33" fillId="4" borderId="0" xfId="66" applyFont="1" applyFill="1" applyAlignment="1">
      <alignment horizontal="left" vertical="center"/>
    </xf>
    <xf numFmtId="0" fontId="44" fillId="4" borderId="0" xfId="66" applyFont="1" applyFill="1" applyAlignment="1">
      <alignment horizontal="right" vertical="center"/>
    </xf>
    <xf numFmtId="169" fontId="54" fillId="9" borderId="33" xfId="33" applyNumberFormat="1" applyFont="1" applyFill="1" applyBorder="1" applyAlignment="1">
      <alignment horizontal="center" vertical="center"/>
    </xf>
    <xf numFmtId="169" fontId="7" fillId="4" borderId="0" xfId="66" applyNumberFormat="1" applyFill="1" applyAlignment="1">
      <alignment horizontal="center" vertical="center"/>
    </xf>
    <xf numFmtId="0" fontId="33" fillId="4" borderId="0" xfId="66" applyFont="1" applyFill="1" applyAlignment="1">
      <alignment horizontal="right" vertical="center"/>
    </xf>
    <xf numFmtId="2" fontId="53" fillId="4" borderId="31" xfId="33" applyNumberFormat="1" applyFont="1" applyFill="1" applyBorder="1" applyAlignment="1">
      <alignment horizontal="center" vertical="center"/>
    </xf>
    <xf numFmtId="0" fontId="7" fillId="4" borderId="31" xfId="66" applyFill="1" applyBorder="1" applyAlignment="1">
      <alignment horizontal="center" vertical="center"/>
    </xf>
    <xf numFmtId="0" fontId="7" fillId="0" borderId="13" xfId="66" applyBorder="1" applyAlignment="1">
      <alignment vertical="center"/>
    </xf>
    <xf numFmtId="0" fontId="33" fillId="0" borderId="0" xfId="66" applyFont="1" applyAlignment="1">
      <alignment horizontal="right" vertical="center"/>
    </xf>
    <xf numFmtId="168" fontId="36" fillId="9" borderId="0" xfId="66" applyNumberFormat="1" applyFont="1" applyFill="1" applyAlignment="1" applyProtection="1">
      <alignment horizontal="center" vertical="center"/>
      <protection locked="0"/>
    </xf>
    <xf numFmtId="0" fontId="7" fillId="0" borderId="0" xfId="66" applyAlignment="1">
      <alignment vertical="center"/>
    </xf>
    <xf numFmtId="167" fontId="34" fillId="4" borderId="0" xfId="66" applyNumberFormat="1" applyFont="1" applyFill="1" applyAlignment="1">
      <alignment horizontal="center" vertical="center"/>
    </xf>
    <xf numFmtId="0" fontId="35" fillId="4" borderId="31" xfId="66" applyFont="1" applyFill="1" applyBorder="1" applyAlignment="1">
      <alignment horizontal="center" vertical="center"/>
    </xf>
    <xf numFmtId="0" fontId="7" fillId="4" borderId="416" xfId="66" applyFill="1" applyBorder="1" applyAlignment="1">
      <alignment vertical="center"/>
    </xf>
    <xf numFmtId="0" fontId="7" fillId="4" borderId="403" xfId="66" applyFill="1" applyBorder="1" applyAlignment="1">
      <alignment vertical="center"/>
    </xf>
    <xf numFmtId="0" fontId="7" fillId="4" borderId="410" xfId="66" applyFill="1" applyBorder="1" applyAlignment="1">
      <alignment vertical="center"/>
    </xf>
    <xf numFmtId="0" fontId="52" fillId="4" borderId="501" xfId="2" applyFont="1" applyFill="1" applyBorder="1" applyAlignment="1">
      <alignment vertical="center"/>
    </xf>
    <xf numFmtId="166" fontId="26" fillId="4" borderId="0" xfId="33" applyNumberFormat="1" applyFont="1" applyFill="1" applyAlignment="1">
      <alignment horizontal="center" vertical="center"/>
    </xf>
    <xf numFmtId="166" fontId="25" fillId="4" borderId="12" xfId="33" applyNumberFormat="1" applyFont="1" applyFill="1" applyBorder="1" applyAlignment="1">
      <alignment vertical="center"/>
    </xf>
    <xf numFmtId="166" fontId="26" fillId="4" borderId="0" xfId="33" applyNumberFormat="1" applyFont="1" applyFill="1" applyAlignment="1">
      <alignment horizontal="left" vertical="center"/>
    </xf>
    <xf numFmtId="165" fontId="23" fillId="8" borderId="16" xfId="33" applyNumberFormat="1" applyFont="1" applyFill="1" applyBorder="1" applyAlignment="1">
      <alignment vertical="center"/>
    </xf>
    <xf numFmtId="165" fontId="23" fillId="8" borderId="13" xfId="33" applyNumberFormat="1" applyFont="1" applyFill="1" applyBorder="1" applyAlignment="1">
      <alignment horizontal="left" vertical="center"/>
    </xf>
    <xf numFmtId="0" fontId="7" fillId="4" borderId="13" xfId="66" applyFill="1" applyBorder="1"/>
    <xf numFmtId="0" fontId="7" fillId="4" borderId="0" xfId="66" applyFill="1"/>
    <xf numFmtId="0" fontId="7" fillId="4" borderId="12" xfId="66" applyFill="1" applyBorder="1"/>
    <xf numFmtId="0" fontId="35" fillId="4" borderId="13" xfId="66" applyFont="1" applyFill="1" applyBorder="1" applyAlignment="1">
      <alignment vertical="center" wrapText="1"/>
    </xf>
    <xf numFmtId="0" fontId="35" fillId="4" borderId="0" xfId="66" applyFont="1" applyFill="1" applyAlignment="1">
      <alignment vertical="center" wrapText="1"/>
    </xf>
    <xf numFmtId="0" fontId="35" fillId="0" borderId="0" xfId="66" applyFont="1" applyAlignment="1">
      <alignment horizontal="right"/>
    </xf>
    <xf numFmtId="0" fontId="46" fillId="4" borderId="0" xfId="66" applyFont="1" applyFill="1" applyAlignment="1">
      <alignment horizontal="right"/>
    </xf>
    <xf numFmtId="0" fontId="45" fillId="4" borderId="577" xfId="4" applyFont="1" applyFill="1" applyBorder="1" applyAlignment="1">
      <alignment horizontal="center" vertical="center"/>
    </xf>
    <xf numFmtId="0" fontId="45" fillId="4" borderId="577" xfId="66" applyFont="1" applyFill="1" applyBorder="1" applyAlignment="1" applyProtection="1">
      <alignment horizontal="center" vertical="center"/>
      <protection locked="0"/>
    </xf>
    <xf numFmtId="165" fontId="43" fillId="9" borderId="34" xfId="33" applyNumberFormat="1" applyFont="1" applyFill="1" applyBorder="1" applyAlignment="1">
      <alignment horizontal="center" vertical="center"/>
    </xf>
    <xf numFmtId="1" fontId="40" fillId="4" borderId="31" xfId="33" applyNumberFormat="1" applyFont="1" applyFill="1" applyBorder="1" applyAlignment="1">
      <alignment horizontal="center" vertical="center"/>
    </xf>
    <xf numFmtId="1" fontId="40" fillId="4" borderId="0" xfId="33" applyNumberFormat="1" applyFont="1" applyFill="1" applyAlignment="1">
      <alignment horizontal="center" vertical="center"/>
    </xf>
    <xf numFmtId="0" fontId="35" fillId="4" borderId="13" xfId="66" applyFont="1" applyFill="1" applyBorder="1" applyAlignment="1">
      <alignment vertical="center"/>
    </xf>
    <xf numFmtId="0" fontId="35" fillId="4" borderId="0" xfId="66" applyFont="1" applyFill="1" applyAlignment="1">
      <alignment vertical="center"/>
    </xf>
    <xf numFmtId="0" fontId="35" fillId="4" borderId="0" xfId="66" applyFont="1" applyFill="1" applyAlignment="1">
      <alignment horizontal="right" vertical="center"/>
    </xf>
    <xf numFmtId="2" fontId="25" fillId="4" borderId="577" xfId="33" applyNumberFormat="1" applyFont="1" applyFill="1" applyBorder="1" applyAlignment="1">
      <alignment horizontal="center" vertical="center"/>
    </xf>
    <xf numFmtId="0" fontId="7" fillId="4" borderId="0" xfId="66" applyFill="1" applyAlignment="1">
      <alignment horizontal="left"/>
    </xf>
    <xf numFmtId="0" fontId="32" fillId="4" borderId="416" xfId="2" applyFont="1" applyFill="1" applyBorder="1" applyAlignment="1">
      <alignment horizontal="center" vertical="center"/>
    </xf>
    <xf numFmtId="0" fontId="7" fillId="4" borderId="403" xfId="66" applyFill="1" applyBorder="1"/>
    <xf numFmtId="0" fontId="7" fillId="4" borderId="410" xfId="66" applyFill="1" applyBorder="1"/>
    <xf numFmtId="0" fontId="30" fillId="4" borderId="501" xfId="2" applyFont="1" applyFill="1" applyBorder="1" applyAlignment="1">
      <alignment vertical="center"/>
    </xf>
    <xf numFmtId="0" fontId="11" fillId="2" borderId="0" xfId="66" applyFont="1" applyFill="1" applyAlignment="1">
      <alignment vertical="center"/>
    </xf>
    <xf numFmtId="0" fontId="16" fillId="2" borderId="0" xfId="66" applyFont="1" applyFill="1" applyAlignment="1">
      <alignment horizontal="left" vertical="center"/>
    </xf>
    <xf numFmtId="0" fontId="16" fillId="2" borderId="0" xfId="66" applyFont="1" applyFill="1" applyAlignment="1">
      <alignment horizontal="right" vertical="center"/>
    </xf>
    <xf numFmtId="0" fontId="17" fillId="2" borderId="0" xfId="66" applyFont="1" applyFill="1" applyAlignment="1">
      <alignment vertical="center"/>
    </xf>
    <xf numFmtId="0" fontId="18" fillId="2" borderId="0" xfId="66" applyFont="1" applyFill="1" applyAlignment="1">
      <alignment vertical="center"/>
    </xf>
    <xf numFmtId="0" fontId="16" fillId="17" borderId="0" xfId="66" applyFont="1" applyFill="1" applyAlignment="1">
      <alignment horizontal="center" vertical="center"/>
    </xf>
    <xf numFmtId="0" fontId="7" fillId="2" borderId="0" xfId="66" applyFill="1" applyAlignment="1">
      <alignment wrapText="1"/>
    </xf>
    <xf numFmtId="0" fontId="694" fillId="0" borderId="0" xfId="2" applyFont="1" applyAlignment="1">
      <alignment vertical="center"/>
    </xf>
    <xf numFmtId="0" fontId="511" fillId="2" borderId="0" xfId="4" applyFont="1" applyFill="1" applyAlignment="1">
      <alignment horizontal="centerContinuous" vertical="center"/>
    </xf>
    <xf numFmtId="0" fontId="328" fillId="2" borderId="0" xfId="2" applyFont="1" applyFill="1" applyAlignment="1">
      <alignment horizontal="centerContinuous" vertical="center"/>
    </xf>
    <xf numFmtId="0" fontId="7" fillId="0" borderId="0" xfId="66" applyAlignment="1">
      <alignment wrapText="1"/>
    </xf>
    <xf numFmtId="0" fontId="451" fillId="2" borderId="0" xfId="4" applyFont="1" applyFill="1" applyAlignment="1">
      <alignment horizontal="center" vertical="center"/>
    </xf>
    <xf numFmtId="0" fontId="453" fillId="2" borderId="0" xfId="4" applyFont="1" applyFill="1" applyAlignment="1">
      <alignment horizontal="center" vertical="center"/>
    </xf>
    <xf numFmtId="0" fontId="166" fillId="2" borderId="0" xfId="2" applyFont="1" applyFill="1" applyAlignment="1">
      <alignment vertical="center"/>
    </xf>
    <xf numFmtId="0" fontId="183" fillId="33" borderId="13" xfId="2" applyFont="1" applyFill="1" applyBorder="1" applyAlignment="1" applyProtection="1">
      <alignment horizontal="center" vertical="center"/>
      <protection hidden="1"/>
    </xf>
    <xf numFmtId="0" fontId="182" fillId="2" borderId="0" xfId="12" applyFont="1" applyFill="1" applyAlignment="1" applyProtection="1">
      <alignment horizontal="left" vertical="center"/>
      <protection locked="0"/>
    </xf>
    <xf numFmtId="0" fontId="393" fillId="2" borderId="0" xfId="2" applyFont="1" applyFill="1" applyAlignment="1">
      <alignment vertical="center"/>
    </xf>
    <xf numFmtId="0" fontId="695" fillId="71" borderId="0" xfId="66" applyFont="1" applyFill="1" applyAlignment="1">
      <alignment horizontal="right" vertical="center"/>
    </xf>
    <xf numFmtId="0" fontId="697" fillId="33" borderId="13" xfId="2" applyFont="1" applyFill="1" applyBorder="1" applyAlignment="1" applyProtection="1">
      <alignment horizontal="center" vertical="center"/>
      <protection hidden="1"/>
    </xf>
    <xf numFmtId="0" fontId="697" fillId="2" borderId="0" xfId="12" applyFont="1" applyFill="1" applyAlignment="1" applyProtection="1">
      <alignment horizontal="left" vertical="center"/>
      <protection locked="0"/>
    </xf>
    <xf numFmtId="0" fontId="698" fillId="2" borderId="0" xfId="66" applyFont="1" applyFill="1" applyAlignment="1">
      <alignment horizontal="justify" vertical="center"/>
    </xf>
    <xf numFmtId="0" fontId="696" fillId="2" borderId="0" xfId="2" applyFont="1" applyFill="1" applyAlignment="1" applyProtection="1">
      <alignment horizontal="center" vertical="center"/>
      <protection hidden="1"/>
    </xf>
    <xf numFmtId="0" fontId="699" fillId="2" borderId="0" xfId="66" applyFont="1" applyFill="1" applyAlignment="1">
      <alignment horizontal="justify" vertical="center"/>
    </xf>
    <xf numFmtId="0" fontId="138" fillId="2" borderId="0" xfId="2" applyFont="1" applyFill="1" applyAlignment="1" applyProtection="1">
      <alignment horizontal="left" vertical="center"/>
      <protection hidden="1"/>
    </xf>
    <xf numFmtId="0" fontId="278" fillId="2" borderId="0" xfId="2" applyFont="1" applyFill="1" applyAlignment="1" applyProtection="1">
      <alignment horizontal="center" vertical="center"/>
      <protection hidden="1"/>
    </xf>
    <xf numFmtId="0" fontId="278" fillId="2" borderId="0" xfId="2" applyFont="1" applyFill="1" applyAlignment="1" applyProtection="1">
      <alignment horizontal="left" vertical="center"/>
      <protection hidden="1"/>
    </xf>
    <xf numFmtId="0" fontId="701" fillId="2" borderId="13" xfId="2" applyFont="1" applyFill="1" applyBorder="1" applyAlignment="1">
      <alignment horizontal="center" vertical="center"/>
    </xf>
    <xf numFmtId="0" fontId="138" fillId="2" borderId="0" xfId="2" applyFont="1" applyFill="1" applyAlignment="1" applyProtection="1">
      <alignment horizontal="left" vertical="center" wrapText="1"/>
      <protection hidden="1"/>
    </xf>
    <xf numFmtId="0" fontId="101" fillId="2" borderId="0" xfId="2" applyFont="1" applyFill="1" applyAlignment="1" applyProtection="1">
      <alignment horizontal="left" vertical="center"/>
      <protection hidden="1"/>
    </xf>
    <xf numFmtId="0" fontId="393" fillId="2" borderId="0" xfId="2" applyFont="1" applyFill="1"/>
    <xf numFmtId="0" fontId="193" fillId="2" borderId="0" xfId="2" applyFont="1" applyFill="1"/>
    <xf numFmtId="0" fontId="700" fillId="2" borderId="0" xfId="66" applyFont="1" applyFill="1" applyAlignment="1">
      <alignment horizontal="justify" vertical="center"/>
    </xf>
    <xf numFmtId="0" fontId="281" fillId="2" borderId="0" xfId="2" applyFont="1" applyFill="1" applyAlignment="1">
      <alignment horizontal="center" vertical="center"/>
    </xf>
    <xf numFmtId="0" fontId="137" fillId="0" borderId="0" xfId="66" applyFont="1" applyAlignment="1">
      <alignment vertical="center" wrapText="1"/>
    </xf>
    <xf numFmtId="0" fontId="347" fillId="2" borderId="0" xfId="4" applyFont="1" applyFill="1" applyAlignment="1">
      <alignment vertical="center"/>
    </xf>
    <xf numFmtId="0" fontId="78" fillId="0" borderId="397" xfId="2" applyFont="1" applyBorder="1" applyAlignment="1">
      <alignment horizontal="left" vertical="center"/>
    </xf>
    <xf numFmtId="0" fontId="101" fillId="2" borderId="0" xfId="2" applyFont="1" applyFill="1" applyAlignment="1" applyProtection="1">
      <alignment vertical="center" wrapText="1"/>
      <protection hidden="1"/>
    </xf>
    <xf numFmtId="0" fontId="7" fillId="0" borderId="581" xfId="29" applyFont="1" applyBorder="1" applyAlignment="1">
      <alignment vertical="center"/>
    </xf>
    <xf numFmtId="0" fontId="7" fillId="0" borderId="582" xfId="29" applyFont="1" applyBorder="1" applyAlignment="1">
      <alignment vertical="center"/>
    </xf>
    <xf numFmtId="0" fontId="455" fillId="0" borderId="582" xfId="29" applyFont="1" applyBorder="1" applyAlignment="1">
      <alignment vertical="center"/>
    </xf>
    <xf numFmtId="0" fontId="7" fillId="0" borderId="583" xfId="29" applyFont="1" applyBorder="1" applyAlignment="1">
      <alignment vertical="center"/>
    </xf>
    <xf numFmtId="0" fontId="94" fillId="30" borderId="0" xfId="66" applyFont="1" applyFill="1" applyAlignment="1">
      <alignment vertical="center"/>
    </xf>
    <xf numFmtId="0" fontId="216" fillId="2" borderId="0" xfId="3" applyFont="1" applyFill="1" applyBorder="1" applyAlignment="1">
      <alignment vertical="center"/>
    </xf>
    <xf numFmtId="0" fontId="166" fillId="2" borderId="0" xfId="2" applyFont="1" applyFill="1"/>
    <xf numFmtId="0" fontId="138" fillId="2" borderId="0" xfId="2" applyFont="1" applyFill="1" applyAlignment="1" applyProtection="1">
      <alignment vertical="center" wrapText="1"/>
      <protection hidden="1"/>
    </xf>
    <xf numFmtId="0" fontId="209" fillId="2" borderId="0" xfId="2" applyFont="1" applyFill="1" applyAlignment="1" applyProtection="1">
      <alignment horizontal="left" vertical="center"/>
      <protection hidden="1"/>
    </xf>
    <xf numFmtId="0" fontId="193" fillId="0" borderId="581" xfId="2" applyFont="1" applyBorder="1" applyAlignment="1">
      <alignment vertical="center"/>
    </xf>
    <xf numFmtId="0" fontId="193" fillId="0" borderId="582" xfId="2" applyFont="1" applyBorder="1" applyAlignment="1">
      <alignment vertical="center"/>
    </xf>
    <xf numFmtId="0" fontId="452" fillId="0" borderId="582" xfId="2" applyFont="1" applyBorder="1" applyAlignment="1">
      <alignment vertical="center"/>
    </xf>
    <xf numFmtId="0" fontId="452" fillId="0" borderId="583" xfId="2" applyFont="1" applyBorder="1" applyAlignment="1">
      <alignment vertical="center"/>
    </xf>
    <xf numFmtId="0" fontId="702" fillId="2" borderId="0" xfId="4" applyFont="1" applyFill="1" applyAlignment="1">
      <alignment vertical="center"/>
    </xf>
    <xf numFmtId="0" fontId="328" fillId="2" borderId="0" xfId="2" applyFont="1" applyFill="1" applyAlignment="1">
      <alignment vertical="center"/>
    </xf>
    <xf numFmtId="0" fontId="281" fillId="2" borderId="0" xfId="2" applyFont="1" applyFill="1" applyAlignment="1" applyProtection="1">
      <alignment horizontal="center" vertical="center"/>
      <protection hidden="1"/>
    </xf>
    <xf numFmtId="0" fontId="281" fillId="2" borderId="0" xfId="2" applyFont="1" applyFill="1" applyAlignment="1" applyProtection="1">
      <alignment horizontal="left" vertical="center"/>
      <protection hidden="1"/>
    </xf>
    <xf numFmtId="0" fontId="216" fillId="2" borderId="0" xfId="3" applyFont="1" applyFill="1" applyBorder="1" applyAlignment="1" applyProtection="1">
      <alignment horizontal="right" vertical="center"/>
      <protection hidden="1"/>
    </xf>
    <xf numFmtId="0" fontId="162" fillId="2" borderId="0" xfId="3" applyFont="1" applyFill="1" applyAlignment="1">
      <alignment horizontal="left" vertical="center"/>
    </xf>
    <xf numFmtId="0" fontId="162" fillId="0" borderId="0" xfId="3" applyFont="1" applyAlignment="1">
      <alignment horizontal="left" vertical="center"/>
    </xf>
    <xf numFmtId="0" fontId="703" fillId="50" borderId="0" xfId="12" applyFont="1" applyFill="1" applyAlignment="1">
      <alignment horizontal="left" vertical="center"/>
    </xf>
    <xf numFmtId="0" fontId="704" fillId="0" borderId="0" xfId="2" applyFont="1" applyAlignment="1">
      <alignment vertical="center"/>
    </xf>
    <xf numFmtId="0" fontId="705" fillId="36" borderId="500" xfId="18" applyFont="1" applyFill="1" applyBorder="1" applyAlignment="1">
      <alignment horizontal="centerContinuous" vertical="center" wrapText="1"/>
    </xf>
    <xf numFmtId="0" fontId="705" fillId="36" borderId="501" xfId="18" applyFont="1" applyFill="1" applyBorder="1" applyAlignment="1">
      <alignment horizontal="centerContinuous" vertical="center" wrapText="1"/>
    </xf>
    <xf numFmtId="0" fontId="706" fillId="36" borderId="501" xfId="18" applyFont="1" applyFill="1" applyBorder="1" applyAlignment="1">
      <alignment horizontal="centerContinuous" vertical="center" wrapText="1"/>
    </xf>
    <xf numFmtId="0" fontId="707" fillId="36" borderId="501" xfId="68" applyFont="1" applyFill="1" applyBorder="1" applyAlignment="1">
      <alignment horizontal="centerContinuous" vertical="center" wrapText="1"/>
    </xf>
    <xf numFmtId="0" fontId="707" fillId="36" borderId="502" xfId="68" applyFont="1" applyFill="1" applyBorder="1" applyAlignment="1">
      <alignment horizontal="centerContinuous" vertical="center" wrapText="1"/>
    </xf>
    <xf numFmtId="0" fontId="13" fillId="0" borderId="0" xfId="2" applyAlignment="1">
      <alignment horizontal="centerContinuous" vertical="center"/>
    </xf>
    <xf numFmtId="0" fontId="45" fillId="25" borderId="490" xfId="2" applyFont="1" applyFill="1" applyBorder="1" applyAlignment="1">
      <alignment horizontal="center" vertical="center" wrapText="1"/>
    </xf>
    <xf numFmtId="0" fontId="64" fillId="25" borderId="221" xfId="2" applyFont="1" applyFill="1" applyBorder="1" applyAlignment="1">
      <alignment horizontal="center" vertical="center" wrapText="1"/>
    </xf>
    <xf numFmtId="0" fontId="143" fillId="85" borderId="221" xfId="2" applyFont="1" applyFill="1" applyBorder="1" applyAlignment="1">
      <alignment horizontal="center" vertical="center" wrapText="1"/>
    </xf>
    <xf numFmtId="0" fontId="235" fillId="40" borderId="115" xfId="18" applyFont="1" applyFill="1" applyBorder="1" applyAlignment="1">
      <alignment horizontal="centerContinuous" vertical="center"/>
    </xf>
    <xf numFmtId="0" fontId="235" fillId="40" borderId="113" xfId="18" applyFont="1" applyFill="1" applyBorder="1" applyAlignment="1">
      <alignment horizontal="centerContinuous" vertical="center"/>
    </xf>
    <xf numFmtId="0" fontId="235" fillId="40" borderId="116" xfId="18" applyFont="1" applyFill="1" applyBorder="1" applyAlignment="1">
      <alignment horizontal="centerContinuous" vertical="center"/>
    </xf>
    <xf numFmtId="0" fontId="235" fillId="23" borderId="115" xfId="18" applyFont="1" applyFill="1" applyBorder="1" applyAlignment="1">
      <alignment horizontal="centerContinuous" vertical="center"/>
    </xf>
    <xf numFmtId="0" fontId="235" fillId="23" borderId="113" xfId="18" applyFont="1" applyFill="1" applyBorder="1" applyAlignment="1">
      <alignment horizontal="centerContinuous" vertical="center"/>
    </xf>
    <xf numFmtId="0" fontId="235" fillId="23" borderId="116" xfId="18" applyFont="1" applyFill="1" applyBorder="1" applyAlignment="1">
      <alignment horizontal="centerContinuous" vertical="center"/>
    </xf>
    <xf numFmtId="0" fontId="708" fillId="87" borderId="316" xfId="2" applyFont="1" applyFill="1" applyBorder="1" applyAlignment="1">
      <alignment horizontal="center" vertical="center"/>
    </xf>
    <xf numFmtId="0" fontId="709" fillId="87" borderId="0" xfId="2" quotePrefix="1" applyFont="1" applyFill="1" applyAlignment="1">
      <alignment horizontal="center" vertical="center"/>
    </xf>
    <xf numFmtId="0" fontId="710" fillId="85" borderId="0" xfId="2" applyFont="1" applyFill="1" applyAlignment="1">
      <alignment horizontal="center" vertical="center"/>
    </xf>
    <xf numFmtId="0" fontId="711" fillId="0" borderId="0" xfId="2" applyFont="1" applyAlignment="1">
      <alignment horizontal="centerContinuous" vertical="center"/>
    </xf>
    <xf numFmtId="0" fontId="227" fillId="0" borderId="0" xfId="2" applyFont="1" applyAlignment="1">
      <alignment horizontal="centerContinuous" vertical="center"/>
    </xf>
    <xf numFmtId="0" fontId="227" fillId="0" borderId="41" xfId="2" applyFont="1" applyBorder="1" applyAlignment="1">
      <alignment horizontal="centerContinuous" vertical="center"/>
    </xf>
    <xf numFmtId="0" fontId="712" fillId="85" borderId="0" xfId="2" applyFont="1" applyFill="1" applyAlignment="1">
      <alignment horizontal="center" vertical="center"/>
    </xf>
    <xf numFmtId="0" fontId="586" fillId="0" borderId="0" xfId="2" applyFont="1" applyAlignment="1">
      <alignment horizontal="centerContinuous" vertical="center" wrapText="1"/>
    </xf>
    <xf numFmtId="0" fontId="586" fillId="0" borderId="41" xfId="2" applyFont="1" applyBorder="1" applyAlignment="1">
      <alignment horizontal="centerContinuous" vertical="center" wrapText="1"/>
    </xf>
    <xf numFmtId="0" fontId="13" fillId="0" borderId="316" xfId="2" applyBorder="1" applyAlignment="1">
      <alignment vertical="center"/>
    </xf>
    <xf numFmtId="0" fontId="13" fillId="0" borderId="41" xfId="2" applyBorder="1" applyAlignment="1">
      <alignment vertical="center"/>
    </xf>
    <xf numFmtId="0" fontId="224" fillId="0" borderId="0" xfId="25" applyFont="1"/>
    <xf numFmtId="0" fontId="713" fillId="0" borderId="0" xfId="25" applyFont="1"/>
    <xf numFmtId="0" fontId="69" fillId="0" borderId="316" xfId="2" applyFont="1" applyBorder="1" applyAlignment="1">
      <alignment horizontal="center" vertical="center"/>
    </xf>
    <xf numFmtId="0" fontId="69" fillId="0" borderId="213" xfId="2" applyFont="1" applyBorder="1" applyAlignment="1">
      <alignment horizontal="center" vertical="center"/>
    </xf>
    <xf numFmtId="0" fontId="227" fillId="0" borderId="316" xfId="2" applyFont="1" applyBorder="1" applyAlignment="1">
      <alignment horizontal="center" vertical="center"/>
    </xf>
    <xf numFmtId="0" fontId="49" fillId="0" borderId="0" xfId="2" quotePrefix="1" applyFont="1" applyAlignment="1">
      <alignment horizontal="center" vertical="center"/>
    </xf>
    <xf numFmtId="0" fontId="714" fillId="0" borderId="0" xfId="2" applyFont="1" applyAlignment="1">
      <alignment horizontal="center" vertical="center"/>
    </xf>
    <xf numFmtId="0" fontId="227" fillId="0" borderId="213" xfId="2" applyFont="1" applyBorder="1" applyAlignment="1">
      <alignment horizontal="center" vertical="center"/>
    </xf>
    <xf numFmtId="0" fontId="714" fillId="0" borderId="56" xfId="2" applyFont="1" applyBorder="1" applyAlignment="1">
      <alignment horizontal="center" vertical="center"/>
    </xf>
    <xf numFmtId="0" fontId="227" fillId="0" borderId="0" xfId="2" applyFont="1" applyAlignment="1">
      <alignment horizontal="center" vertical="center"/>
    </xf>
    <xf numFmtId="0" fontId="714" fillId="0" borderId="41" xfId="2" applyFont="1" applyBorder="1" applyAlignment="1">
      <alignment horizontal="center" vertical="center"/>
    </xf>
    <xf numFmtId="0" fontId="715" fillId="0" borderId="0" xfId="2" applyFont="1" applyAlignment="1">
      <alignment horizontal="center" vertical="center"/>
    </xf>
    <xf numFmtId="0" fontId="715" fillId="0" borderId="56" xfId="2" applyFont="1" applyBorder="1" applyAlignment="1">
      <alignment horizontal="center" vertical="center"/>
    </xf>
    <xf numFmtId="0" fontId="715" fillId="0" borderId="41" xfId="2" applyFont="1" applyBorder="1" applyAlignment="1">
      <alignment horizontal="center" vertical="center"/>
    </xf>
    <xf numFmtId="0" fontId="716" fillId="0" borderId="0" xfId="25" applyFont="1" applyAlignment="1">
      <alignment horizontal="right" vertical="center"/>
    </xf>
    <xf numFmtId="0" fontId="717" fillId="0" borderId="499" xfId="25" applyFont="1" applyBorder="1" applyAlignment="1">
      <alignment horizontal="center" vertical="center" wrapText="1"/>
    </xf>
    <xf numFmtId="0" fontId="717" fillId="0" borderId="0" xfId="25" applyFont="1" applyAlignment="1">
      <alignment horizontal="center" vertical="center" wrapText="1"/>
    </xf>
    <xf numFmtId="0" fontId="718" fillId="0" borderId="490" xfId="25" applyFont="1" applyBorder="1" applyAlignment="1">
      <alignment horizontal="center" vertical="center"/>
    </xf>
    <xf numFmtId="0" fontId="718" fillId="0" borderId="491" xfId="25" applyFont="1" applyBorder="1" applyAlignment="1">
      <alignment horizontal="center" vertical="center"/>
    </xf>
    <xf numFmtId="0" fontId="719" fillId="0" borderId="0" xfId="25" applyFont="1" applyAlignment="1">
      <alignment horizontal="center" vertical="center"/>
    </xf>
    <xf numFmtId="0" fontId="718" fillId="0" borderId="490" xfId="25" quotePrefix="1" applyFont="1" applyBorder="1" applyAlignment="1">
      <alignment horizontal="center" vertical="center"/>
    </xf>
    <xf numFmtId="0" fontId="588" fillId="0" borderId="0" xfId="25" applyFont="1" applyAlignment="1">
      <alignment horizontal="right"/>
    </xf>
    <xf numFmtId="0" fontId="227" fillId="0" borderId="0" xfId="25" applyFont="1"/>
    <xf numFmtId="0" fontId="718" fillId="0" borderId="402" xfId="25" applyFont="1" applyBorder="1" applyAlignment="1">
      <alignment horizontal="center" vertical="center"/>
    </xf>
    <xf numFmtId="0" fontId="718" fillId="0" borderId="404" xfId="25" applyFont="1" applyBorder="1" applyAlignment="1">
      <alignment horizontal="center" vertical="center"/>
    </xf>
    <xf numFmtId="0" fontId="718" fillId="0" borderId="402" xfId="25" quotePrefix="1" applyFont="1" applyBorder="1" applyAlignment="1">
      <alignment horizontal="center" vertical="center"/>
    </xf>
    <xf numFmtId="0" fontId="277" fillId="0" borderId="499" xfId="25" applyFont="1" applyBorder="1" applyAlignment="1">
      <alignment horizontal="center" vertical="center"/>
    </xf>
    <xf numFmtId="0" fontId="277" fillId="0" borderId="0" xfId="25" applyFont="1" applyAlignment="1">
      <alignment horizontal="center" vertical="center"/>
    </xf>
    <xf numFmtId="0" fontId="720" fillId="0" borderId="0" xfId="25" applyFont="1" applyAlignment="1">
      <alignment horizontal="right" vertical="center"/>
    </xf>
    <xf numFmtId="0" fontId="277" fillId="0" borderId="0" xfId="25" applyFont="1"/>
    <xf numFmtId="0" fontId="721" fillId="0" borderId="490" xfId="25" applyFont="1" applyBorder="1" applyAlignment="1">
      <alignment horizontal="center" vertical="center"/>
    </xf>
    <xf numFmtId="0" fontId="721" fillId="0" borderId="491" xfId="25" applyFont="1" applyBorder="1" applyAlignment="1">
      <alignment horizontal="center" vertical="center"/>
    </xf>
    <xf numFmtId="0" fontId="721" fillId="0" borderId="0" xfId="25" applyFont="1" applyAlignment="1">
      <alignment horizontal="center" vertical="center"/>
    </xf>
    <xf numFmtId="0" fontId="721" fillId="0" borderId="499" xfId="25" applyFont="1" applyBorder="1" applyAlignment="1">
      <alignment horizontal="center" vertical="center"/>
    </xf>
    <xf numFmtId="0" fontId="721" fillId="0" borderId="402" xfId="25" applyFont="1" applyBorder="1" applyAlignment="1">
      <alignment horizontal="center" vertical="center"/>
    </xf>
    <xf numFmtId="0" fontId="721" fillId="0" borderId="404" xfId="25" applyFont="1" applyBorder="1" applyAlignment="1">
      <alignment horizontal="center" vertical="center"/>
    </xf>
    <xf numFmtId="0" fontId="722" fillId="0" borderId="499" xfId="25" applyFont="1" applyBorder="1" applyAlignment="1">
      <alignment horizontal="center" vertical="center"/>
    </xf>
    <xf numFmtId="0" fontId="722" fillId="0" borderId="0" xfId="25" applyFont="1" applyAlignment="1">
      <alignment horizontal="center" vertical="center"/>
    </xf>
    <xf numFmtId="0" fontId="722" fillId="0" borderId="490" xfId="25" applyFont="1" applyBorder="1" applyAlignment="1">
      <alignment horizontal="center" vertical="center"/>
    </xf>
    <xf numFmtId="0" fontId="722" fillId="0" borderId="491" xfId="25" applyFont="1" applyBorder="1" applyAlignment="1">
      <alignment horizontal="center" vertical="center"/>
    </xf>
    <xf numFmtId="0" fontId="722" fillId="0" borderId="402" xfId="25" applyFont="1" applyBorder="1" applyAlignment="1">
      <alignment horizontal="center" vertical="center"/>
    </xf>
    <xf numFmtId="0" fontId="722" fillId="0" borderId="404" xfId="25" applyFont="1" applyBorder="1" applyAlignment="1">
      <alignment horizontal="center" vertical="center"/>
    </xf>
    <xf numFmtId="0" fontId="723" fillId="0" borderId="499" xfId="25" applyFont="1" applyBorder="1" applyAlignment="1">
      <alignment horizontal="center" vertical="center"/>
    </xf>
    <xf numFmtId="0" fontId="723" fillId="0" borderId="0" xfId="25" applyFont="1" applyAlignment="1">
      <alignment horizontal="center" vertical="center"/>
    </xf>
    <xf numFmtId="0" fontId="723" fillId="0" borderId="490" xfId="25" applyFont="1" applyBorder="1" applyAlignment="1">
      <alignment horizontal="center" vertical="center"/>
    </xf>
    <xf numFmtId="0" fontId="723" fillId="0" borderId="491" xfId="25" applyFont="1" applyBorder="1" applyAlignment="1">
      <alignment horizontal="center" vertical="center"/>
    </xf>
    <xf numFmtId="0" fontId="724" fillId="0" borderId="499" xfId="25" applyFont="1" applyBorder="1" applyAlignment="1">
      <alignment horizontal="center" vertical="center"/>
    </xf>
    <xf numFmtId="0" fontId="724" fillId="0" borderId="0" xfId="25" applyFont="1" applyAlignment="1">
      <alignment horizontal="center" vertical="center"/>
    </xf>
    <xf numFmtId="0" fontId="723" fillId="0" borderId="402" xfId="25" applyFont="1" applyBorder="1" applyAlignment="1">
      <alignment horizontal="center" vertical="center"/>
    </xf>
    <xf numFmtId="0" fontId="723" fillId="0" borderId="404" xfId="25" applyFont="1" applyBorder="1" applyAlignment="1">
      <alignment horizontal="center" vertical="center"/>
    </xf>
    <xf numFmtId="0" fontId="725" fillId="0" borderId="0" xfId="2" applyFont="1" applyAlignment="1">
      <alignment horizontal="center" vertical="center"/>
    </xf>
    <xf numFmtId="0" fontId="724" fillId="0" borderId="490" xfId="25" applyFont="1" applyBorder="1" applyAlignment="1">
      <alignment horizontal="center" vertical="center"/>
    </xf>
    <xf numFmtId="0" fontId="724" fillId="0" borderId="491" xfId="25" applyFont="1" applyBorder="1" applyAlignment="1">
      <alignment horizontal="center" vertical="center"/>
    </xf>
    <xf numFmtId="0" fontId="726" fillId="0" borderId="499" xfId="25" applyFont="1" applyBorder="1" applyAlignment="1">
      <alignment horizontal="center" vertical="center" wrapText="1"/>
    </xf>
    <xf numFmtId="0" fontId="726" fillId="0" borderId="0" xfId="25" applyFont="1" applyAlignment="1">
      <alignment horizontal="center" vertical="center" wrapText="1"/>
    </xf>
    <xf numFmtId="0" fontId="724" fillId="0" borderId="402" xfId="25" applyFont="1" applyBorder="1" applyAlignment="1">
      <alignment horizontal="center" vertical="center"/>
    </xf>
    <xf numFmtId="0" fontId="724" fillId="0" borderId="404" xfId="25" applyFont="1" applyBorder="1" applyAlignment="1">
      <alignment horizontal="center" vertical="center"/>
    </xf>
    <xf numFmtId="0" fontId="231" fillId="0" borderId="0" xfId="25" applyFont="1"/>
    <xf numFmtId="0" fontId="253" fillId="0" borderId="499" xfId="25" applyFont="1" applyBorder="1" applyAlignment="1">
      <alignment horizontal="center" vertical="center"/>
    </xf>
    <xf numFmtId="0" fontId="253" fillId="0" borderId="0" xfId="25" applyFont="1" applyAlignment="1">
      <alignment horizontal="center" vertical="center"/>
    </xf>
    <xf numFmtId="0" fontId="253" fillId="0" borderId="0" xfId="25" applyFont="1"/>
    <xf numFmtId="0" fontId="727" fillId="0" borderId="499" xfId="25" applyFont="1" applyBorder="1" applyAlignment="1">
      <alignment horizontal="center" vertical="center"/>
    </xf>
    <xf numFmtId="0" fontId="727" fillId="0" borderId="0" xfId="25" applyFont="1" applyAlignment="1">
      <alignment horizontal="center" vertical="center"/>
    </xf>
    <xf numFmtId="0" fontId="727" fillId="0" borderId="503" xfId="25" applyFont="1" applyBorder="1" applyAlignment="1">
      <alignment horizontal="center" vertical="center"/>
    </xf>
    <xf numFmtId="0" fontId="253" fillId="0" borderId="497" xfId="25" applyFont="1" applyBorder="1"/>
    <xf numFmtId="0" fontId="728" fillId="0" borderId="499" xfId="25" applyFont="1" applyBorder="1" applyAlignment="1">
      <alignment horizontal="center" vertical="center"/>
    </xf>
    <xf numFmtId="0" fontId="728" fillId="0" borderId="0" xfId="25" applyFont="1" applyAlignment="1">
      <alignment horizontal="center" vertical="center"/>
    </xf>
    <xf numFmtId="0" fontId="729" fillId="0" borderId="499" xfId="25" applyFont="1" applyBorder="1" applyAlignment="1">
      <alignment horizontal="center" vertical="center"/>
    </xf>
    <xf numFmtId="0" fontId="729" fillId="0" borderId="0" xfId="25" applyFont="1" applyAlignment="1">
      <alignment horizontal="center" vertical="center"/>
    </xf>
    <xf numFmtId="0" fontId="230" fillId="0" borderId="0" xfId="2" applyFont="1" applyAlignment="1">
      <alignment vertical="center"/>
    </xf>
    <xf numFmtId="0" fontId="730" fillId="0" borderId="499" xfId="25" applyFont="1" applyBorder="1" applyAlignment="1">
      <alignment horizontal="center" vertical="center"/>
    </xf>
    <xf numFmtId="0" fontId="730" fillId="0" borderId="0" xfId="25" applyFont="1" applyAlignment="1">
      <alignment horizontal="center" vertical="center"/>
    </xf>
    <xf numFmtId="0" fontId="50" fillId="0" borderId="0" xfId="25" applyFont="1" applyAlignment="1">
      <alignment horizontal="left"/>
    </xf>
    <xf numFmtId="0" fontId="588" fillId="0" borderId="0" xfId="2" applyFont="1" applyAlignment="1">
      <alignment horizontal="center" vertical="center"/>
    </xf>
    <xf numFmtId="0" fontId="731" fillId="0" borderId="0" xfId="2" applyFont="1" applyAlignment="1">
      <alignment horizontal="center" vertical="center"/>
    </xf>
    <xf numFmtId="0" fontId="721" fillId="0" borderId="503" xfId="25" applyFont="1" applyBorder="1" applyAlignment="1">
      <alignment horizontal="center" vertical="center"/>
    </xf>
    <xf numFmtId="0" fontId="277" fillId="0" borderId="497" xfId="25" applyFont="1" applyBorder="1"/>
    <xf numFmtId="0" fontId="227" fillId="0" borderId="402" xfId="2" applyFont="1" applyBorder="1" applyAlignment="1">
      <alignment vertical="center"/>
    </xf>
    <xf numFmtId="0" fontId="227" fillId="0" borderId="403" xfId="2" applyFont="1" applyBorder="1" applyAlignment="1">
      <alignment vertical="center"/>
    </xf>
    <xf numFmtId="0" fontId="227" fillId="0" borderId="404" xfId="2" applyFont="1" applyBorder="1" applyAlignment="1">
      <alignment vertical="center"/>
    </xf>
    <xf numFmtId="0" fontId="227" fillId="37" borderId="0" xfId="2" applyFont="1" applyFill="1" applyAlignment="1">
      <alignment vertical="center"/>
    </xf>
    <xf numFmtId="0" fontId="234" fillId="41" borderId="115" xfId="18" applyFont="1" applyFill="1" applyBorder="1" applyAlignment="1">
      <alignment horizontal="centerContinuous" vertical="center"/>
    </xf>
    <xf numFmtId="0" fontId="234" fillId="41" borderId="113" xfId="18" applyFont="1" applyFill="1" applyBorder="1" applyAlignment="1">
      <alignment horizontal="centerContinuous" vertical="center"/>
    </xf>
    <xf numFmtId="0" fontId="234" fillId="41" borderId="116" xfId="18" applyFont="1" applyFill="1" applyBorder="1" applyAlignment="1">
      <alignment horizontal="centerContinuous" vertical="center"/>
    </xf>
    <xf numFmtId="0" fontId="234" fillId="36" borderId="115" xfId="18" applyFont="1" applyFill="1" applyBorder="1" applyAlignment="1">
      <alignment horizontal="centerContinuous" vertical="center"/>
    </xf>
    <xf numFmtId="0" fontId="234" fillId="36" borderId="113" xfId="18" applyFont="1" applyFill="1" applyBorder="1" applyAlignment="1">
      <alignment horizontal="centerContinuous" vertical="center"/>
    </xf>
    <xf numFmtId="0" fontId="234" fillId="36" borderId="116" xfId="18" applyFont="1" applyFill="1" applyBorder="1" applyAlignment="1">
      <alignment horizontal="centerContinuous" vertical="center"/>
    </xf>
    <xf numFmtId="0" fontId="732" fillId="85" borderId="0" xfId="2" applyFont="1" applyFill="1" applyAlignment="1">
      <alignment horizontal="center" vertical="center"/>
    </xf>
    <xf numFmtId="0" fontId="711" fillId="0" borderId="0" xfId="2" applyFont="1" applyAlignment="1">
      <alignment horizontal="centerContinuous" vertical="center" wrapText="1"/>
    </xf>
    <xf numFmtId="0" fontId="227" fillId="0" borderId="0" xfId="2" applyFont="1" applyAlignment="1">
      <alignment horizontal="centerContinuous" vertical="center" wrapText="1"/>
    </xf>
    <xf numFmtId="0" fontId="227" fillId="0" borderId="41" xfId="2" applyFont="1" applyBorder="1" applyAlignment="1">
      <alignment horizontal="centerContinuous" vertical="center" wrapText="1"/>
    </xf>
    <xf numFmtId="0" fontId="733" fillId="85" borderId="0" xfId="2" applyFont="1" applyFill="1" applyAlignment="1">
      <alignment horizontal="center" vertical="center"/>
    </xf>
    <xf numFmtId="0" fontId="734" fillId="0" borderId="0" xfId="2" applyFont="1" applyAlignment="1">
      <alignment horizontal="center" vertical="center"/>
    </xf>
    <xf numFmtId="0" fontId="734" fillId="0" borderId="56" xfId="2" applyFont="1" applyBorder="1" applyAlignment="1">
      <alignment horizontal="center" vertical="center"/>
    </xf>
    <xf numFmtId="0" fontId="734" fillId="0" borderId="41" xfId="2" applyFont="1" applyBorder="1" applyAlignment="1">
      <alignment horizontal="center" vertical="center"/>
    </xf>
    <xf numFmtId="0" fontId="735" fillId="0" borderId="0" xfId="2" applyFont="1" applyAlignment="1">
      <alignment horizontal="center" vertical="center"/>
    </xf>
    <xf numFmtId="0" fontId="735" fillId="0" borderId="56" xfId="2" applyFont="1" applyBorder="1" applyAlignment="1">
      <alignment horizontal="center" vertical="center"/>
    </xf>
    <xf numFmtId="0" fontId="735" fillId="0" borderId="41" xfId="2" applyFont="1" applyBorder="1" applyAlignment="1">
      <alignment horizontal="center" vertical="center"/>
    </xf>
    <xf numFmtId="0" fontId="277" fillId="0" borderId="0" xfId="25" applyFont="1" applyAlignment="1">
      <alignment horizontal="right"/>
    </xf>
    <xf numFmtId="0" fontId="738" fillId="0" borderId="0" xfId="25" applyFont="1" applyAlignment="1">
      <alignment horizontal="center" vertical="center"/>
    </xf>
    <xf numFmtId="0" fontId="27" fillId="0" borderId="0" xfId="2" applyFont="1" applyAlignment="1">
      <alignment vertical="center"/>
    </xf>
    <xf numFmtId="0" fontId="739" fillId="0" borderId="0" xfId="2" applyFont="1" applyAlignment="1">
      <alignment vertical="center"/>
    </xf>
    <xf numFmtId="0" fontId="740" fillId="0" borderId="0" xfId="2" applyFont="1" applyAlignment="1">
      <alignment horizontal="center" vertical="center"/>
    </xf>
    <xf numFmtId="0" fontId="52" fillId="0" borderId="0" xfId="2" applyFont="1" applyAlignment="1">
      <alignment horizontal="center" vertical="center"/>
    </xf>
    <xf numFmtId="0" fontId="741" fillId="2" borderId="0" xfId="2" applyFont="1" applyFill="1" applyAlignment="1">
      <alignment horizontal="center" vertical="center"/>
    </xf>
    <xf numFmtId="0" fontId="742" fillId="2" borderId="0" xfId="2" applyFont="1" applyFill="1" applyAlignment="1">
      <alignment horizontal="center" vertical="center"/>
    </xf>
    <xf numFmtId="0" fontId="695" fillId="46" borderId="0" xfId="2" applyFont="1" applyFill="1" applyAlignment="1">
      <alignment horizontal="center" vertical="center"/>
    </xf>
    <xf numFmtId="0" fontId="743" fillId="2" borderId="0" xfId="2" applyFont="1" applyFill="1" applyAlignment="1">
      <alignment horizontal="center" vertical="center"/>
    </xf>
    <xf numFmtId="0" fontId="744" fillId="2" borderId="0" xfId="2" applyFont="1" applyFill="1" applyAlignment="1">
      <alignment horizontal="center" vertical="center"/>
    </xf>
    <xf numFmtId="0" fontId="745" fillId="2" borderId="0" xfId="2" applyFont="1" applyFill="1" applyAlignment="1">
      <alignment horizontal="center" vertical="center"/>
    </xf>
    <xf numFmtId="0" fontId="746" fillId="0" borderId="0" xfId="2" applyFont="1" applyAlignment="1">
      <alignment horizontal="center" vertical="center"/>
    </xf>
    <xf numFmtId="0" fontId="25" fillId="0" borderId="0" xfId="2" applyFont="1" applyAlignment="1">
      <alignment horizontal="center" vertical="center"/>
    </xf>
    <xf numFmtId="0" fontId="695" fillId="173" borderId="0" xfId="2" applyFont="1" applyFill="1" applyAlignment="1">
      <alignment horizontal="center" vertical="center"/>
    </xf>
    <xf numFmtId="0" fontId="382" fillId="0" borderId="0" xfId="2" applyFont="1" applyAlignment="1">
      <alignment horizontal="center" vertical="center"/>
    </xf>
    <xf numFmtId="0" fontId="747" fillId="0" borderId="0" xfId="2" applyFont="1" applyAlignment="1">
      <alignment horizontal="center" vertical="center"/>
    </xf>
    <xf numFmtId="0" fontId="695" fillId="174" borderId="0" xfId="2" applyFont="1" applyFill="1" applyAlignment="1">
      <alignment horizontal="center" vertical="center"/>
    </xf>
    <xf numFmtId="0" fontId="748" fillId="0" borderId="0" xfId="2" applyFont="1" applyAlignment="1">
      <alignment horizontal="center" vertical="center"/>
    </xf>
    <xf numFmtId="0" fontId="695" fillId="175" borderId="0" xfId="2" applyFont="1" applyFill="1" applyAlignment="1">
      <alignment horizontal="center" vertical="center"/>
    </xf>
    <xf numFmtId="0" fontId="749" fillId="0" borderId="0" xfId="2" applyFont="1" applyAlignment="1">
      <alignment horizontal="center" vertical="center"/>
    </xf>
    <xf numFmtId="0" fontId="695" fillId="16" borderId="0" xfId="2" applyFont="1" applyFill="1" applyAlignment="1">
      <alignment horizontal="center" vertical="center"/>
    </xf>
    <xf numFmtId="0" fontId="750" fillId="0" borderId="0" xfId="2" applyFont="1" applyAlignment="1">
      <alignment horizontal="center" vertical="center"/>
    </xf>
    <xf numFmtId="0" fontId="695" fillId="176" borderId="0" xfId="2" applyFont="1" applyFill="1" applyAlignment="1">
      <alignment horizontal="center" vertical="center"/>
    </xf>
    <xf numFmtId="0" fontId="751" fillId="2" borderId="0" xfId="2" applyFont="1" applyFill="1" applyAlignment="1">
      <alignment horizontal="center" vertical="center"/>
    </xf>
    <xf numFmtId="0" fontId="695" fillId="43" borderId="0" xfId="2" applyFont="1" applyFill="1" applyAlignment="1">
      <alignment horizontal="center" vertical="center"/>
    </xf>
    <xf numFmtId="0" fontId="752" fillId="0" borderId="0" xfId="2" applyFont="1" applyAlignment="1">
      <alignment horizontal="center" vertical="center"/>
    </xf>
    <xf numFmtId="0" fontId="695" fillId="177" borderId="0" xfId="2" applyFont="1" applyFill="1" applyAlignment="1">
      <alignment horizontal="center" vertical="center"/>
    </xf>
    <xf numFmtId="0" fontId="753" fillId="0" borderId="0" xfId="2" applyFont="1" applyAlignment="1">
      <alignment horizontal="center" vertical="center"/>
    </xf>
    <xf numFmtId="0" fontId="695" fillId="15" borderId="0" xfId="2" applyFont="1" applyFill="1" applyAlignment="1">
      <alignment horizontal="center" vertical="center"/>
    </xf>
    <xf numFmtId="0" fontId="754" fillId="0" borderId="0" xfId="2" applyFont="1" applyAlignment="1">
      <alignment horizontal="center" vertical="center"/>
    </xf>
    <xf numFmtId="0" fontId="755" fillId="0" borderId="0" xfId="2" applyFont="1" applyAlignment="1">
      <alignment horizontal="center" vertical="center"/>
    </xf>
    <xf numFmtId="0" fontId="756" fillId="0" borderId="0" xfId="2" applyFont="1" applyAlignment="1">
      <alignment horizontal="center" vertical="center"/>
    </xf>
    <xf numFmtId="0" fontId="757" fillId="0" borderId="0" xfId="2" applyFont="1" applyAlignment="1">
      <alignment horizontal="center" vertical="center"/>
    </xf>
    <xf numFmtId="0" fontId="758" fillId="0" borderId="0" xfId="2" applyFont="1" applyAlignment="1">
      <alignment horizontal="center" vertical="center"/>
    </xf>
    <xf numFmtId="0" fontId="759" fillId="0" borderId="0" xfId="2" applyFont="1" applyAlignment="1">
      <alignment horizontal="center" vertical="center"/>
    </xf>
    <xf numFmtId="0" fontId="760" fillId="0" borderId="0" xfId="2" applyFont="1" applyAlignment="1">
      <alignment horizontal="center" vertical="center"/>
    </xf>
    <xf numFmtId="0" fontId="45" fillId="0" borderId="0" xfId="2" applyFont="1" applyAlignment="1">
      <alignment vertical="center"/>
    </xf>
    <xf numFmtId="0" fontId="13" fillId="0" borderId="402" xfId="2" applyBorder="1" applyAlignment="1">
      <alignment vertical="center"/>
    </xf>
    <xf numFmtId="0" fontId="13" fillId="0" borderId="403" xfId="2" applyBorder="1" applyAlignment="1">
      <alignment vertical="center"/>
    </xf>
    <xf numFmtId="0" fontId="13" fillId="0" borderId="404" xfId="2" applyBorder="1" applyAlignment="1">
      <alignment vertical="center"/>
    </xf>
    <xf numFmtId="0" fontId="45" fillId="37" borderId="0" xfId="2" applyFont="1" applyFill="1" applyAlignment="1">
      <alignment vertical="center"/>
    </xf>
    <xf numFmtId="0" fontId="761" fillId="0" borderId="0" xfId="2" applyFont="1" applyAlignment="1">
      <alignment horizontal="center" vertical="center"/>
    </xf>
    <xf numFmtId="0" fontId="762" fillId="0" borderId="0" xfId="2" applyFont="1" applyAlignment="1">
      <alignment horizontal="center" vertical="center"/>
    </xf>
    <xf numFmtId="0" fontId="738" fillId="0" borderId="0" xfId="2" applyFont="1"/>
    <xf numFmtId="0" fontId="234" fillId="30" borderId="115" xfId="18" applyFont="1" applyFill="1" applyBorder="1" applyAlignment="1">
      <alignment horizontal="centerContinuous" vertical="center"/>
    </xf>
    <xf numFmtId="0" fontId="234" fillId="30" borderId="113" xfId="18" applyFont="1" applyFill="1" applyBorder="1" applyAlignment="1">
      <alignment horizontal="centerContinuous" vertical="center"/>
    </xf>
    <xf numFmtId="0" fontId="234" fillId="30" borderId="116" xfId="18" applyFont="1" applyFill="1" applyBorder="1" applyAlignment="1">
      <alignment horizontal="centerContinuous" vertical="center"/>
    </xf>
    <xf numFmtId="0" fontId="763" fillId="85" borderId="0" xfId="2" applyFont="1" applyFill="1" applyAlignment="1">
      <alignment horizontal="center" vertical="center"/>
    </xf>
    <xf numFmtId="0" fontId="711" fillId="2" borderId="0" xfId="2" applyFont="1" applyFill="1" applyAlignment="1">
      <alignment horizontal="centerContinuous" vertical="center" wrapText="1"/>
    </xf>
    <xf numFmtId="0" fontId="412" fillId="0" borderId="0" xfId="2" applyFont="1" applyAlignment="1">
      <alignment horizontal="centerContinuous" vertical="center" wrapText="1"/>
    </xf>
    <xf numFmtId="0" fontId="13" fillId="0" borderId="0" xfId="2" applyAlignment="1">
      <alignment horizontal="centerContinuous" vertical="center" wrapText="1"/>
    </xf>
    <xf numFmtId="0" fontId="13" fillId="0" borderId="41" xfId="2" applyBorder="1" applyAlignment="1">
      <alignment horizontal="centerContinuous" vertical="center" wrapText="1"/>
    </xf>
    <xf numFmtId="0" fontId="764" fillId="85" borderId="0" xfId="2" applyFont="1" applyFill="1" applyAlignment="1">
      <alignment horizontal="center" vertical="center"/>
    </xf>
    <xf numFmtId="0" fontId="765" fillId="0" borderId="0" xfId="2" applyFont="1" applyAlignment="1">
      <alignment horizontal="center" vertical="center"/>
    </xf>
    <xf numFmtId="0" fontId="765" fillId="0" borderId="56" xfId="2" applyFont="1" applyBorder="1" applyAlignment="1">
      <alignment horizontal="center" vertical="center"/>
    </xf>
    <xf numFmtId="0" fontId="765" fillId="0" borderId="41" xfId="2" applyFont="1" applyBorder="1" applyAlignment="1">
      <alignment horizontal="center" vertical="center"/>
    </xf>
    <xf numFmtId="0" fontId="766" fillId="0" borderId="0" xfId="2" applyFont="1" applyAlignment="1">
      <alignment horizontal="center" vertical="center"/>
    </xf>
    <xf numFmtId="0" fontId="766" fillId="0" borderId="56" xfId="2" applyFont="1" applyBorder="1" applyAlignment="1">
      <alignment horizontal="center" vertical="center"/>
    </xf>
    <xf numFmtId="0" fontId="766" fillId="0" borderId="41" xfId="2" applyFont="1" applyBorder="1" applyAlignment="1">
      <alignment horizontal="center" vertical="center"/>
    </xf>
    <xf numFmtId="0" fontId="45" fillId="0" borderId="402" xfId="2" applyFont="1" applyBorder="1" applyAlignment="1">
      <alignment vertical="center"/>
    </xf>
    <xf numFmtId="0" fontId="45" fillId="0" borderId="403" xfId="2" applyFont="1" applyBorder="1" applyAlignment="1">
      <alignment vertical="center"/>
    </xf>
    <xf numFmtId="0" fontId="767" fillId="0" borderId="404" xfId="2" applyFont="1" applyBorder="1" applyAlignment="1">
      <alignment horizontal="center" vertical="center"/>
    </xf>
    <xf numFmtId="0" fontId="13" fillId="37" borderId="0" xfId="2" applyFill="1" applyAlignment="1">
      <alignment vertical="center"/>
    </xf>
    <xf numFmtId="0" fontId="45" fillId="0" borderId="404" xfId="2" applyFont="1" applyBorder="1" applyAlignment="1">
      <alignment vertical="center"/>
    </xf>
    <xf numFmtId="0" fontId="235" fillId="15" borderId="115" xfId="18" applyFont="1" applyFill="1" applyBorder="1" applyAlignment="1">
      <alignment horizontal="centerContinuous" vertical="center"/>
    </xf>
    <xf numFmtId="0" fontId="235" fillId="15" borderId="113" xfId="18" applyFont="1" applyFill="1" applyBorder="1" applyAlignment="1">
      <alignment horizontal="centerContinuous" vertical="center"/>
    </xf>
    <xf numFmtId="0" fontId="235" fillId="15" borderId="116" xfId="18" applyFont="1" applyFill="1" applyBorder="1" applyAlignment="1">
      <alignment horizontal="centerContinuous" vertical="center"/>
    </xf>
    <xf numFmtId="0" fontId="768" fillId="85" borderId="0" xfId="2" applyFont="1" applyFill="1" applyAlignment="1">
      <alignment horizontal="center" vertical="center"/>
    </xf>
    <xf numFmtId="0" fontId="769" fillId="85" borderId="0" xfId="2" applyFont="1" applyFill="1" applyAlignment="1">
      <alignment horizontal="center" vertical="center"/>
    </xf>
    <xf numFmtId="0" fontId="770" fillId="0" borderId="0" xfId="2" applyFont="1" applyAlignment="1">
      <alignment horizontal="center" vertical="center"/>
    </xf>
    <xf numFmtId="0" fontId="771" fillId="0" borderId="56" xfId="2" applyFont="1" applyBorder="1" applyAlignment="1">
      <alignment horizontal="center" vertical="center"/>
    </xf>
    <xf numFmtId="0" fontId="771" fillId="0" borderId="0" xfId="2" applyFont="1" applyAlignment="1">
      <alignment horizontal="center" vertical="center"/>
    </xf>
    <xf numFmtId="0" fontId="771" fillId="0" borderId="41" xfId="2" applyFont="1" applyBorder="1" applyAlignment="1">
      <alignment horizontal="center" vertical="center"/>
    </xf>
    <xf numFmtId="0" fontId="772" fillId="0" borderId="0" xfId="2" applyFont="1" applyAlignment="1">
      <alignment horizontal="center" vertical="center"/>
    </xf>
    <xf numFmtId="0" fontId="772" fillId="0" borderId="56" xfId="2" applyFont="1" applyBorder="1" applyAlignment="1">
      <alignment horizontal="center" vertical="center"/>
    </xf>
    <xf numFmtId="0" fontId="772" fillId="0" borderId="41" xfId="2" applyFont="1" applyBorder="1" applyAlignment="1">
      <alignment horizontal="center" vertical="center"/>
    </xf>
    <xf numFmtId="0" fontId="474" fillId="178" borderId="0" xfId="25" applyFont="1" applyFill="1" applyAlignment="1">
      <alignment vertical="center"/>
    </xf>
    <xf numFmtId="0" fontId="773" fillId="178" borderId="0" xfId="25" applyFont="1" applyFill="1" applyAlignment="1">
      <alignment vertical="center"/>
    </xf>
    <xf numFmtId="0" fontId="774" fillId="178" borderId="0" xfId="25" applyFont="1" applyFill="1" applyAlignment="1">
      <alignment vertical="center"/>
    </xf>
    <xf numFmtId="0" fontId="399" fillId="178" borderId="0" xfId="25" applyFont="1" applyFill="1" applyAlignment="1">
      <alignment vertical="center"/>
    </xf>
    <xf numFmtId="0" fontId="328" fillId="2" borderId="0" xfId="25" applyFont="1" applyFill="1" applyAlignment="1">
      <alignment horizontal="center" vertical="center"/>
    </xf>
    <xf numFmtId="0" fontId="775" fillId="2" borderId="0" xfId="25" applyFont="1" applyFill="1" applyAlignment="1">
      <alignment horizontal="center" vertical="center"/>
    </xf>
    <xf numFmtId="0" fontId="193" fillId="2" borderId="0" xfId="25" applyFont="1" applyFill="1" applyAlignment="1">
      <alignment horizontal="left" vertical="center" wrapText="1"/>
    </xf>
    <xf numFmtId="0" fontId="776" fillId="2" borderId="0" xfId="25" applyFont="1" applyFill="1" applyAlignment="1">
      <alignment horizontal="left" vertical="center"/>
    </xf>
    <xf numFmtId="0" fontId="193" fillId="2" borderId="0" xfId="25" applyFont="1" applyFill="1" applyAlignment="1">
      <alignment horizontal="left" vertical="center"/>
    </xf>
    <xf numFmtId="0" fontId="378" fillId="178" borderId="0" xfId="25" applyFont="1" applyFill="1" applyAlignment="1">
      <alignment horizontal="right" vertical="center"/>
    </xf>
    <xf numFmtId="0" fontId="777" fillId="2" borderId="0" xfId="20" applyFont="1" applyFill="1" applyAlignment="1">
      <alignment horizontal="left" vertical="center"/>
    </xf>
    <xf numFmtId="0" fontId="147" fillId="2" borderId="0" xfId="20" applyFill="1" applyAlignment="1">
      <alignment horizontal="left" vertical="center"/>
    </xf>
    <xf numFmtId="0" fontId="147" fillId="2" borderId="0" xfId="20" applyFill="1"/>
    <xf numFmtId="0" fontId="778" fillId="2" borderId="0" xfId="25" applyFont="1" applyFill="1" applyAlignment="1">
      <alignment vertical="center"/>
    </xf>
    <xf numFmtId="0" fontId="345" fillId="2" borderId="0" xfId="25" applyFont="1" applyFill="1" applyAlignment="1">
      <alignment horizontal="right" vertical="center"/>
    </xf>
    <xf numFmtId="0" fontId="193" fillId="2" borderId="0" xfId="25" applyFont="1" applyFill="1" applyAlignment="1">
      <alignment horizontal="right" vertical="center" wrapText="1"/>
    </xf>
    <xf numFmtId="0" fontId="193" fillId="2" borderId="0" xfId="25" applyFont="1" applyFill="1" applyAlignment="1">
      <alignment horizontal="right"/>
    </xf>
    <xf numFmtId="0" fontId="777" fillId="2" borderId="0" xfId="20" applyFont="1" applyFill="1" applyAlignment="1">
      <alignment vertical="center"/>
    </xf>
    <xf numFmtId="0" fontId="779" fillId="2" borderId="0" xfId="25" applyFont="1" applyFill="1" applyAlignment="1">
      <alignment horizontal="right" vertical="center"/>
    </xf>
    <xf numFmtId="0" fontId="780" fillId="2" borderId="0" xfId="25" applyFont="1" applyFill="1" applyAlignment="1">
      <alignment vertical="center"/>
    </xf>
    <xf numFmtId="0" fontId="781" fillId="2" borderId="0" xfId="25" applyFont="1" applyFill="1"/>
    <xf numFmtId="0" fontId="782" fillId="2" borderId="0" xfId="25" applyFont="1" applyFill="1" applyAlignment="1">
      <alignment horizontal="center" vertical="center"/>
    </xf>
    <xf numFmtId="0" fontId="781" fillId="2" borderId="0" xfId="25" applyFont="1" applyFill="1" applyAlignment="1">
      <alignment horizontal="left" vertical="center" wrapText="1"/>
    </xf>
    <xf numFmtId="0" fontId="783" fillId="0" borderId="0" xfId="25" applyFont="1" applyAlignment="1">
      <alignment horizontal="center" vertical="center"/>
    </xf>
    <xf numFmtId="0" fontId="784" fillId="0" borderId="0" xfId="25" applyFont="1" applyAlignment="1">
      <alignment horizontal="left" vertical="center"/>
    </xf>
    <xf numFmtId="0" fontId="193" fillId="0" borderId="0" xfId="25" applyFont="1" applyAlignment="1">
      <alignment horizontal="center" vertical="center"/>
    </xf>
    <xf numFmtId="0" fontId="328" fillId="0" borderId="0" xfId="25" applyFont="1" applyAlignment="1">
      <alignment horizontal="center" vertical="center"/>
    </xf>
    <xf numFmtId="0" fontId="784" fillId="0" borderId="0" xfId="25" applyFont="1" applyAlignment="1">
      <alignment horizontal="center" vertical="center"/>
    </xf>
    <xf numFmtId="0" fontId="785" fillId="0" borderId="0" xfId="25" applyFont="1" applyAlignment="1">
      <alignment horizontal="center" vertical="center"/>
    </xf>
    <xf numFmtId="0" fontId="197" fillId="0" borderId="0" xfId="25" applyFont="1" applyAlignment="1">
      <alignment horizontal="left" vertical="center"/>
    </xf>
    <xf numFmtId="0" fontId="197" fillId="5" borderId="0" xfId="25" applyFont="1" applyFill="1" applyAlignment="1">
      <alignment horizontal="center" vertical="center"/>
    </xf>
    <xf numFmtId="0" fontId="775" fillId="0" borderId="0" xfId="25" applyFont="1" applyAlignment="1">
      <alignment horizontal="center" vertical="center"/>
    </xf>
    <xf numFmtId="0" fontId="193" fillId="0" borderId="0" xfId="25" applyFont="1" applyAlignment="1">
      <alignment horizontal="left" vertical="center" wrapText="1"/>
    </xf>
    <xf numFmtId="0" fontId="193" fillId="33" borderId="0" xfId="25" applyFont="1" applyFill="1"/>
    <xf numFmtId="0" fontId="138" fillId="33" borderId="0" xfId="25" applyFont="1" applyFill="1" applyAlignment="1">
      <alignment vertical="center"/>
    </xf>
    <xf numFmtId="0" fontId="78" fillId="33" borderId="0" xfId="25" applyFont="1" applyFill="1" applyAlignment="1">
      <alignment vertical="center"/>
    </xf>
    <xf numFmtId="0" fontId="786" fillId="33" borderId="0" xfId="20" applyFont="1" applyFill="1" applyAlignment="1">
      <alignment vertical="center"/>
    </xf>
    <xf numFmtId="0" fontId="149" fillId="33" borderId="0" xfId="25" applyFont="1" applyFill="1"/>
    <xf numFmtId="0" fontId="149" fillId="33" borderId="0" xfId="25" applyFont="1" applyFill="1" applyAlignment="1">
      <alignment vertical="center"/>
    </xf>
    <xf numFmtId="0" fontId="78" fillId="0" borderId="0" xfId="25" applyFont="1" applyAlignment="1">
      <alignment vertical="center"/>
    </xf>
    <xf numFmtId="0" fontId="90" fillId="33" borderId="0" xfId="25" applyFont="1" applyFill="1" applyAlignment="1">
      <alignment vertical="center"/>
    </xf>
    <xf numFmtId="0" fontId="787" fillId="0" borderId="0" xfId="25" applyFont="1" applyAlignment="1">
      <alignment horizontal="center" vertical="center"/>
    </xf>
    <xf numFmtId="0" fontId="101" fillId="33" borderId="0" xfId="25" applyFont="1" applyFill="1" applyAlignment="1">
      <alignment horizontal="right" vertical="center"/>
    </xf>
    <xf numFmtId="0" fontId="788" fillId="50" borderId="0" xfId="31" applyFont="1" applyFill="1" applyAlignment="1">
      <alignment vertical="center"/>
    </xf>
    <xf numFmtId="0" fontId="789" fillId="33" borderId="0" xfId="25" applyFont="1" applyFill="1" applyAlignment="1">
      <alignment horizontal="left" vertical="center"/>
    </xf>
    <xf numFmtId="0" fontId="790" fillId="33" borderId="487" xfId="25" applyFont="1" applyFill="1" applyBorder="1" applyAlignment="1">
      <alignment horizontal="center" vertical="center"/>
    </xf>
    <xf numFmtId="0" fontId="10" fillId="178" borderId="0" xfId="25" applyFont="1" applyFill="1" applyAlignment="1">
      <alignment horizontal="right" vertical="center"/>
    </xf>
    <xf numFmtId="0" fontId="147" fillId="33" borderId="0" xfId="20" applyFill="1" applyAlignment="1">
      <alignment vertical="center"/>
    </xf>
    <xf numFmtId="0" fontId="791" fillId="33" borderId="0" xfId="20" applyFont="1" applyFill="1" applyAlignment="1">
      <alignment vertical="center"/>
    </xf>
    <xf numFmtId="0" fontId="792" fillId="33" borderId="0" xfId="25" applyFont="1" applyFill="1" applyAlignment="1">
      <alignment horizontal="left" vertical="center"/>
    </xf>
    <xf numFmtId="0" fontId="78" fillId="178" borderId="0" xfId="25" applyFont="1" applyFill="1" applyAlignment="1">
      <alignment vertical="center"/>
    </xf>
    <xf numFmtId="0" fontId="794" fillId="33" borderId="0" xfId="20" applyFont="1" applyFill="1" applyAlignment="1">
      <alignment vertical="center"/>
    </xf>
    <xf numFmtId="0" fontId="13" fillId="33" borderId="0" xfId="25" applyFill="1"/>
    <xf numFmtId="0" fontId="147" fillId="33" borderId="0" xfId="20" applyFill="1"/>
    <xf numFmtId="0" fontId="13" fillId="178" borderId="0" xfId="25" applyFill="1"/>
    <xf numFmtId="0" fontId="795" fillId="33" borderId="0" xfId="20" applyFont="1" applyFill="1" applyAlignment="1">
      <alignment vertical="center"/>
    </xf>
    <xf numFmtId="0" fontId="797" fillId="50" borderId="0" xfId="31" applyFont="1" applyFill="1" applyAlignment="1">
      <alignment vertical="center"/>
    </xf>
    <xf numFmtId="0" fontId="797" fillId="50" borderId="0" xfId="31" applyFont="1" applyFill="1" applyProtection="1">
      <protection hidden="1"/>
    </xf>
    <xf numFmtId="0" fontId="798" fillId="50" borderId="0" xfId="31" applyFont="1" applyFill="1" applyAlignment="1">
      <alignment vertical="center"/>
    </xf>
    <xf numFmtId="0" fontId="345" fillId="50" borderId="0" xfId="67" applyFont="1" applyFill="1" applyAlignment="1">
      <alignment horizontal="right"/>
    </xf>
    <xf numFmtId="0" fontId="402" fillId="0" borderId="0" xfId="66" applyFont="1" applyAlignment="1">
      <alignment horizontal="center" vertical="center"/>
    </xf>
    <xf numFmtId="0" fontId="799" fillId="50" borderId="0" xfId="66" applyFont="1" applyFill="1" applyAlignment="1">
      <alignment vertical="center"/>
    </xf>
    <xf numFmtId="0" fontId="604" fillId="178" borderId="0" xfId="66" applyFont="1" applyFill="1" applyAlignment="1">
      <alignment horizontal="right" vertical="center"/>
    </xf>
    <xf numFmtId="0" fontId="20" fillId="14" borderId="0" xfId="3" applyFill="1"/>
    <xf numFmtId="0" fontId="7" fillId="0" borderId="0" xfId="66" applyAlignment="1">
      <alignment horizontal="center"/>
    </xf>
    <xf numFmtId="0" fontId="405" fillId="4" borderId="589" xfId="26" applyFont="1" applyFill="1" applyBorder="1" applyAlignment="1">
      <alignment vertical="center" wrapText="1"/>
    </xf>
    <xf numFmtId="0" fontId="405" fillId="7" borderId="589" xfId="26" applyFont="1" applyFill="1" applyBorder="1" applyAlignment="1">
      <alignment vertical="center" wrapText="1"/>
    </xf>
    <xf numFmtId="0" fontId="91" fillId="4" borderId="589" xfId="26" applyFont="1" applyFill="1" applyBorder="1" applyAlignment="1">
      <alignment vertical="center" wrapText="1"/>
    </xf>
    <xf numFmtId="0" fontId="405" fillId="90" borderId="589" xfId="26" applyFont="1" applyFill="1" applyBorder="1" applyAlignment="1">
      <alignment vertical="center" wrapText="1"/>
    </xf>
    <xf numFmtId="0" fontId="406" fillId="4" borderId="589" xfId="26" applyFont="1" applyFill="1" applyBorder="1" applyAlignment="1">
      <alignment vertical="center" wrapText="1"/>
    </xf>
    <xf numFmtId="0" fontId="405" fillId="120" borderId="589" xfId="26" applyFont="1" applyFill="1" applyBorder="1" applyAlignment="1">
      <alignment vertical="center" wrapText="1"/>
    </xf>
    <xf numFmtId="0" fontId="407" fillId="4" borderId="589" xfId="26" applyFont="1" applyFill="1" applyBorder="1" applyAlignment="1">
      <alignment vertical="center" wrapText="1"/>
    </xf>
    <xf numFmtId="0" fontId="610" fillId="2" borderId="0" xfId="3" applyFont="1" applyFill="1" applyAlignment="1" applyProtection="1">
      <alignment vertical="center"/>
    </xf>
    <xf numFmtId="0" fontId="610" fillId="14" borderId="0" xfId="3" applyFont="1" applyFill="1" applyAlignment="1" applyProtection="1">
      <alignment vertical="center"/>
    </xf>
    <xf numFmtId="0" fontId="405" fillId="85" borderId="589" xfId="26" applyFont="1" applyFill="1" applyBorder="1" applyAlignment="1">
      <alignment vertical="center" wrapText="1"/>
    </xf>
    <xf numFmtId="0" fontId="405" fillId="52" borderId="589" xfId="26" applyFont="1" applyFill="1" applyBorder="1" applyAlignment="1">
      <alignment vertical="center" wrapText="1"/>
    </xf>
    <xf numFmtId="0" fontId="408" fillId="4" borderId="589" xfId="26" applyFont="1" applyFill="1" applyBorder="1" applyAlignment="1">
      <alignment vertical="center" wrapText="1"/>
    </xf>
    <xf numFmtId="0" fontId="405" fillId="95" borderId="589" xfId="26" applyFont="1" applyFill="1" applyBorder="1" applyAlignment="1">
      <alignment vertical="center" wrapText="1"/>
    </xf>
    <xf numFmtId="0" fontId="409" fillId="4" borderId="589" xfId="26" applyFont="1" applyFill="1" applyBorder="1" applyAlignment="1">
      <alignment vertical="center" wrapText="1"/>
    </xf>
    <xf numFmtId="0" fontId="405" fillId="20" borderId="589" xfId="26" applyFont="1" applyFill="1" applyBorder="1" applyAlignment="1">
      <alignment vertical="center" wrapText="1"/>
    </xf>
    <xf numFmtId="0" fontId="410" fillId="4" borderId="589" xfId="26" applyFont="1" applyFill="1" applyBorder="1" applyAlignment="1">
      <alignment vertical="center" wrapText="1"/>
    </xf>
    <xf numFmtId="0" fontId="193" fillId="0" borderId="0" xfId="66" applyFont="1" applyAlignment="1">
      <alignment horizontal="left" vertical="center"/>
    </xf>
    <xf numFmtId="0" fontId="116" fillId="2" borderId="0" xfId="66" applyFont="1" applyFill="1" applyAlignment="1">
      <alignment vertical="center"/>
    </xf>
    <xf numFmtId="0" fontId="145" fillId="4" borderId="589" xfId="26" applyFont="1" applyFill="1" applyBorder="1" applyAlignment="1">
      <alignment vertical="center" wrapText="1"/>
    </xf>
    <xf numFmtId="0" fontId="405" fillId="97" borderId="589" xfId="26" applyFont="1" applyFill="1" applyBorder="1" applyAlignment="1">
      <alignment vertical="center" wrapText="1"/>
    </xf>
    <xf numFmtId="0" fontId="411" fillId="4" borderId="589" xfId="26" applyFont="1" applyFill="1" applyBorder="1" applyAlignment="1">
      <alignment vertical="center" wrapText="1"/>
    </xf>
    <xf numFmtId="0" fontId="405" fillId="38" borderId="589" xfId="26" applyFont="1" applyFill="1" applyBorder="1" applyAlignment="1">
      <alignment vertical="center" wrapText="1"/>
    </xf>
    <xf numFmtId="0" fontId="412" fillId="4" borderId="589" xfId="26" applyFont="1" applyFill="1" applyBorder="1" applyAlignment="1">
      <alignment vertical="center" wrapText="1"/>
    </xf>
    <xf numFmtId="0" fontId="405" fillId="121" borderId="589" xfId="26" applyFont="1" applyFill="1" applyBorder="1" applyAlignment="1">
      <alignment vertical="center" wrapText="1"/>
    </xf>
    <xf numFmtId="0" fontId="413" fillId="4" borderId="589" xfId="26" applyFont="1" applyFill="1" applyBorder="1" applyAlignment="1">
      <alignment vertical="center" wrapText="1"/>
    </xf>
    <xf numFmtId="0" fontId="57" fillId="14" borderId="0" xfId="3" applyFont="1" applyFill="1" applyAlignment="1" applyProtection="1">
      <alignment vertical="center"/>
    </xf>
    <xf numFmtId="0" fontId="405" fillId="86" borderId="589" xfId="26" applyFont="1" applyFill="1" applyBorder="1" applyAlignment="1">
      <alignment vertical="center" wrapText="1"/>
    </xf>
    <xf numFmtId="0" fontId="103" fillId="4" borderId="589" xfId="26" applyFont="1" applyFill="1" applyBorder="1" applyAlignment="1">
      <alignment vertical="center" wrapText="1"/>
    </xf>
    <xf numFmtId="0" fontId="405" fillId="98" borderId="589" xfId="26" applyFont="1" applyFill="1" applyBorder="1" applyAlignment="1">
      <alignment vertical="center" wrapText="1"/>
    </xf>
    <xf numFmtId="0" fontId="414" fillId="4" borderId="589" xfId="26" applyFont="1" applyFill="1" applyBorder="1" applyAlignment="1">
      <alignment vertical="center" wrapText="1"/>
    </xf>
    <xf numFmtId="0" fontId="405" fillId="113" borderId="589" xfId="26" applyFont="1" applyFill="1" applyBorder="1" applyAlignment="1">
      <alignment vertical="center" wrapText="1"/>
    </xf>
    <xf numFmtId="0" fontId="415" fillId="4" borderId="589" xfId="26" applyFont="1" applyFill="1" applyBorder="1" applyAlignment="1">
      <alignment vertical="center" wrapText="1"/>
    </xf>
    <xf numFmtId="0" fontId="405" fillId="122" borderId="589" xfId="26" applyFont="1" applyFill="1" applyBorder="1" applyAlignment="1">
      <alignment vertical="center" wrapText="1"/>
    </xf>
    <xf numFmtId="0" fontId="416" fillId="4" borderId="589" xfId="26" applyFont="1" applyFill="1" applyBorder="1" applyAlignment="1">
      <alignment vertical="center" wrapText="1"/>
    </xf>
    <xf numFmtId="0" fontId="405" fillId="37" borderId="589" xfId="26" applyFont="1" applyFill="1" applyBorder="1" applyAlignment="1">
      <alignment vertical="center" wrapText="1"/>
    </xf>
    <xf numFmtId="0" fontId="417" fillId="4" borderId="589" xfId="26" applyFont="1" applyFill="1" applyBorder="1" applyAlignment="1">
      <alignment vertical="center" wrapText="1"/>
    </xf>
    <xf numFmtId="0" fontId="405" fillId="9" borderId="589" xfId="26" applyFont="1" applyFill="1" applyBorder="1" applyAlignment="1">
      <alignment vertical="center" wrapText="1"/>
    </xf>
    <xf numFmtId="0" fontId="418" fillId="4" borderId="589" xfId="26" applyFont="1" applyFill="1" applyBorder="1" applyAlignment="1">
      <alignment vertical="center" wrapText="1"/>
    </xf>
    <xf numFmtId="0" fontId="405" fillId="99" borderId="589" xfId="26" applyFont="1" applyFill="1" applyBorder="1" applyAlignment="1">
      <alignment vertical="center" wrapText="1"/>
    </xf>
    <xf numFmtId="0" fontId="419" fillId="4" borderId="589" xfId="26" applyFont="1" applyFill="1" applyBorder="1" applyAlignment="1">
      <alignment vertical="center" wrapText="1"/>
    </xf>
    <xf numFmtId="0" fontId="405" fillId="123" borderId="589" xfId="26" applyFont="1" applyFill="1" applyBorder="1" applyAlignment="1">
      <alignment vertical="center" wrapText="1"/>
    </xf>
    <xf numFmtId="0" fontId="420" fillId="4" borderId="589" xfId="26" applyFont="1" applyFill="1" applyBorder="1" applyAlignment="1">
      <alignment vertical="center" wrapText="1"/>
    </xf>
    <xf numFmtId="0" fontId="405" fillId="25" borderId="589" xfId="26" applyFont="1" applyFill="1" applyBorder="1" applyAlignment="1">
      <alignment vertical="center" wrapText="1"/>
    </xf>
    <xf numFmtId="0" fontId="421" fillId="4" borderId="589" xfId="26" applyFont="1" applyFill="1" applyBorder="1" applyAlignment="1">
      <alignment vertical="center" wrapText="1"/>
    </xf>
    <xf numFmtId="0" fontId="405" fillId="124" borderId="589" xfId="26" applyFont="1" applyFill="1" applyBorder="1" applyAlignment="1">
      <alignment vertical="center" wrapText="1"/>
    </xf>
    <xf numFmtId="0" fontId="422" fillId="4" borderId="589" xfId="26" applyFont="1" applyFill="1" applyBorder="1" applyAlignment="1">
      <alignment vertical="center" wrapText="1"/>
    </xf>
    <xf numFmtId="0" fontId="405" fillId="87" borderId="589" xfId="26" applyFont="1" applyFill="1" applyBorder="1" applyAlignment="1">
      <alignment vertical="center" wrapText="1"/>
    </xf>
    <xf numFmtId="0" fontId="423" fillId="4" borderId="589" xfId="26" applyFont="1" applyFill="1" applyBorder="1" applyAlignment="1">
      <alignment vertical="center" wrapText="1"/>
    </xf>
    <xf numFmtId="0" fontId="405" fillId="100" borderId="589" xfId="26" applyFont="1" applyFill="1" applyBorder="1" applyAlignment="1">
      <alignment vertical="center" wrapText="1"/>
    </xf>
    <xf numFmtId="0" fontId="424" fillId="4" borderId="589" xfId="26" applyFont="1" applyFill="1" applyBorder="1" applyAlignment="1">
      <alignment vertical="center" wrapText="1"/>
    </xf>
    <xf numFmtId="0" fontId="405" fillId="19" borderId="589" xfId="26" applyFont="1" applyFill="1" applyBorder="1" applyAlignment="1">
      <alignment vertical="center" wrapText="1"/>
    </xf>
    <xf numFmtId="0" fontId="425" fillId="4" borderId="589" xfId="26" applyFont="1" applyFill="1" applyBorder="1" applyAlignment="1">
      <alignment vertical="center" wrapText="1"/>
    </xf>
    <xf numFmtId="0" fontId="405" fillId="125" borderId="589" xfId="26" applyFont="1" applyFill="1" applyBorder="1" applyAlignment="1">
      <alignment vertical="center" wrapText="1"/>
    </xf>
    <xf numFmtId="0" fontId="426" fillId="4" borderId="589" xfId="26" applyFont="1" applyFill="1" applyBorder="1" applyAlignment="1">
      <alignment vertical="center" wrapText="1"/>
    </xf>
    <xf numFmtId="0" fontId="405" fillId="88" borderId="589" xfId="26" applyFont="1" applyFill="1" applyBorder="1" applyAlignment="1">
      <alignment vertical="center" wrapText="1"/>
    </xf>
    <xf numFmtId="0" fontId="427" fillId="4" borderId="589" xfId="26" applyFont="1" applyFill="1" applyBorder="1" applyAlignment="1">
      <alignment vertical="center" wrapText="1"/>
    </xf>
    <xf numFmtId="0" fontId="405" fillId="101" borderId="589" xfId="26" applyFont="1" applyFill="1" applyBorder="1" applyAlignment="1">
      <alignment vertical="center" wrapText="1"/>
    </xf>
    <xf numFmtId="0" fontId="428" fillId="4" borderId="589" xfId="26" applyFont="1" applyFill="1" applyBorder="1" applyAlignment="1">
      <alignment vertical="center" wrapText="1"/>
    </xf>
    <xf numFmtId="0" fontId="405" fillId="115" borderId="589" xfId="26" applyFont="1" applyFill="1" applyBorder="1" applyAlignment="1">
      <alignment vertical="center" wrapText="1"/>
    </xf>
    <xf numFmtId="0" fontId="429" fillId="4" borderId="589" xfId="26" applyFont="1" applyFill="1" applyBorder="1" applyAlignment="1">
      <alignment vertical="center" wrapText="1"/>
    </xf>
    <xf numFmtId="0" fontId="405" fillId="126" borderId="589" xfId="26" applyFont="1" applyFill="1" applyBorder="1" applyAlignment="1">
      <alignment vertical="center" wrapText="1"/>
    </xf>
    <xf numFmtId="0" fontId="430" fillId="4" borderId="589" xfId="26" applyFont="1" applyFill="1" applyBorder="1" applyAlignment="1">
      <alignment vertical="center" wrapText="1"/>
    </xf>
    <xf numFmtId="0" fontId="405" fillId="89" borderId="589" xfId="26" applyFont="1" applyFill="1" applyBorder="1" applyAlignment="1">
      <alignment vertical="center" wrapText="1"/>
    </xf>
    <xf numFmtId="0" fontId="431" fillId="4" borderId="589" xfId="26" applyFont="1" applyFill="1" applyBorder="1" applyAlignment="1">
      <alignment vertical="center" wrapText="1"/>
    </xf>
    <xf numFmtId="0" fontId="405" fillId="102" borderId="589" xfId="26" applyFont="1" applyFill="1" applyBorder="1" applyAlignment="1">
      <alignment vertical="center" wrapText="1"/>
    </xf>
    <xf numFmtId="0" fontId="432" fillId="4" borderId="589" xfId="26" applyFont="1" applyFill="1" applyBorder="1" applyAlignment="1">
      <alignment vertical="center" wrapText="1"/>
    </xf>
    <xf numFmtId="0" fontId="405" fillId="116" borderId="589" xfId="26" applyFont="1" applyFill="1" applyBorder="1" applyAlignment="1">
      <alignment vertical="center" wrapText="1"/>
    </xf>
    <xf numFmtId="0" fontId="433" fillId="4" borderId="589" xfId="26" applyFont="1" applyFill="1" applyBorder="1" applyAlignment="1">
      <alignment vertical="center" wrapText="1"/>
    </xf>
    <xf numFmtId="0" fontId="405" fillId="127" borderId="589" xfId="26" applyFont="1" applyFill="1" applyBorder="1" applyAlignment="1">
      <alignment vertical="center" wrapText="1"/>
    </xf>
    <xf numFmtId="0" fontId="434" fillId="4" borderId="589" xfId="26" applyFont="1" applyFill="1" applyBorder="1" applyAlignment="1">
      <alignment vertical="center" wrapText="1"/>
    </xf>
    <xf numFmtId="0" fontId="405" fillId="69" borderId="589" xfId="26" applyFont="1" applyFill="1" applyBorder="1" applyAlignment="1">
      <alignment vertical="center" wrapText="1"/>
    </xf>
    <xf numFmtId="0" fontId="435" fillId="4" borderId="589" xfId="26" applyFont="1" applyFill="1" applyBorder="1" applyAlignment="1">
      <alignment vertical="center" wrapText="1"/>
    </xf>
    <xf numFmtId="0" fontId="405" fillId="36" borderId="589" xfId="26" applyFont="1" applyFill="1" applyBorder="1" applyAlignment="1">
      <alignment vertical="center" wrapText="1"/>
    </xf>
    <xf numFmtId="0" fontId="436" fillId="4" borderId="589" xfId="26" applyFont="1" applyFill="1" applyBorder="1" applyAlignment="1">
      <alignment vertical="center" wrapText="1"/>
    </xf>
    <xf numFmtId="0" fontId="405" fillId="91" borderId="589" xfId="26" applyFont="1" applyFill="1" applyBorder="1" applyAlignment="1">
      <alignment vertical="center" wrapText="1"/>
    </xf>
    <xf numFmtId="0" fontId="437" fillId="4" borderId="589" xfId="26" applyFont="1" applyFill="1" applyBorder="1" applyAlignment="1">
      <alignment vertical="center" wrapText="1"/>
    </xf>
    <xf numFmtId="0" fontId="405" fillId="92" borderId="589" xfId="26" applyFont="1" applyFill="1" applyBorder="1" applyAlignment="1">
      <alignment vertical="center" wrapText="1"/>
    </xf>
    <xf numFmtId="0" fontId="438" fillId="4" borderId="589" xfId="26" applyFont="1" applyFill="1" applyBorder="1" applyAlignment="1">
      <alignment vertical="center" wrapText="1"/>
    </xf>
    <xf numFmtId="0" fontId="405" fillId="117" borderId="589" xfId="26" applyFont="1" applyFill="1" applyBorder="1" applyAlignment="1">
      <alignment vertical="center" wrapText="1"/>
    </xf>
    <xf numFmtId="0" fontId="439" fillId="4" borderId="589" xfId="26" applyFont="1" applyFill="1" applyBorder="1" applyAlignment="1">
      <alignment vertical="center" wrapText="1"/>
    </xf>
    <xf numFmtId="0" fontId="405" fillId="129" borderId="589" xfId="26" applyFont="1" applyFill="1" applyBorder="1" applyAlignment="1">
      <alignment vertical="center" wrapText="1"/>
    </xf>
    <xf numFmtId="0" fontId="440" fillId="4" borderId="589" xfId="26" applyFont="1" applyFill="1" applyBorder="1" applyAlignment="1">
      <alignment vertical="center" wrapText="1"/>
    </xf>
    <xf numFmtId="0" fontId="405" fillId="118" borderId="589" xfId="26" applyFont="1" applyFill="1" applyBorder="1" applyAlignment="1">
      <alignment vertical="center" wrapText="1"/>
    </xf>
    <xf numFmtId="0" fontId="441" fillId="4" borderId="589" xfId="26" applyFont="1" applyFill="1" applyBorder="1" applyAlignment="1">
      <alignment vertical="center" wrapText="1"/>
    </xf>
    <xf numFmtId="0" fontId="405" fillId="70" borderId="589" xfId="26" applyFont="1" applyFill="1" applyBorder="1" applyAlignment="1">
      <alignment vertical="center" wrapText="1"/>
    </xf>
    <xf numFmtId="0" fontId="442" fillId="4" borderId="589" xfId="26" applyFont="1" applyFill="1" applyBorder="1" applyAlignment="1">
      <alignment vertical="center" wrapText="1"/>
    </xf>
    <xf numFmtId="0" fontId="405" fillId="93" borderId="589" xfId="26" applyFont="1" applyFill="1" applyBorder="1" applyAlignment="1">
      <alignment vertical="center" wrapText="1"/>
    </xf>
    <xf numFmtId="0" fontId="443" fillId="4" borderId="589" xfId="26" applyFont="1" applyFill="1" applyBorder="1" applyAlignment="1">
      <alignment vertical="center" wrapText="1"/>
    </xf>
    <xf numFmtId="0" fontId="405" fillId="119" borderId="589" xfId="26" applyFont="1" applyFill="1" applyBorder="1" applyAlignment="1">
      <alignment vertical="center" wrapText="1"/>
    </xf>
    <xf numFmtId="0" fontId="444" fillId="4" borderId="589" xfId="26" applyFont="1" applyFill="1" applyBorder="1" applyAlignment="1">
      <alignment vertical="center" wrapText="1"/>
    </xf>
    <xf numFmtId="0" fontId="405" fillId="94" borderId="589" xfId="26" applyFont="1" applyFill="1" applyBorder="1" applyAlignment="1">
      <alignment vertical="center" wrapText="1"/>
    </xf>
    <xf numFmtId="0" fontId="445" fillId="4" borderId="589" xfId="26" applyFont="1" applyFill="1" applyBorder="1" applyAlignment="1">
      <alignment vertical="center" wrapText="1"/>
    </xf>
    <xf numFmtId="0" fontId="405" fillId="6" borderId="589" xfId="26" applyFont="1" applyFill="1" applyBorder="1" applyAlignment="1">
      <alignment vertical="center" wrapText="1"/>
    </xf>
    <xf numFmtId="0" fontId="446" fillId="4" borderId="589" xfId="26" applyFont="1" applyFill="1" applyBorder="1" applyAlignment="1">
      <alignment vertical="center" wrapText="1"/>
    </xf>
    <xf numFmtId="0" fontId="405" fillId="83" borderId="589" xfId="26" applyFont="1" applyFill="1" applyBorder="1" applyAlignment="1">
      <alignment vertical="center" wrapText="1"/>
    </xf>
    <xf numFmtId="0" fontId="447" fillId="4" borderId="589" xfId="26" applyFont="1" applyFill="1" applyBorder="1" applyAlignment="1">
      <alignment vertical="center" wrapText="1"/>
    </xf>
    <xf numFmtId="0" fontId="403" fillId="4" borderId="590" xfId="26" applyFill="1" applyBorder="1" applyAlignment="1">
      <alignment vertical="center"/>
    </xf>
    <xf numFmtId="0" fontId="448" fillId="4" borderId="589" xfId="26" applyFont="1" applyFill="1" applyBorder="1" applyAlignment="1">
      <alignment vertical="center" wrapText="1"/>
    </xf>
    <xf numFmtId="0" fontId="85" fillId="4" borderId="589" xfId="26" applyFont="1" applyFill="1" applyBorder="1" applyAlignment="1">
      <alignment horizontal="center" vertical="center" wrapText="1"/>
    </xf>
    <xf numFmtId="0" fontId="93" fillId="4" borderId="589" xfId="26" applyFont="1" applyFill="1" applyBorder="1" applyAlignment="1">
      <alignment horizontal="center" vertical="center" wrapText="1"/>
    </xf>
    <xf numFmtId="0" fontId="92" fillId="4" borderId="589" xfId="26" applyFont="1" applyFill="1" applyBorder="1" applyAlignment="1">
      <alignment horizontal="center" vertical="center" wrapText="1"/>
    </xf>
    <xf numFmtId="0" fontId="449" fillId="4" borderId="589" xfId="26" applyFont="1" applyFill="1" applyBorder="1" applyAlignment="1">
      <alignment vertical="center" wrapText="1"/>
    </xf>
    <xf numFmtId="0" fontId="145" fillId="85" borderId="589" xfId="26" applyFont="1" applyFill="1" applyBorder="1" applyAlignment="1">
      <alignment vertical="center" wrapText="1"/>
    </xf>
    <xf numFmtId="0" fontId="405" fillId="4" borderId="589" xfId="26" applyFont="1" applyFill="1" applyBorder="1" applyAlignment="1">
      <alignment horizontal="right" vertical="center" wrapText="1"/>
    </xf>
    <xf numFmtId="0" fontId="290" fillId="0" borderId="0" xfId="3" applyFont="1" applyAlignment="1" applyProtection="1">
      <alignment vertical="center"/>
    </xf>
    <xf numFmtId="0" fontId="57" fillId="2" borderId="0" xfId="3" applyFont="1" applyFill="1" applyAlignment="1" applyProtection="1">
      <alignment vertical="center"/>
    </xf>
    <xf numFmtId="0" fontId="800" fillId="2" borderId="0" xfId="12" applyFont="1" applyFill="1" applyAlignment="1">
      <alignment horizontal="center" vertical="center"/>
    </xf>
    <xf numFmtId="0" fontId="405" fillId="94" borderId="589" xfId="26" applyFont="1" applyFill="1" applyBorder="1" applyAlignment="1">
      <alignment wrapText="1"/>
    </xf>
    <xf numFmtId="0" fontId="445" fillId="4" borderId="589" xfId="26" applyFont="1" applyFill="1" applyBorder="1" applyAlignment="1">
      <alignment wrapText="1"/>
    </xf>
    <xf numFmtId="0" fontId="405" fillId="4" borderId="589" xfId="26" applyFont="1" applyFill="1" applyBorder="1" applyAlignment="1">
      <alignment wrapText="1"/>
    </xf>
    <xf numFmtId="0" fontId="405" fillId="4" borderId="589" xfId="26" applyFont="1" applyFill="1" applyBorder="1" applyAlignment="1">
      <alignment horizontal="right" wrapText="1"/>
    </xf>
    <xf numFmtId="0" fontId="405" fillId="95" borderId="589" xfId="26" applyFont="1" applyFill="1" applyBorder="1" applyAlignment="1">
      <alignment wrapText="1"/>
    </xf>
    <xf numFmtId="0" fontId="409" fillId="4" borderId="589" xfId="26" applyFont="1" applyFill="1" applyBorder="1" applyAlignment="1">
      <alignment wrapText="1"/>
    </xf>
    <xf numFmtId="0" fontId="7" fillId="14" borderId="0" xfId="66" applyFill="1"/>
    <xf numFmtId="0" fontId="405" fillId="7" borderId="589" xfId="26" applyFont="1" applyFill="1" applyBorder="1" applyAlignment="1">
      <alignment wrapText="1"/>
    </xf>
    <xf numFmtId="0" fontId="91" fillId="4" borderId="589" xfId="26" applyFont="1" applyFill="1" applyBorder="1" applyAlignment="1">
      <alignment wrapText="1"/>
    </xf>
    <xf numFmtId="0" fontId="405" fillId="52" borderId="589" xfId="26" applyFont="1" applyFill="1" applyBorder="1" applyAlignment="1">
      <alignment wrapText="1"/>
    </xf>
    <xf numFmtId="0" fontId="408" fillId="4" borderId="589" xfId="26" applyFont="1" applyFill="1" applyBorder="1" applyAlignment="1">
      <alignment wrapText="1"/>
    </xf>
    <xf numFmtId="0" fontId="405" fillId="97" borderId="589" xfId="26" applyFont="1" applyFill="1" applyBorder="1" applyAlignment="1">
      <alignment wrapText="1"/>
    </xf>
    <xf numFmtId="0" fontId="411" fillId="4" borderId="589" xfId="26" applyFont="1" applyFill="1" applyBorder="1" applyAlignment="1">
      <alignment wrapText="1"/>
    </xf>
    <xf numFmtId="0" fontId="405" fillId="98" borderId="589" xfId="26" applyFont="1" applyFill="1" applyBorder="1" applyAlignment="1">
      <alignment wrapText="1"/>
    </xf>
    <xf numFmtId="0" fontId="414" fillId="4" borderId="589" xfId="26" applyFont="1" applyFill="1" applyBorder="1" applyAlignment="1">
      <alignment wrapText="1"/>
    </xf>
    <xf numFmtId="0" fontId="405" fillId="99" borderId="589" xfId="26" applyFont="1" applyFill="1" applyBorder="1" applyAlignment="1">
      <alignment wrapText="1"/>
    </xf>
    <xf numFmtId="0" fontId="419" fillId="4" borderId="589" xfId="26" applyFont="1" applyFill="1" applyBorder="1" applyAlignment="1">
      <alignment wrapText="1"/>
    </xf>
    <xf numFmtId="0" fontId="405" fillId="100" borderId="589" xfId="26" applyFont="1" applyFill="1" applyBorder="1" applyAlignment="1">
      <alignment wrapText="1"/>
    </xf>
    <xf numFmtId="0" fontId="424" fillId="4" borderId="589" xfId="26" applyFont="1" applyFill="1" applyBorder="1" applyAlignment="1">
      <alignment wrapText="1"/>
    </xf>
    <xf numFmtId="0" fontId="405" fillId="101" borderId="589" xfId="26" applyFont="1" applyFill="1" applyBorder="1" applyAlignment="1">
      <alignment wrapText="1"/>
    </xf>
    <xf numFmtId="0" fontId="428" fillId="4" borderId="589" xfId="26" applyFont="1" applyFill="1" applyBorder="1" applyAlignment="1">
      <alignment wrapText="1"/>
    </xf>
    <xf numFmtId="0" fontId="405" fillId="102" borderId="589" xfId="26" applyFont="1" applyFill="1" applyBorder="1" applyAlignment="1">
      <alignment wrapText="1"/>
    </xf>
    <xf numFmtId="0" fontId="432" fillId="4" borderId="589" xfId="26" applyFont="1" applyFill="1" applyBorder="1" applyAlignment="1">
      <alignment wrapText="1"/>
    </xf>
    <xf numFmtId="0" fontId="405" fillId="69" borderId="589" xfId="26" applyFont="1" applyFill="1" applyBorder="1" applyAlignment="1">
      <alignment wrapText="1"/>
    </xf>
    <xf numFmtId="0" fontId="435" fillId="4" borderId="589" xfId="26" applyFont="1" applyFill="1" applyBorder="1" applyAlignment="1">
      <alignment wrapText="1"/>
    </xf>
    <xf numFmtId="0" fontId="405" fillId="92" borderId="589" xfId="26" applyFont="1" applyFill="1" applyBorder="1" applyAlignment="1">
      <alignment wrapText="1"/>
    </xf>
    <xf numFmtId="0" fontId="438" fillId="4" borderId="589" xfId="26" applyFont="1" applyFill="1" applyBorder="1" applyAlignment="1">
      <alignment wrapText="1"/>
    </xf>
    <xf numFmtId="0" fontId="405" fillId="88" borderId="589" xfId="26" applyFont="1" applyFill="1" applyBorder="1" applyAlignment="1">
      <alignment wrapText="1"/>
    </xf>
    <xf numFmtId="0" fontId="427" fillId="4" borderId="589" xfId="26" applyFont="1" applyFill="1" applyBorder="1" applyAlignment="1">
      <alignment wrapText="1"/>
    </xf>
    <xf numFmtId="0" fontId="405" fillId="87" borderId="589" xfId="26" applyFont="1" applyFill="1" applyBorder="1" applyAlignment="1">
      <alignment wrapText="1"/>
    </xf>
    <xf numFmtId="0" fontId="423" fillId="4" borderId="589" xfId="26" applyFont="1" applyFill="1" applyBorder="1" applyAlignment="1">
      <alignment wrapText="1"/>
    </xf>
    <xf numFmtId="0" fontId="405" fillId="89" borderId="589" xfId="26" applyFont="1" applyFill="1" applyBorder="1" applyAlignment="1">
      <alignment wrapText="1"/>
    </xf>
    <xf numFmtId="0" fontId="431" fillId="4" borderId="589" xfId="26" applyFont="1" applyFill="1" applyBorder="1" applyAlignment="1">
      <alignment wrapText="1"/>
    </xf>
    <xf numFmtId="0" fontId="405" fillId="90" borderId="589" xfId="26" applyFont="1" applyFill="1" applyBorder="1" applyAlignment="1">
      <alignment wrapText="1"/>
    </xf>
    <xf numFmtId="0" fontId="406" fillId="4" borderId="589" xfId="26" applyFont="1" applyFill="1" applyBorder="1" applyAlignment="1">
      <alignment wrapText="1"/>
    </xf>
    <xf numFmtId="0" fontId="405" fillId="38" borderId="589" xfId="26" applyFont="1" applyFill="1" applyBorder="1" applyAlignment="1">
      <alignment wrapText="1"/>
    </xf>
    <xf numFmtId="0" fontId="412" fillId="4" borderId="589" xfId="26" applyFont="1" applyFill="1" applyBorder="1" applyAlignment="1">
      <alignment wrapText="1"/>
    </xf>
    <xf numFmtId="0" fontId="405" fillId="113" borderId="589" xfId="26" applyFont="1" applyFill="1" applyBorder="1" applyAlignment="1">
      <alignment wrapText="1"/>
    </xf>
    <xf numFmtId="0" fontId="415" fillId="4" borderId="589" xfId="26" applyFont="1" applyFill="1" applyBorder="1" applyAlignment="1">
      <alignment wrapText="1"/>
    </xf>
    <xf numFmtId="0" fontId="405" fillId="25" borderId="589" xfId="26" applyFont="1" applyFill="1" applyBorder="1" applyAlignment="1">
      <alignment wrapText="1"/>
    </xf>
    <xf numFmtId="0" fontId="421" fillId="4" borderId="589" xfId="26" applyFont="1" applyFill="1" applyBorder="1" applyAlignment="1">
      <alignment wrapText="1"/>
    </xf>
    <xf numFmtId="0" fontId="405" fillId="19" borderId="589" xfId="26" applyFont="1" applyFill="1" applyBorder="1" applyAlignment="1">
      <alignment wrapText="1"/>
    </xf>
    <xf numFmtId="0" fontId="425" fillId="4" borderId="589" xfId="26" applyFont="1" applyFill="1" applyBorder="1" applyAlignment="1">
      <alignment wrapText="1"/>
    </xf>
    <xf numFmtId="0" fontId="405" fillId="115" borderId="589" xfId="26" applyFont="1" applyFill="1" applyBorder="1" applyAlignment="1">
      <alignment wrapText="1"/>
    </xf>
    <xf numFmtId="0" fontId="429" fillId="4" borderId="589" xfId="26" applyFont="1" applyFill="1" applyBorder="1" applyAlignment="1">
      <alignment wrapText="1"/>
    </xf>
    <xf numFmtId="0" fontId="405" fillId="116" borderId="589" xfId="26" applyFont="1" applyFill="1" applyBorder="1" applyAlignment="1">
      <alignment wrapText="1"/>
    </xf>
    <xf numFmtId="0" fontId="433" fillId="4" borderId="589" xfId="26" applyFont="1" applyFill="1" applyBorder="1" applyAlignment="1">
      <alignment wrapText="1"/>
    </xf>
    <xf numFmtId="0" fontId="405" fillId="36" borderId="589" xfId="26" applyFont="1" applyFill="1" applyBorder="1" applyAlignment="1">
      <alignment wrapText="1"/>
    </xf>
    <xf numFmtId="0" fontId="436" fillId="4" borderId="589" xfId="26" applyFont="1" applyFill="1" applyBorder="1" applyAlignment="1">
      <alignment wrapText="1"/>
    </xf>
    <xf numFmtId="0" fontId="405" fillId="117" borderId="589" xfId="26" applyFont="1" applyFill="1" applyBorder="1" applyAlignment="1">
      <alignment wrapText="1"/>
    </xf>
    <xf numFmtId="0" fontId="439" fillId="4" borderId="589" xfId="26" applyFont="1" applyFill="1" applyBorder="1" applyAlignment="1">
      <alignment wrapText="1"/>
    </xf>
    <xf numFmtId="0" fontId="405" fillId="118" borderId="589" xfId="26" applyFont="1" applyFill="1" applyBorder="1" applyAlignment="1">
      <alignment wrapText="1"/>
    </xf>
    <xf numFmtId="0" fontId="441" fillId="4" borderId="589" xfId="26" applyFont="1" applyFill="1" applyBorder="1" applyAlignment="1">
      <alignment wrapText="1"/>
    </xf>
    <xf numFmtId="0" fontId="405" fillId="119" borderId="589" xfId="26" applyFont="1" applyFill="1" applyBorder="1" applyAlignment="1">
      <alignment wrapText="1"/>
    </xf>
    <xf numFmtId="0" fontId="444" fillId="4" borderId="589" xfId="26" applyFont="1" applyFill="1" applyBorder="1" applyAlignment="1">
      <alignment wrapText="1"/>
    </xf>
    <xf numFmtId="0" fontId="405" fillId="6" borderId="589" xfId="26" applyFont="1" applyFill="1" applyBorder="1" applyAlignment="1">
      <alignment wrapText="1"/>
    </xf>
    <xf numFmtId="0" fontId="446" fillId="4" borderId="589" xfId="26" applyFont="1" applyFill="1" applyBorder="1" applyAlignment="1">
      <alignment wrapText="1"/>
    </xf>
    <xf numFmtId="0" fontId="405" fillId="83" borderId="589" xfId="26" applyFont="1" applyFill="1" applyBorder="1" applyAlignment="1">
      <alignment wrapText="1"/>
    </xf>
    <xf numFmtId="0" fontId="447" fillId="4" borderId="589" xfId="26" applyFont="1" applyFill="1" applyBorder="1" applyAlignment="1">
      <alignment wrapText="1"/>
    </xf>
    <xf numFmtId="0" fontId="405" fillId="120" borderId="589" xfId="26" applyFont="1" applyFill="1" applyBorder="1" applyAlignment="1">
      <alignment wrapText="1"/>
    </xf>
    <xf numFmtId="0" fontId="407" fillId="4" borderId="589" xfId="26" applyFont="1" applyFill="1" applyBorder="1" applyAlignment="1">
      <alignment wrapText="1"/>
    </xf>
    <xf numFmtId="0" fontId="405" fillId="20" borderId="589" xfId="26" applyFont="1" applyFill="1" applyBorder="1" applyAlignment="1">
      <alignment wrapText="1"/>
    </xf>
    <xf numFmtId="0" fontId="410" fillId="4" borderId="589" xfId="26" applyFont="1" applyFill="1" applyBorder="1" applyAlignment="1">
      <alignment wrapText="1"/>
    </xf>
    <xf numFmtId="0" fontId="405" fillId="121" borderId="589" xfId="26" applyFont="1" applyFill="1" applyBorder="1" applyAlignment="1">
      <alignment wrapText="1"/>
    </xf>
    <xf numFmtId="0" fontId="413" fillId="4" borderId="589" xfId="26" applyFont="1" applyFill="1" applyBorder="1" applyAlignment="1">
      <alignment wrapText="1"/>
    </xf>
    <xf numFmtId="0" fontId="405" fillId="122" borderId="589" xfId="26" applyFont="1" applyFill="1" applyBorder="1" applyAlignment="1">
      <alignment wrapText="1"/>
    </xf>
    <xf numFmtId="0" fontId="416" fillId="4" borderId="589" xfId="26" applyFont="1" applyFill="1" applyBorder="1" applyAlignment="1">
      <alignment wrapText="1"/>
    </xf>
    <xf numFmtId="0" fontId="405" fillId="123" borderId="589" xfId="26" applyFont="1" applyFill="1" applyBorder="1" applyAlignment="1">
      <alignment wrapText="1"/>
    </xf>
    <xf numFmtId="0" fontId="420" fillId="4" borderId="589" xfId="26" applyFont="1" applyFill="1" applyBorder="1" applyAlignment="1">
      <alignment wrapText="1"/>
    </xf>
    <xf numFmtId="0" fontId="405" fillId="124" borderId="589" xfId="26" applyFont="1" applyFill="1" applyBorder="1" applyAlignment="1">
      <alignment wrapText="1"/>
    </xf>
    <xf numFmtId="0" fontId="422" fillId="4" borderId="589" xfId="26" applyFont="1" applyFill="1" applyBorder="1" applyAlignment="1">
      <alignment wrapText="1"/>
    </xf>
    <xf numFmtId="0" fontId="405" fillId="125" borderId="589" xfId="26" applyFont="1" applyFill="1" applyBorder="1" applyAlignment="1">
      <alignment wrapText="1"/>
    </xf>
    <xf numFmtId="0" fontId="426" fillId="4" borderId="589" xfId="26" applyFont="1" applyFill="1" applyBorder="1" applyAlignment="1">
      <alignment wrapText="1"/>
    </xf>
    <xf numFmtId="0" fontId="405" fillId="126" borderId="589" xfId="26" applyFont="1" applyFill="1" applyBorder="1" applyAlignment="1">
      <alignment wrapText="1"/>
    </xf>
    <xf numFmtId="0" fontId="430" fillId="4" borderId="589" xfId="26" applyFont="1" applyFill="1" applyBorder="1" applyAlignment="1">
      <alignment wrapText="1"/>
    </xf>
    <xf numFmtId="0" fontId="405" fillId="127" borderId="589" xfId="26" applyFont="1" applyFill="1" applyBorder="1" applyAlignment="1">
      <alignment wrapText="1"/>
    </xf>
    <xf numFmtId="0" fontId="434" fillId="4" borderId="589" xfId="26" applyFont="1" applyFill="1" applyBorder="1" applyAlignment="1">
      <alignment wrapText="1"/>
    </xf>
    <xf numFmtId="0" fontId="405" fillId="129" borderId="589" xfId="26" applyFont="1" applyFill="1" applyBorder="1" applyAlignment="1">
      <alignment wrapText="1"/>
    </xf>
    <xf numFmtId="0" fontId="440" fillId="4" borderId="589" xfId="26" applyFont="1" applyFill="1" applyBorder="1" applyAlignment="1">
      <alignment wrapText="1"/>
    </xf>
    <xf numFmtId="0" fontId="405" fillId="70" borderId="589" xfId="26" applyFont="1" applyFill="1" applyBorder="1" applyAlignment="1">
      <alignment wrapText="1"/>
    </xf>
    <xf numFmtId="0" fontId="442" fillId="4" borderId="589" xfId="26" applyFont="1" applyFill="1" applyBorder="1" applyAlignment="1">
      <alignment wrapText="1"/>
    </xf>
    <xf numFmtId="0" fontId="0" fillId="2" borderId="0" xfId="0" applyFill="1" applyAlignment="1">
      <alignment horizontal="center" vertical="center" wrapText="1"/>
    </xf>
    <xf numFmtId="172" fontId="13" fillId="50" borderId="0" xfId="31" applyNumberFormat="1" applyFill="1" applyAlignment="1">
      <alignment vertical="center"/>
    </xf>
    <xf numFmtId="0" fontId="801" fillId="2" borderId="0" xfId="73" applyFont="1" applyFill="1" applyAlignment="1">
      <alignment horizontal="center" vertical="center"/>
    </xf>
    <xf numFmtId="0" fontId="479" fillId="24" borderId="596" xfId="31" applyFont="1" applyFill="1" applyBorder="1" applyAlignment="1">
      <alignment horizontal="center" vertical="center"/>
    </xf>
    <xf numFmtId="0" fontId="101" fillId="2" borderId="0" xfId="73" applyFont="1" applyFill="1" applyAlignment="1">
      <alignment horizontal="left" vertical="center"/>
    </xf>
    <xf numFmtId="0" fontId="5" fillId="0" borderId="0" xfId="0" applyFont="1"/>
    <xf numFmtId="0" fontId="802" fillId="0" borderId="0" xfId="0" applyFont="1"/>
    <xf numFmtId="235" fontId="5" fillId="0" borderId="0" xfId="0" applyNumberFormat="1" applyFont="1"/>
    <xf numFmtId="0" fontId="10" fillId="42" borderId="0" xfId="31" applyFont="1" applyFill="1" applyAlignment="1">
      <alignment horizontal="center" vertical="center"/>
    </xf>
    <xf numFmtId="0" fontId="805" fillId="2" borderId="0" xfId="0" applyFont="1" applyFill="1" applyAlignment="1">
      <alignment horizontal="center" vertical="center"/>
    </xf>
    <xf numFmtId="194" fontId="5" fillId="0" borderId="0" xfId="0" applyNumberFormat="1" applyFont="1"/>
    <xf numFmtId="212" fontId="5" fillId="0" borderId="0" xfId="0" applyNumberFormat="1" applyFont="1"/>
    <xf numFmtId="0" fontId="20" fillId="27" borderId="0" xfId="3" applyNumberFormat="1" applyFill="1" applyBorder="1" applyAlignment="1">
      <alignment horizontal="center" vertical="center"/>
    </xf>
    <xf numFmtId="207" fontId="5" fillId="0" borderId="0" xfId="0" applyNumberFormat="1" applyFont="1"/>
    <xf numFmtId="234" fontId="13" fillId="0" borderId="0" xfId="31" applyNumberFormat="1"/>
    <xf numFmtId="233" fontId="13" fillId="0" borderId="0" xfId="31" applyNumberFormat="1"/>
    <xf numFmtId="224" fontId="5" fillId="0" borderId="0" xfId="0" applyNumberFormat="1" applyFont="1"/>
    <xf numFmtId="0" fontId="0" fillId="2" borderId="12" xfId="0" applyFill="1" applyBorder="1" applyAlignment="1">
      <alignment horizontal="center" vertical="center" wrapText="1"/>
    </xf>
    <xf numFmtId="186" fontId="5" fillId="0" borderId="0" xfId="0" applyNumberFormat="1" applyFont="1"/>
    <xf numFmtId="197" fontId="13" fillId="0" borderId="0" xfId="31" applyNumberFormat="1"/>
    <xf numFmtId="200" fontId="13" fillId="0" borderId="0" xfId="31" applyNumberFormat="1"/>
    <xf numFmtId="0" fontId="5" fillId="2" borderId="0" xfId="0" applyFont="1" applyFill="1" applyAlignment="1">
      <alignment horizontal="left" vertical="center"/>
    </xf>
    <xf numFmtId="0" fontId="5" fillId="2" borderId="12" xfId="0" applyFont="1" applyFill="1" applyBorder="1" applyAlignment="1">
      <alignment horizontal="left" vertical="center"/>
    </xf>
    <xf numFmtId="195" fontId="5" fillId="0" borderId="0" xfId="0" applyNumberFormat="1" applyFont="1"/>
    <xf numFmtId="0" fontId="20" fillId="45" borderId="0" xfId="3" applyNumberFormat="1" applyFill="1" applyBorder="1" applyAlignment="1">
      <alignment horizontal="center"/>
    </xf>
    <xf numFmtId="0" fontId="5" fillId="2" borderId="0" xfId="0" applyFont="1" applyFill="1" applyAlignment="1">
      <alignment horizontal="center" vertical="top" wrapText="1"/>
    </xf>
    <xf numFmtId="0" fontId="5" fillId="2" borderId="12" xfId="0" applyFont="1" applyFill="1" applyBorder="1" applyAlignment="1">
      <alignment horizontal="center" vertical="top" wrapText="1"/>
    </xf>
    <xf numFmtId="196" fontId="13" fillId="0" borderId="0" xfId="31" applyNumberFormat="1"/>
    <xf numFmtId="202" fontId="13" fillId="0" borderId="0" xfId="31" applyNumberFormat="1"/>
    <xf numFmtId="165" fontId="5" fillId="0" borderId="0" xfId="0" applyNumberFormat="1" applyFont="1"/>
    <xf numFmtId="166" fontId="5" fillId="0" borderId="0" xfId="0" applyNumberFormat="1" applyFont="1"/>
    <xf numFmtId="183" fontId="5" fillId="0" borderId="0" xfId="0" applyNumberFormat="1" applyFont="1"/>
    <xf numFmtId="236" fontId="5" fillId="0" borderId="0" xfId="0" applyNumberFormat="1" applyFont="1"/>
    <xf numFmtId="201" fontId="13" fillId="0" borderId="0" xfId="31" applyNumberFormat="1"/>
    <xf numFmtId="208" fontId="13" fillId="0" borderId="0" xfId="31" applyNumberFormat="1"/>
    <xf numFmtId="237" fontId="5" fillId="0" borderId="0" xfId="0" applyNumberFormat="1" applyFont="1"/>
    <xf numFmtId="210" fontId="13" fillId="0" borderId="0" xfId="31" applyNumberFormat="1"/>
    <xf numFmtId="175" fontId="13" fillId="0" borderId="0" xfId="31" applyNumberFormat="1"/>
    <xf numFmtId="0" fontId="5" fillId="2" borderId="0" xfId="0" applyFont="1" applyFill="1" applyAlignment="1">
      <alignment horizontal="center" vertical="center" wrapText="1"/>
    </xf>
    <xf numFmtId="0" fontId="5" fillId="2" borderId="12" xfId="0" applyFont="1" applyFill="1" applyBorder="1" applyAlignment="1">
      <alignment horizontal="center" vertical="center" wrapText="1"/>
    </xf>
    <xf numFmtId="238" fontId="5" fillId="0" borderId="0" xfId="0" applyNumberFormat="1" applyFont="1"/>
    <xf numFmtId="0" fontId="20" fillId="179" borderId="0" xfId="3" applyFill="1" applyBorder="1" applyAlignment="1">
      <alignment horizontal="center" vertical="center"/>
    </xf>
    <xf numFmtId="0" fontId="5" fillId="2" borderId="0" xfId="0" applyFont="1" applyFill="1" applyAlignment="1">
      <alignment vertical="center"/>
    </xf>
    <xf numFmtId="0" fontId="20" fillId="2" borderId="0" xfId="3" applyFill="1" applyBorder="1" applyAlignment="1">
      <alignment horizontal="center" vertical="center"/>
    </xf>
    <xf numFmtId="0" fontId="126" fillId="2" borderId="0" xfId="0" applyFont="1" applyFill="1"/>
    <xf numFmtId="0" fontId="116" fillId="2" borderId="0" xfId="25" applyFont="1" applyFill="1"/>
    <xf numFmtId="0" fontId="0" fillId="2" borderId="412" xfId="0" applyFill="1" applyBorder="1"/>
    <xf numFmtId="0" fontId="0" fillId="2" borderId="597" xfId="0" applyFill="1" applyBorder="1"/>
    <xf numFmtId="0" fontId="78" fillId="2" borderId="0" xfId="73" applyFont="1" applyFill="1" applyAlignment="1">
      <alignment horizontal="left" vertical="center"/>
    </xf>
    <xf numFmtId="0" fontId="78" fillId="0" borderId="0" xfId="73" applyFont="1" applyAlignment="1">
      <alignment horizontal="left" vertical="center"/>
    </xf>
    <xf numFmtId="0" fontId="807" fillId="2" borderId="0" xfId="73" applyFont="1" applyFill="1" applyAlignment="1">
      <alignment horizontal="left" vertical="center"/>
    </xf>
    <xf numFmtId="0" fontId="138" fillId="2" borderId="0" xfId="73" applyFont="1" applyFill="1" applyAlignment="1">
      <alignment horizontal="left" vertical="center"/>
    </xf>
    <xf numFmtId="0" fontId="330" fillId="65" borderId="0" xfId="6" applyFont="1" applyFill="1" applyAlignment="1" applyProtection="1">
      <alignment horizontal="left" vertical="center"/>
      <protection locked="0"/>
    </xf>
    <xf numFmtId="165" fontId="808" fillId="65" borderId="0" xfId="6" applyNumberFormat="1" applyFont="1" applyFill="1" applyAlignment="1" applyProtection="1">
      <alignment horizontal="center" vertical="center"/>
      <protection locked="0"/>
    </xf>
    <xf numFmtId="0" fontId="5" fillId="2" borderId="0" xfId="0" applyFont="1" applyFill="1"/>
    <xf numFmtId="0" fontId="809" fillId="65" borderId="0" xfId="6" applyFont="1" applyFill="1" applyAlignment="1" applyProtection="1">
      <alignment horizontal="left" vertical="center"/>
      <protection locked="0"/>
    </xf>
    <xf numFmtId="0" fontId="5" fillId="2" borderId="0" xfId="0" applyFont="1" applyFill="1" applyAlignment="1">
      <alignment horizontal="center"/>
    </xf>
    <xf numFmtId="0" fontId="375" fillId="180" borderId="406" xfId="67" applyFont="1" applyFill="1" applyBorder="1" applyAlignment="1">
      <alignment vertical="center"/>
    </xf>
    <xf numFmtId="0" fontId="135" fillId="180" borderId="407" xfId="67" applyFont="1" applyFill="1" applyBorder="1" applyAlignment="1">
      <alignment horizontal="right" vertical="center"/>
    </xf>
    <xf numFmtId="0" fontId="807" fillId="2" borderId="0" xfId="0" applyFont="1" applyFill="1" applyAlignment="1">
      <alignment horizontal="left" vertical="center"/>
    </xf>
    <xf numFmtId="0" fontId="5" fillId="180" borderId="0" xfId="0" applyFont="1" applyFill="1"/>
    <xf numFmtId="0" fontId="5" fillId="180" borderId="0" xfId="0" applyFont="1" applyFill="1" applyAlignment="1">
      <alignment horizontal="right" vertical="center"/>
    </xf>
    <xf numFmtId="0" fontId="11" fillId="180" borderId="0" xfId="0" applyFont="1" applyFill="1" applyAlignment="1">
      <alignment horizontal="right" vertical="center"/>
    </xf>
    <xf numFmtId="0" fontId="11" fillId="180" borderId="0" xfId="0" applyFont="1" applyFill="1" applyAlignment="1">
      <alignment horizontal="left" vertical="center"/>
    </xf>
    <xf numFmtId="0" fontId="11" fillId="180" borderId="12" xfId="0" applyFont="1" applyFill="1" applyBorder="1"/>
    <xf numFmtId="0" fontId="810" fillId="2" borderId="0" xfId="3" applyFont="1" applyFill="1" applyAlignment="1">
      <alignment horizontal="left" vertical="center"/>
    </xf>
    <xf numFmtId="0" fontId="94" fillId="180" borderId="0" xfId="0" applyFont="1" applyFill="1" applyAlignment="1">
      <alignment horizontal="center" vertical="center"/>
    </xf>
    <xf numFmtId="1" fontId="78" fillId="181" borderId="0" xfId="9" applyNumberFormat="1" applyFont="1" applyFill="1" applyAlignment="1">
      <alignment horizontal="center" vertical="center"/>
    </xf>
    <xf numFmtId="0" fontId="78" fillId="181" borderId="145" xfId="33" applyFont="1" applyFill="1" applyBorder="1" applyAlignment="1">
      <alignment horizontal="left" vertical="center"/>
    </xf>
    <xf numFmtId="0" fontId="78" fillId="181" borderId="145" xfId="33" applyFont="1" applyFill="1" applyBorder="1" applyAlignment="1">
      <alignment horizontal="right" vertical="center"/>
    </xf>
    <xf numFmtId="1" fontId="78" fillId="181" borderId="145" xfId="9" applyNumberFormat="1" applyFont="1" applyFill="1" applyBorder="1" applyAlignment="1">
      <alignment horizontal="right" vertical="center"/>
    </xf>
    <xf numFmtId="237" fontId="9" fillId="181" borderId="145" xfId="0" applyNumberFormat="1" applyFont="1" applyFill="1" applyBorder="1" applyAlignment="1">
      <alignment horizontal="center" vertical="center"/>
    </xf>
    <xf numFmtId="0" fontId="9" fillId="181" borderId="145" xfId="0" applyFont="1" applyFill="1" applyBorder="1" applyAlignment="1">
      <alignment horizontal="right" vertical="center"/>
    </xf>
    <xf numFmtId="165" fontId="9" fillId="181" borderId="598" xfId="0" applyNumberFormat="1" applyFont="1" applyFill="1" applyBorder="1" applyAlignment="1">
      <alignment horizontal="left" vertical="center"/>
    </xf>
    <xf numFmtId="237" fontId="9" fillId="181" borderId="0" xfId="0" applyNumberFormat="1" applyFont="1" applyFill="1" applyAlignment="1">
      <alignment horizontal="center" vertical="center"/>
    </xf>
    <xf numFmtId="2" fontId="604" fillId="23" borderId="0" xfId="31" applyNumberFormat="1" applyFont="1" applyFill="1" applyAlignment="1" applyProtection="1">
      <alignment horizontal="center" vertical="center"/>
      <protection locked="0"/>
    </xf>
    <xf numFmtId="0" fontId="121" fillId="65" borderId="0" xfId="6" applyFont="1" applyFill="1" applyAlignment="1" applyProtection="1">
      <alignment vertical="center"/>
      <protection locked="0"/>
    </xf>
    <xf numFmtId="0" fontId="278" fillId="65" borderId="0" xfId="6" applyFont="1" applyFill="1" applyAlignment="1" applyProtection="1">
      <alignment vertical="center"/>
      <protection locked="0"/>
    </xf>
    <xf numFmtId="0" fontId="5" fillId="2" borderId="12" xfId="0" applyFont="1" applyFill="1" applyBorder="1"/>
    <xf numFmtId="0" fontId="9" fillId="181" borderId="0" xfId="0" applyFont="1" applyFill="1" applyAlignment="1">
      <alignment horizontal="center" vertical="center"/>
    </xf>
    <xf numFmtId="0" fontId="811" fillId="65" borderId="0" xfId="6" applyFont="1" applyFill="1" applyAlignment="1" applyProtection="1">
      <alignment horizontal="right" vertical="center"/>
      <protection locked="0"/>
    </xf>
    <xf numFmtId="165" fontId="9" fillId="181" borderId="0" xfId="0" applyNumberFormat="1" applyFont="1" applyFill="1" applyAlignment="1">
      <alignment horizontal="center" vertical="center"/>
    </xf>
    <xf numFmtId="0" fontId="193" fillId="2" borderId="0" xfId="0" applyFont="1" applyFill="1"/>
    <xf numFmtId="0" fontId="328" fillId="2" borderId="0" xfId="33" applyFont="1" applyFill="1" applyAlignment="1">
      <alignment horizontal="left" vertical="center"/>
    </xf>
    <xf numFmtId="0" fontId="813" fillId="2" borderId="0" xfId="0" applyFont="1" applyFill="1" applyAlignment="1">
      <alignment vertical="center"/>
    </xf>
    <xf numFmtId="0" fontId="807" fillId="2" borderId="0" xfId="3" applyFont="1" applyFill="1" applyBorder="1" applyAlignment="1">
      <alignment horizontal="center" vertical="center"/>
    </xf>
    <xf numFmtId="181" fontId="814" fillId="2" borderId="0" xfId="67" applyNumberFormat="1" applyFont="1" applyFill="1" applyAlignment="1" applyProtection="1">
      <alignment horizontal="center" vertical="center"/>
      <protection locked="0"/>
    </xf>
    <xf numFmtId="0" fontId="393" fillId="2" borderId="0" xfId="33" applyFont="1" applyFill="1" applyAlignment="1">
      <alignment horizontal="right" vertical="center"/>
    </xf>
    <xf numFmtId="165" fontId="271" fillId="182" borderId="0" xfId="6" applyNumberFormat="1" applyFont="1" applyFill="1" applyAlignment="1" applyProtection="1">
      <alignment horizontal="center" vertical="center"/>
      <protection locked="0"/>
    </xf>
    <xf numFmtId="0" fontId="330" fillId="66" borderId="0" xfId="6" applyFont="1" applyFill="1" applyAlignment="1" applyProtection="1">
      <alignment horizontal="left" vertical="center"/>
      <protection locked="0"/>
    </xf>
    <xf numFmtId="165" fontId="808" fillId="65" borderId="0" xfId="6" applyNumberFormat="1" applyFont="1" applyFill="1" applyAlignment="1" applyProtection="1">
      <alignment horizontal="right" vertical="center"/>
      <protection locked="0"/>
    </xf>
    <xf numFmtId="0" fontId="815" fillId="2" borderId="12" xfId="0" applyFont="1" applyFill="1" applyBorder="1" applyAlignment="1">
      <alignment horizontal="left" vertical="center"/>
    </xf>
    <xf numFmtId="0" fontId="330" fillId="65" borderId="0" xfId="6" applyFont="1" applyFill="1" applyAlignment="1" applyProtection="1">
      <alignment horizontal="right" vertical="center"/>
      <protection locked="0"/>
    </xf>
    <xf numFmtId="179" fontId="816" fillId="183" borderId="0" xfId="67" applyNumberFormat="1" applyFont="1" applyFill="1" applyAlignment="1" applyProtection="1">
      <alignment horizontal="center" vertical="center"/>
      <protection locked="0"/>
    </xf>
    <xf numFmtId="0" fontId="330" fillId="65" borderId="0" xfId="6" applyFont="1" applyFill="1" applyAlignment="1" applyProtection="1">
      <alignment horizontal="center" vertical="center"/>
      <protection locked="0"/>
    </xf>
    <xf numFmtId="0" fontId="394" fillId="2" borderId="0" xfId="6" applyFont="1" applyFill="1" applyAlignment="1" applyProtection="1">
      <alignment horizontal="right" vertical="center"/>
      <protection locked="0"/>
    </xf>
    <xf numFmtId="165" fontId="816" fillId="66" borderId="0" xfId="6" applyNumberFormat="1" applyFont="1" applyFill="1" applyAlignment="1" applyProtection="1">
      <alignment horizontal="center" vertical="center"/>
      <protection locked="0"/>
    </xf>
    <xf numFmtId="0" fontId="817" fillId="0" borderId="0" xfId="0" applyFont="1" applyAlignment="1">
      <alignment vertical="center"/>
    </xf>
    <xf numFmtId="0" fontId="815" fillId="2" borderId="12" xfId="31" applyFont="1" applyFill="1" applyBorder="1" applyAlignment="1">
      <alignment horizontal="left" vertical="center"/>
    </xf>
    <xf numFmtId="0" fontId="393" fillId="2" borderId="0" xfId="6" applyFont="1" applyFill="1" applyAlignment="1" applyProtection="1">
      <alignment horizontal="right" vertical="center"/>
      <protection locked="0"/>
    </xf>
    <xf numFmtId="1" fontId="271" fillId="184" borderId="0" xfId="31" applyNumberFormat="1" applyFont="1" applyFill="1" applyAlignment="1">
      <alignment horizontal="center" vertical="center"/>
    </xf>
    <xf numFmtId="207" fontId="101" fillId="58" borderId="0" xfId="31" applyNumberFormat="1" applyFont="1" applyFill="1" applyAlignment="1">
      <alignment vertical="center"/>
    </xf>
    <xf numFmtId="0" fontId="5" fillId="0" borderId="12" xfId="0" applyFont="1" applyBorder="1"/>
    <xf numFmtId="0" fontId="116" fillId="2" borderId="0" xfId="33" applyFont="1" applyFill="1" applyAlignment="1">
      <alignment horizontal="right" vertical="center"/>
    </xf>
    <xf numFmtId="227" fontId="116" fillId="65" borderId="0" xfId="6" applyNumberFormat="1" applyFont="1" applyFill="1" applyAlignment="1" applyProtection="1">
      <alignment horizontal="center" vertical="center"/>
      <protection locked="0"/>
    </xf>
    <xf numFmtId="0" fontId="818" fillId="2" borderId="0" xfId="0" applyFont="1" applyFill="1" applyAlignment="1">
      <alignment vertical="center"/>
    </xf>
    <xf numFmtId="227" fontId="819" fillId="65" borderId="0" xfId="6" applyNumberFormat="1" applyFont="1" applyFill="1" applyAlignment="1" applyProtection="1">
      <alignment horizontal="right" vertical="center"/>
      <protection locked="0"/>
    </xf>
    <xf numFmtId="0" fontId="820" fillId="2" borderId="12" xfId="31" applyFont="1" applyFill="1" applyBorder="1" applyAlignment="1">
      <alignment horizontal="left" vertical="center"/>
    </xf>
    <xf numFmtId="0" fontId="193" fillId="2" borderId="0" xfId="33" applyFont="1" applyFill="1" applyAlignment="1">
      <alignment horizontal="right" vertical="center"/>
    </xf>
    <xf numFmtId="0" fontId="197" fillId="2" borderId="0" xfId="9" applyFont="1" applyFill="1" applyAlignment="1">
      <alignment horizontal="center" vertical="center"/>
    </xf>
    <xf numFmtId="0" fontId="193" fillId="33" borderId="0" xfId="31" applyFont="1" applyFill="1" applyAlignment="1">
      <alignment horizontal="right" vertical="center"/>
    </xf>
    <xf numFmtId="167" fontId="193" fillId="65" borderId="0" xfId="6" applyNumberFormat="1" applyFont="1" applyFill="1" applyAlignment="1" applyProtection="1">
      <alignment horizontal="center" vertical="center"/>
      <protection locked="0"/>
    </xf>
    <xf numFmtId="0" fontId="193" fillId="2" borderId="0" xfId="31" applyFont="1" applyFill="1" applyAlignment="1">
      <alignment horizontal="right" vertical="center"/>
    </xf>
    <xf numFmtId="0" fontId="116" fillId="183" borderId="0" xfId="31" applyFont="1" applyFill="1" applyAlignment="1">
      <alignment vertical="center"/>
    </xf>
    <xf numFmtId="0" fontId="271" fillId="183" borderId="0" xfId="31" applyFont="1" applyFill="1" applyAlignment="1">
      <alignment vertical="center"/>
    </xf>
    <xf numFmtId="0" fontId="271" fillId="183" borderId="12" xfId="31" applyFont="1" applyFill="1" applyBorder="1" applyAlignment="1">
      <alignment vertical="center"/>
    </xf>
    <xf numFmtId="0" fontId="485" fillId="2" borderId="405" xfId="74" applyFont="1" applyFill="1" applyBorder="1" applyAlignment="1">
      <alignment vertical="center"/>
    </xf>
    <xf numFmtId="0" fontId="485" fillId="2" borderId="406" xfId="0" applyFont="1" applyFill="1" applyBorder="1"/>
    <xf numFmtId="0" fontId="821" fillId="2" borderId="407" xfId="0" applyFont="1" applyFill="1" applyBorder="1"/>
    <xf numFmtId="0" fontId="485" fillId="2" borderId="13" xfId="74" applyFont="1" applyFill="1" applyBorder="1" applyAlignment="1">
      <alignment vertical="center"/>
    </xf>
    <xf numFmtId="0" fontId="485" fillId="2" borderId="0" xfId="0" applyFont="1" applyFill="1"/>
    <xf numFmtId="0" fontId="821" fillId="2" borderId="12" xfId="0" applyFont="1" applyFill="1" applyBorder="1"/>
    <xf numFmtId="0" fontId="395" fillId="2" borderId="0" xfId="74" applyFont="1" applyFill="1" applyAlignment="1">
      <alignment horizontal="left" vertical="center"/>
    </xf>
    <xf numFmtId="0" fontId="811" fillId="65" borderId="0" xfId="6" applyFont="1" applyFill="1" applyAlignment="1" applyProtection="1">
      <alignment horizontal="left" vertical="center"/>
      <protection locked="0"/>
    </xf>
    <xf numFmtId="0" fontId="206" fillId="65" borderId="0" xfId="6" applyFont="1" applyFill="1" applyAlignment="1" applyProtection="1">
      <alignment horizontal="left" vertical="center"/>
      <protection locked="0"/>
    </xf>
    <xf numFmtId="0" fontId="822" fillId="2" borderId="0" xfId="33" applyFont="1" applyFill="1" applyAlignment="1">
      <alignment horizontal="left" vertical="center"/>
    </xf>
    <xf numFmtId="0" fontId="822" fillId="65" borderId="0" xfId="6" applyFont="1" applyFill="1" applyAlignment="1" applyProtection="1">
      <alignment horizontal="left" vertical="center"/>
      <protection locked="0"/>
    </xf>
    <xf numFmtId="0" fontId="101" fillId="2" borderId="481" xfId="31" applyFont="1" applyFill="1" applyBorder="1" applyAlignment="1" applyProtection="1">
      <alignment vertical="center"/>
      <protection hidden="1"/>
    </xf>
    <xf numFmtId="0" fontId="193" fillId="2" borderId="412" xfId="31" applyFont="1" applyFill="1" applyBorder="1"/>
    <xf numFmtId="0" fontId="193" fillId="2" borderId="597" xfId="31" applyFont="1" applyFill="1" applyBorder="1"/>
    <xf numFmtId="0" fontId="213" fillId="2" borderId="0" xfId="6" applyFont="1" applyFill="1" applyAlignment="1" applyProtection="1">
      <alignment horizontal="left" vertical="center"/>
      <protection locked="0"/>
    </xf>
    <xf numFmtId="0" fontId="196" fillId="8" borderId="0" xfId="31" applyFont="1" applyFill="1" applyAlignment="1">
      <alignment horizontal="center" vertical="center"/>
    </xf>
    <xf numFmtId="0" fontId="823" fillId="0" borderId="0" xfId="74" applyFont="1" applyAlignment="1">
      <alignment vertical="center"/>
    </xf>
    <xf numFmtId="0" fontId="809" fillId="66" borderId="0" xfId="6" applyFont="1" applyFill="1" applyAlignment="1" applyProtection="1">
      <alignment horizontal="left" vertical="center"/>
      <protection locked="0"/>
    </xf>
    <xf numFmtId="0" fontId="393" fillId="2" borderId="0" xfId="6" applyFont="1" applyFill="1" applyAlignment="1" applyProtection="1">
      <alignment horizontal="left" vertical="center"/>
      <protection locked="0"/>
    </xf>
    <xf numFmtId="0" fontId="196" fillId="5" borderId="0" xfId="31" applyFont="1" applyFill="1" applyAlignment="1">
      <alignment horizontal="center" vertical="center"/>
    </xf>
    <xf numFmtId="0" fontId="328" fillId="65" borderId="0" xfId="6" applyFont="1" applyFill="1" applyAlignment="1" applyProtection="1">
      <alignment horizontal="right" vertical="center"/>
      <protection locked="0"/>
    </xf>
    <xf numFmtId="0" fontId="126" fillId="2" borderId="0" xfId="0" applyFont="1" applyFill="1" applyAlignment="1">
      <alignment horizontal="left" vertical="center"/>
    </xf>
    <xf numFmtId="0" fontId="816" fillId="2" borderId="12" xfId="31" applyFont="1" applyFill="1" applyBorder="1" applyAlignment="1">
      <alignment horizontal="center" vertical="center"/>
    </xf>
    <xf numFmtId="0" fontId="197" fillId="2" borderId="412" xfId="31" applyFont="1" applyFill="1" applyBorder="1" applyAlignment="1">
      <alignment horizontal="center" vertical="center"/>
    </xf>
    <xf numFmtId="0" fontId="126" fillId="2" borderId="412" xfId="0" applyFont="1" applyFill="1" applyBorder="1" applyAlignment="1">
      <alignment horizontal="left" vertical="center"/>
    </xf>
    <xf numFmtId="0" fontId="5" fillId="2" borderId="412" xfId="0" applyFont="1" applyFill="1" applyBorder="1"/>
    <xf numFmtId="0" fontId="5" fillId="2" borderId="597" xfId="0" applyFont="1" applyFill="1" applyBorder="1"/>
    <xf numFmtId="0" fontId="821" fillId="2" borderId="0" xfId="73" applyFont="1" applyFill="1" applyAlignment="1">
      <alignment horizontal="left" vertical="center"/>
    </xf>
    <xf numFmtId="0" fontId="485" fillId="2" borderId="0" xfId="0" applyFont="1" applyFill="1" applyAlignment="1">
      <alignment horizontal="left" vertical="center"/>
    </xf>
    <xf numFmtId="0" fontId="532" fillId="185" borderId="406" xfId="67" applyFont="1" applyFill="1" applyBorder="1" applyAlignment="1">
      <alignment vertical="center"/>
    </xf>
    <xf numFmtId="0" fontId="604" fillId="185" borderId="407" xfId="67" applyFont="1" applyFill="1" applyBorder="1" applyAlignment="1">
      <alignment horizontal="right" vertical="center"/>
    </xf>
    <xf numFmtId="0" fontId="485" fillId="2" borderId="0" xfId="0" applyFont="1" applyFill="1" applyAlignment="1">
      <alignment horizontal="center"/>
    </xf>
    <xf numFmtId="0" fontId="94" fillId="2" borderId="0" xfId="0" applyFont="1" applyFill="1"/>
    <xf numFmtId="0" fontId="254" fillId="185" borderId="0" xfId="0" applyFont="1" applyFill="1"/>
    <xf numFmtId="0" fontId="254" fillId="185" borderId="0" xfId="0" applyFont="1" applyFill="1" applyAlignment="1">
      <alignment horizontal="right" vertical="center"/>
    </xf>
    <xf numFmtId="0" fontId="10" fillId="185" borderId="0" xfId="0" applyFont="1" applyFill="1" applyAlignment="1">
      <alignment horizontal="right" vertical="center"/>
    </xf>
    <xf numFmtId="0" fontId="10" fillId="185" borderId="0" xfId="0" applyFont="1" applyFill="1" applyAlignment="1">
      <alignment horizontal="left" vertical="center"/>
    </xf>
    <xf numFmtId="0" fontId="254" fillId="185" borderId="12" xfId="0" applyFont="1" applyFill="1" applyBorder="1"/>
    <xf numFmtId="0" fontId="824" fillId="2" borderId="0" xfId="31" applyFont="1" applyFill="1" applyAlignment="1">
      <alignment horizontal="center" vertical="center"/>
    </xf>
    <xf numFmtId="0" fontId="604" fillId="185" borderId="0" xfId="0" applyFont="1" applyFill="1" applyAlignment="1">
      <alignment horizontal="center" vertical="center"/>
    </xf>
    <xf numFmtId="1" fontId="604" fillId="186" borderId="0" xfId="9" applyNumberFormat="1" applyFont="1" applyFill="1" applyAlignment="1">
      <alignment horizontal="center" vertical="center"/>
    </xf>
    <xf numFmtId="0" fontId="302" fillId="186" borderId="145" xfId="33" applyFont="1" applyFill="1" applyBorder="1" applyAlignment="1">
      <alignment horizontal="left" vertical="center"/>
    </xf>
    <xf numFmtId="0" fontId="10" fillId="186" borderId="145" xfId="33" applyFont="1" applyFill="1" applyBorder="1" applyAlignment="1">
      <alignment horizontal="right" vertical="center"/>
    </xf>
    <xf numFmtId="1" fontId="10" fillId="186" borderId="145" xfId="9" applyNumberFormat="1" applyFont="1" applyFill="1" applyBorder="1" applyAlignment="1">
      <alignment horizontal="right" vertical="center"/>
    </xf>
    <xf numFmtId="237" fontId="10" fillId="186" borderId="145" xfId="0" applyNumberFormat="1" applyFont="1" applyFill="1" applyBorder="1" applyAlignment="1">
      <alignment horizontal="center" vertical="center"/>
    </xf>
    <xf numFmtId="0" fontId="302" fillId="186" borderId="145" xfId="0" applyFont="1" applyFill="1" applyBorder="1" applyAlignment="1">
      <alignment horizontal="right" vertical="center"/>
    </xf>
    <xf numFmtId="165" fontId="302" fillId="186" borderId="598" xfId="0" applyNumberFormat="1" applyFont="1" applyFill="1" applyBorder="1" applyAlignment="1">
      <alignment horizontal="left" vertical="center"/>
    </xf>
    <xf numFmtId="237" fontId="604" fillId="186" borderId="0" xfId="0" applyNumberFormat="1" applyFont="1" applyFill="1" applyAlignment="1">
      <alignment horizontal="center" vertical="center"/>
    </xf>
    <xf numFmtId="0" fontId="10" fillId="186" borderId="266" xfId="31" applyFont="1" applyFill="1" applyBorder="1" applyAlignment="1">
      <alignment horizontal="center" vertical="center" wrapText="1"/>
    </xf>
    <xf numFmtId="0" fontId="825" fillId="65" borderId="0" xfId="6" applyFont="1" applyFill="1" applyAlignment="1" applyProtection="1">
      <alignment vertical="center"/>
      <protection locked="0"/>
    </xf>
    <xf numFmtId="0" fontId="254" fillId="186" borderId="0" xfId="0" applyFont="1" applyFill="1" applyAlignment="1">
      <alignment horizontal="center" vertical="center"/>
    </xf>
    <xf numFmtId="165" fontId="254" fillId="186" borderId="0" xfId="0" applyNumberFormat="1" applyFont="1" applyFill="1" applyAlignment="1">
      <alignment horizontal="center" vertical="center"/>
    </xf>
    <xf numFmtId="0" fontId="5" fillId="0" borderId="0" xfId="0" applyFont="1" applyAlignment="1">
      <alignment horizontal="center"/>
    </xf>
    <xf numFmtId="165" fontId="271" fillId="66" borderId="0" xfId="6" applyNumberFormat="1" applyFont="1" applyFill="1" applyAlignment="1" applyProtection="1">
      <alignment horizontal="center" vertical="center"/>
      <protection locked="0"/>
    </xf>
    <xf numFmtId="0" fontId="822" fillId="65" borderId="0" xfId="6" applyFont="1" applyFill="1" applyAlignment="1" applyProtection="1">
      <alignment horizontal="right" vertical="center"/>
      <protection locked="0"/>
    </xf>
    <xf numFmtId="0" fontId="189" fillId="66" borderId="0" xfId="6" applyFont="1" applyFill="1" applyAlignment="1" applyProtection="1">
      <alignment horizontal="center" vertical="center"/>
      <protection locked="0"/>
    </xf>
    <xf numFmtId="0" fontId="820" fillId="2" borderId="0" xfId="0" applyFont="1" applyFill="1" applyAlignment="1">
      <alignment horizontal="right" vertical="top"/>
    </xf>
    <xf numFmtId="0" fontId="820" fillId="2" borderId="12" xfId="0" applyFont="1" applyFill="1" applyBorder="1" applyAlignment="1">
      <alignment horizontal="left" vertical="top"/>
    </xf>
    <xf numFmtId="0" fontId="820" fillId="2" borderId="0" xfId="0" applyFont="1" applyFill="1" applyAlignment="1">
      <alignment horizontal="center" vertical="top"/>
    </xf>
    <xf numFmtId="165" fontId="336" fillId="66" borderId="0" xfId="6" applyNumberFormat="1" applyFont="1" applyFill="1" applyAlignment="1" applyProtection="1">
      <alignment horizontal="center" vertical="center"/>
      <protection locked="0"/>
    </xf>
    <xf numFmtId="0" fontId="5" fillId="2" borderId="0" xfId="0" quotePrefix="1" applyFont="1" applyFill="1" applyAlignment="1">
      <alignment vertical="center"/>
    </xf>
    <xf numFmtId="1" fontId="271" fillId="59" borderId="0" xfId="31" applyNumberFormat="1" applyFont="1" applyFill="1" applyAlignment="1">
      <alignment horizontal="center" vertical="center"/>
    </xf>
    <xf numFmtId="207" fontId="820" fillId="58" borderId="0" xfId="31" applyNumberFormat="1" applyFont="1" applyFill="1" applyAlignment="1">
      <alignment vertical="center"/>
    </xf>
    <xf numFmtId="0" fontId="815" fillId="2" borderId="0" xfId="31" applyFont="1" applyFill="1" applyAlignment="1">
      <alignment horizontal="center" vertical="center"/>
    </xf>
    <xf numFmtId="0" fontId="816" fillId="2" borderId="0" xfId="31" applyFont="1" applyFill="1" applyAlignment="1">
      <alignment horizontal="right" vertical="center"/>
    </xf>
    <xf numFmtId="0" fontId="116" fillId="2" borderId="0" xfId="73" applyFont="1" applyFill="1" applyAlignment="1">
      <alignment horizontal="left" vertical="center"/>
    </xf>
    <xf numFmtId="0" fontId="116" fillId="2" borderId="0" xfId="73" applyFont="1" applyFill="1" applyAlignment="1">
      <alignment horizontal="center" vertical="center"/>
    </xf>
    <xf numFmtId="0" fontId="477" fillId="50" borderId="0" xfId="43" applyFont="1" applyFill="1" applyAlignment="1" applyProtection="1">
      <alignment horizontal="left" vertical="center"/>
    </xf>
    <xf numFmtId="0" fontId="225" fillId="27" borderId="0" xfId="17" applyNumberFormat="1" applyFill="1" applyBorder="1" applyAlignment="1">
      <alignment horizontal="center" vertical="center"/>
    </xf>
    <xf numFmtId="0" fontId="5" fillId="2" borderId="0" xfId="0" applyFont="1" applyFill="1" applyAlignment="1">
      <alignment vertical="top"/>
    </xf>
    <xf numFmtId="0" fontId="5" fillId="2" borderId="12" xfId="0" applyFont="1" applyFill="1" applyBorder="1" applyAlignment="1">
      <alignment vertical="top"/>
    </xf>
    <xf numFmtId="0" fontId="0" fillId="0" borderId="0" xfId="0" applyAlignment="1">
      <alignment horizontal="center"/>
    </xf>
    <xf numFmtId="0" fontId="5" fillId="2" borderId="0" xfId="0" applyFont="1" applyFill="1" applyAlignment="1">
      <alignment horizontal="left" vertical="top"/>
    </xf>
    <xf numFmtId="0" fontId="11" fillId="2" borderId="0" xfId="0" applyFont="1" applyFill="1" applyAlignment="1">
      <alignment horizontal="left"/>
    </xf>
    <xf numFmtId="0" fontId="4" fillId="2" borderId="0" xfId="0" applyFont="1" applyFill="1"/>
    <xf numFmtId="0" fontId="13" fillId="50" borderId="207" xfId="2" applyFill="1" applyBorder="1" applyAlignment="1">
      <alignment vertical="center"/>
    </xf>
    <xf numFmtId="0" fontId="500" fillId="50" borderId="207" xfId="12" applyFont="1" applyFill="1" applyBorder="1" applyAlignment="1">
      <alignment horizontal="left" vertical="center"/>
    </xf>
    <xf numFmtId="0" fontId="801" fillId="2" borderId="207" xfId="73" applyFont="1" applyFill="1" applyBorder="1" applyAlignment="1">
      <alignment horizontal="center" vertical="center"/>
    </xf>
    <xf numFmtId="0" fontId="0" fillId="0" borderId="207" xfId="0" applyBorder="1"/>
    <xf numFmtId="0" fontId="814" fillId="0" borderId="0" xfId="73" applyFont="1" applyAlignment="1">
      <alignment horizontal="center" vertical="center"/>
    </xf>
    <xf numFmtId="0" fontId="116" fillId="2" borderId="207" xfId="73" applyFont="1" applyFill="1" applyBorder="1" applyAlignment="1">
      <alignment horizontal="center" vertical="center"/>
    </xf>
    <xf numFmtId="0" fontId="0" fillId="0" borderId="601" xfId="0" applyBorder="1"/>
    <xf numFmtId="0" fontId="0" fillId="17" borderId="600" xfId="0" applyFill="1" applyBorder="1"/>
    <xf numFmtId="0" fontId="826" fillId="50" borderId="0" xfId="2" applyFont="1" applyFill="1" applyAlignment="1">
      <alignment vertical="center"/>
    </xf>
    <xf numFmtId="0" fontId="231" fillId="50" borderId="0" xfId="2" applyFont="1" applyFill="1" applyProtection="1">
      <protection hidden="1"/>
    </xf>
    <xf numFmtId="0" fontId="231" fillId="50" borderId="0" xfId="2" applyFont="1" applyFill="1" applyAlignment="1">
      <alignment vertical="center"/>
    </xf>
    <xf numFmtId="0" fontId="0" fillId="5" borderId="0" xfId="0" applyFill="1" applyAlignment="1">
      <alignment horizontal="center" vertical="center"/>
    </xf>
    <xf numFmtId="0" fontId="0" fillId="5" borderId="0" xfId="0" applyFill="1" applyAlignment="1">
      <alignment vertical="center"/>
    </xf>
    <xf numFmtId="0" fontId="114" fillId="2" borderId="0" xfId="0" applyFont="1" applyFill="1" applyAlignment="1">
      <alignment vertical="center"/>
    </xf>
    <xf numFmtId="0" fontId="0" fillId="33" borderId="0" xfId="0" applyFill="1" applyAlignment="1">
      <alignment horizontal="center" vertical="center"/>
    </xf>
    <xf numFmtId="0" fontId="71" fillId="2" borderId="0" xfId="0" applyFont="1" applyFill="1" applyAlignment="1">
      <alignment vertical="center"/>
    </xf>
    <xf numFmtId="0" fontId="225" fillId="179" borderId="0" xfId="17" applyFill="1" applyBorder="1" applyAlignment="1">
      <alignment horizontal="center" vertical="center"/>
    </xf>
    <xf numFmtId="0" fontId="11" fillId="0" borderId="0" xfId="0" applyFont="1" applyAlignment="1">
      <alignment vertical="center"/>
    </xf>
    <xf numFmtId="0" fontId="121" fillId="0" borderId="0" xfId="0" applyFont="1" applyAlignment="1">
      <alignment horizontal="right" vertical="center"/>
    </xf>
    <xf numFmtId="0" fontId="94" fillId="0" borderId="0" xfId="0" applyFont="1" applyAlignment="1">
      <alignment vertical="center"/>
    </xf>
    <xf numFmtId="0" fontId="94" fillId="0" borderId="0" xfId="0" applyFont="1" applyAlignment="1">
      <alignment horizontal="right" vertical="center"/>
    </xf>
    <xf numFmtId="0" fontId="282" fillId="2" borderId="0" xfId="73" applyFont="1" applyFill="1" applyAlignment="1">
      <alignment horizontal="center" vertical="center"/>
    </xf>
    <xf numFmtId="0" fontId="3" fillId="0" borderId="0" xfId="75"/>
    <xf numFmtId="0" fontId="3" fillId="2" borderId="0" xfId="75" applyFill="1"/>
    <xf numFmtId="49" fontId="504" fillId="2" borderId="12" xfId="25" applyNumberFormat="1" applyFont="1" applyFill="1" applyBorder="1"/>
    <xf numFmtId="0" fontId="183" fillId="2" borderId="13" xfId="25" applyFont="1" applyFill="1" applyBorder="1" applyAlignment="1">
      <alignment wrapText="1"/>
    </xf>
    <xf numFmtId="0" fontId="183" fillId="2" borderId="0" xfId="25" applyFont="1" applyFill="1" applyAlignment="1">
      <alignment wrapText="1"/>
    </xf>
    <xf numFmtId="0" fontId="183" fillId="2" borderId="12" xfId="25" applyFont="1" applyFill="1" applyBorder="1" applyAlignment="1">
      <alignment wrapText="1"/>
    </xf>
    <xf numFmtId="0" fontId="504" fillId="2" borderId="13" xfId="25" applyFont="1" applyFill="1" applyBorder="1"/>
    <xf numFmtId="0" fontId="504" fillId="2" borderId="12" xfId="25" applyFont="1" applyFill="1" applyBorder="1"/>
    <xf numFmtId="0" fontId="512" fillId="2" borderId="367" xfId="31" applyFont="1" applyFill="1" applyBorder="1" applyAlignment="1">
      <alignment horizontal="center" vertical="center"/>
    </xf>
    <xf numFmtId="0" fontId="512" fillId="2" borderId="13" xfId="31" applyFont="1" applyFill="1" applyBorder="1" applyAlignment="1">
      <alignment horizontal="center" vertical="center"/>
    </xf>
    <xf numFmtId="0" fontId="512" fillId="2" borderId="12" xfId="31" applyFont="1" applyFill="1" applyBorder="1" applyAlignment="1">
      <alignment horizontal="center" vertical="center"/>
    </xf>
    <xf numFmtId="49" fontId="90" fillId="143" borderId="12" xfId="25" applyNumberFormat="1" applyFont="1" applyFill="1" applyBorder="1" applyAlignment="1">
      <alignment horizontal="center" vertical="center" wrapText="1"/>
    </xf>
    <xf numFmtId="49" fontId="101" fillId="2" borderId="12" xfId="25" applyNumberFormat="1" applyFont="1" applyFill="1" applyBorder="1" applyAlignment="1">
      <alignment horizontal="center" vertical="center" wrapText="1"/>
    </xf>
    <xf numFmtId="0" fontId="378" fillId="146" borderId="12" xfId="25" applyFont="1" applyFill="1" applyBorder="1" applyAlignment="1">
      <alignment horizontal="left" vertical="center" wrapText="1"/>
    </xf>
    <xf numFmtId="0" fontId="513" fillId="13" borderId="603" xfId="25" applyFont="1" applyFill="1" applyBorder="1" applyAlignment="1">
      <alignment horizontal="center" vertical="center"/>
    </xf>
    <xf numFmtId="49" fontId="101" fillId="5" borderId="422" xfId="25" applyNumberFormat="1" applyFont="1" applyFill="1" applyBorder="1" applyAlignment="1">
      <alignment vertical="center" wrapText="1"/>
    </xf>
    <xf numFmtId="49" fontId="101" fillId="5" borderId="604" xfId="25" applyNumberFormat="1" applyFont="1" applyFill="1" applyBorder="1" applyAlignment="1">
      <alignment horizontal="center" vertical="center" wrapText="1"/>
    </xf>
    <xf numFmtId="49" fontId="101" fillId="5" borderId="0" xfId="25" applyNumberFormat="1" applyFont="1" applyFill="1" applyAlignment="1">
      <alignment vertical="center" wrapText="1"/>
    </xf>
    <xf numFmtId="49" fontId="101" fillId="5" borderId="12" xfId="25" applyNumberFormat="1" applyFont="1" applyFill="1" applyBorder="1" applyAlignment="1">
      <alignment horizontal="center" vertical="top" wrapText="1"/>
    </xf>
    <xf numFmtId="49" fontId="256" fillId="48" borderId="12" xfId="25" applyNumberFormat="1" applyFont="1" applyFill="1" applyBorder="1" applyAlignment="1">
      <alignment horizontal="center" vertical="center" wrapText="1"/>
    </xf>
    <xf numFmtId="49" fontId="344" fillId="145" borderId="598" xfId="25" applyNumberFormat="1" applyFont="1" applyFill="1" applyBorder="1" applyAlignment="1">
      <alignment vertical="center" wrapText="1"/>
    </xf>
    <xf numFmtId="0" fontId="522" fillId="33" borderId="12" xfId="25" applyFont="1" applyFill="1" applyBorder="1"/>
    <xf numFmtId="49" fontId="524" fillId="0" borderId="423" xfId="33" applyNumberFormat="1" applyFont="1" applyBorder="1" applyAlignment="1" applyProtection="1">
      <alignment horizontal="left" vertical="center"/>
      <protection locked="0"/>
    </xf>
    <xf numFmtId="49" fontId="524" fillId="0" borderId="0" xfId="33" applyNumberFormat="1" applyFont="1" applyAlignment="1" applyProtection="1">
      <alignment horizontal="left" vertical="center"/>
      <protection locked="0"/>
    </xf>
    <xf numFmtId="0" fontId="34" fillId="14" borderId="0" xfId="31" applyFont="1" applyFill="1" applyAlignment="1">
      <alignment horizontal="center" vertical="center"/>
    </xf>
    <xf numFmtId="0" fontId="39" fillId="14" borderId="0" xfId="31" applyFont="1" applyFill="1" applyAlignment="1">
      <alignment horizontal="left" vertical="center"/>
    </xf>
    <xf numFmtId="0" fontId="15" fillId="144" borderId="0" xfId="31" applyFont="1" applyFill="1" applyAlignment="1">
      <alignment horizontal="center" vertical="center"/>
    </xf>
    <xf numFmtId="0" fontId="39" fillId="144" borderId="0" xfId="31" applyFont="1" applyFill="1" applyAlignment="1">
      <alignment horizontal="left" vertical="center"/>
    </xf>
    <xf numFmtId="0" fontId="525" fillId="2" borderId="0" xfId="31" applyFont="1" applyFill="1" applyAlignment="1">
      <alignment horizontal="center" vertical="center"/>
    </xf>
    <xf numFmtId="0" fontId="34" fillId="145" borderId="0" xfId="31" applyFont="1" applyFill="1" applyAlignment="1">
      <alignment horizontal="right" vertical="center"/>
    </xf>
    <xf numFmtId="0" fontId="34" fillId="145" borderId="0" xfId="31" applyFont="1" applyFill="1" applyAlignment="1">
      <alignment horizontal="center" vertical="center"/>
    </xf>
    <xf numFmtId="224" fontId="34" fillId="145" borderId="12" xfId="31" applyNumberFormat="1" applyFont="1" applyFill="1" applyBorder="1" applyAlignment="1">
      <alignment horizontal="center" vertical="center"/>
    </xf>
    <xf numFmtId="0" fontId="504" fillId="14" borderId="605" xfId="25" applyFont="1" applyFill="1" applyBorder="1"/>
    <xf numFmtId="49" fontId="526" fillId="0" borderId="605" xfId="42" applyNumberFormat="1" applyFont="1" applyBorder="1" applyAlignment="1">
      <alignment horizontal="center" vertical="center"/>
    </xf>
    <xf numFmtId="0" fontId="13" fillId="50" borderId="0" xfId="31" applyFill="1" applyAlignment="1" applyProtection="1">
      <alignment vertical="center"/>
      <protection hidden="1"/>
    </xf>
    <xf numFmtId="0" fontId="277" fillId="50" borderId="0" xfId="31" applyFont="1" applyFill="1" applyAlignment="1" applyProtection="1">
      <alignment vertical="center"/>
      <protection hidden="1"/>
    </xf>
    <xf numFmtId="0" fontId="284" fillId="0" borderId="0" xfId="76" applyFont="1" applyAlignment="1">
      <alignment vertical="center"/>
    </xf>
    <xf numFmtId="0" fontId="528" fillId="50" borderId="0" xfId="31" applyFont="1" applyFill="1" applyAlignment="1">
      <alignment vertical="center"/>
    </xf>
    <xf numFmtId="0" fontId="284" fillId="50" borderId="0" xfId="76" applyFont="1" applyFill="1" applyAlignment="1">
      <alignment vertical="center"/>
    </xf>
    <xf numFmtId="0" fontId="495" fillId="0" borderId="0" xfId="31" applyFont="1" applyAlignment="1">
      <alignment vertical="center"/>
    </xf>
    <xf numFmtId="0" fontId="263" fillId="50" borderId="0" xfId="31" applyFont="1" applyFill="1" applyAlignment="1">
      <alignment vertical="center"/>
    </xf>
    <xf numFmtId="0" fontId="528" fillId="50" borderId="0" xfId="31" applyFont="1" applyFill="1" applyAlignment="1">
      <alignment horizontal="left" vertical="center"/>
    </xf>
    <xf numFmtId="0" fontId="496" fillId="50" borderId="0" xfId="31" applyFont="1" applyFill="1" applyAlignment="1">
      <alignment vertical="center"/>
    </xf>
    <xf numFmtId="0" fontId="497" fillId="50" borderId="0" xfId="31" applyFont="1" applyFill="1" applyAlignment="1">
      <alignment vertical="center"/>
    </xf>
    <xf numFmtId="0" fontId="498" fillId="50" borderId="0" xfId="31" applyFont="1" applyFill="1" applyAlignment="1">
      <alignment vertical="center"/>
    </xf>
    <xf numFmtId="0" fontId="385" fillId="50" borderId="0" xfId="31" applyFont="1" applyFill="1" applyAlignment="1">
      <alignment vertical="center"/>
    </xf>
    <xf numFmtId="0" fontId="231" fillId="50" borderId="0" xfId="31" applyFont="1" applyFill="1" applyAlignment="1">
      <alignment vertical="center"/>
    </xf>
    <xf numFmtId="0" fontId="528" fillId="50" borderId="0" xfId="76" applyFont="1" applyFill="1" applyAlignment="1">
      <alignment vertical="center"/>
    </xf>
    <xf numFmtId="0" fontId="500" fillId="50" borderId="0" xfId="76" applyFont="1" applyFill="1" applyAlignment="1">
      <alignment vertical="center"/>
    </xf>
    <xf numFmtId="0" fontId="530" fillId="50" borderId="0" xfId="31" applyFont="1" applyFill="1" applyAlignment="1">
      <alignment vertical="center"/>
    </xf>
    <xf numFmtId="0" fontId="316" fillId="50" borderId="0" xfId="31" applyFont="1" applyFill="1" applyAlignment="1">
      <alignment vertical="center"/>
    </xf>
    <xf numFmtId="0" fontId="503" fillId="50" borderId="0" xfId="31" applyFont="1" applyFill="1" applyAlignment="1" applyProtection="1">
      <alignment vertical="center"/>
      <protection hidden="1"/>
    </xf>
    <xf numFmtId="0" fontId="398" fillId="50" borderId="0" xfId="31" applyFont="1" applyFill="1" applyAlignment="1">
      <alignment vertical="center"/>
    </xf>
    <xf numFmtId="0" fontId="498" fillId="50" borderId="0" xfId="31" applyFont="1" applyFill="1" applyAlignment="1" applyProtection="1">
      <alignment vertical="center"/>
      <protection hidden="1"/>
    </xf>
    <xf numFmtId="0" fontId="496" fillId="50" borderId="0" xfId="31" applyFont="1" applyFill="1" applyAlignment="1" applyProtection="1">
      <alignment vertical="center"/>
      <protection hidden="1"/>
    </xf>
    <xf numFmtId="0" fontId="3" fillId="2" borderId="0" xfId="24" applyFont="1" applyFill="1" applyAlignment="1">
      <alignment vertical="top"/>
    </xf>
    <xf numFmtId="0" fontId="165" fillId="5" borderId="68" xfId="1" applyFont="1" applyFill="1" applyBorder="1" applyAlignment="1">
      <alignment horizontal="center" vertical="center"/>
    </xf>
    <xf numFmtId="0" fontId="117" fillId="17" borderId="0" xfId="17" applyFont="1" applyFill="1" applyAlignment="1">
      <alignment horizontal="center" vertical="center"/>
    </xf>
    <xf numFmtId="0" fontId="474" fillId="50" borderId="0" xfId="31" applyFont="1" applyFill="1" applyAlignment="1">
      <alignment horizontal="left" vertical="center"/>
    </xf>
    <xf numFmtId="0" fontId="258" fillId="3" borderId="0" xfId="31" applyFont="1" applyFill="1" applyAlignment="1">
      <alignment vertical="center"/>
    </xf>
    <xf numFmtId="0" fontId="827" fillId="3" borderId="0" xfId="31" applyFont="1" applyFill="1" applyProtection="1">
      <protection hidden="1"/>
    </xf>
    <xf numFmtId="0" fontId="828" fillId="3" borderId="0" xfId="31" applyFont="1" applyFill="1" applyProtection="1">
      <protection hidden="1"/>
    </xf>
    <xf numFmtId="0" fontId="261" fillId="3" borderId="0" xfId="77" applyFont="1" applyFill="1"/>
    <xf numFmtId="0" fontId="828" fillId="3" borderId="0" xfId="31" applyFont="1" applyFill="1" applyAlignment="1">
      <alignment vertical="center"/>
    </xf>
    <xf numFmtId="0" fontId="325" fillId="3" borderId="0" xfId="31" applyFont="1" applyFill="1" applyAlignment="1">
      <alignment vertical="center"/>
    </xf>
    <xf numFmtId="0" fontId="829" fillId="3" borderId="0" xfId="15" applyFont="1" applyFill="1" applyAlignment="1">
      <alignment horizontal="right" vertical="center"/>
    </xf>
    <xf numFmtId="0" fontId="830" fillId="3" borderId="0" xfId="3" applyFont="1" applyFill="1" applyAlignment="1">
      <alignment vertical="center"/>
    </xf>
    <xf numFmtId="0" fontId="608" fillId="3" borderId="0" xfId="31" applyFont="1" applyFill="1" applyAlignment="1">
      <alignment vertical="center"/>
    </xf>
    <xf numFmtId="0" fontId="831" fillId="3" borderId="0" xfId="0" applyFont="1" applyFill="1" applyAlignment="1">
      <alignment horizontal="right" vertical="center"/>
    </xf>
    <xf numFmtId="0" fontId="832" fillId="3" borderId="0" xfId="31" applyFont="1" applyFill="1" applyAlignment="1">
      <alignment vertical="center"/>
    </xf>
    <xf numFmtId="0" fontId="828" fillId="3" borderId="0" xfId="31" applyFont="1" applyFill="1" applyAlignment="1" applyProtection="1">
      <alignment horizontal="right" vertical="center"/>
      <protection hidden="1"/>
    </xf>
    <xf numFmtId="0" fontId="828" fillId="3" borderId="0" xfId="31" applyFont="1" applyFill="1"/>
    <xf numFmtId="0" fontId="705" fillId="3" borderId="0" xfId="31" applyFont="1" applyFill="1" applyAlignment="1" applyProtection="1">
      <alignment horizontal="right" vertical="center"/>
      <protection hidden="1"/>
    </xf>
    <xf numFmtId="0" fontId="705" fillId="3" borderId="0" xfId="31" applyFont="1" applyFill="1" applyAlignment="1" applyProtection="1">
      <alignment horizontal="center" vertical="center"/>
      <protection hidden="1"/>
    </xf>
    <xf numFmtId="0" fontId="209" fillId="26" borderId="0" xfId="1" applyFont="1" applyFill="1" applyAlignment="1">
      <alignment horizontal="center" vertical="center"/>
    </xf>
    <xf numFmtId="0" fontId="90" fillId="24" borderId="0" xfId="0" applyFont="1" applyFill="1"/>
    <xf numFmtId="174" fontId="90" fillId="24" borderId="0" xfId="0" applyNumberFormat="1" applyFont="1" applyFill="1" applyAlignment="1">
      <alignment horizontal="right" vertical="center"/>
    </xf>
    <xf numFmtId="168" fontId="278" fillId="13" borderId="0" xfId="0" applyNumberFormat="1" applyFont="1" applyFill="1" applyAlignment="1">
      <alignment horizontal="center"/>
    </xf>
    <xf numFmtId="174" fontId="183" fillId="13" borderId="0" xfId="1" applyNumberFormat="1" applyFont="1" applyFill="1" applyAlignment="1" applyProtection="1">
      <alignment vertical="center"/>
      <protection locked="0"/>
    </xf>
    <xf numFmtId="0" fontId="10" fillId="24" borderId="0" xfId="1" applyFont="1" applyFill="1" applyAlignment="1" applyProtection="1">
      <alignment horizontal="right" vertical="center"/>
      <protection locked="0"/>
    </xf>
    <xf numFmtId="174" fontId="10" fillId="24" borderId="0" xfId="1" applyNumberFormat="1" applyFont="1" applyFill="1" applyAlignment="1" applyProtection="1">
      <alignment horizontal="center" vertical="center"/>
      <protection locked="0"/>
    </xf>
    <xf numFmtId="0" fontId="10" fillId="40" borderId="0" xfId="1" applyFont="1" applyFill="1" applyAlignment="1" applyProtection="1">
      <alignment horizontal="right" vertical="center"/>
      <protection locked="0"/>
    </xf>
    <xf numFmtId="174" fontId="10" fillId="40" borderId="0" xfId="1" applyNumberFormat="1" applyFont="1" applyFill="1" applyAlignment="1" applyProtection="1">
      <alignment horizontal="center" vertical="center"/>
      <protection locked="0"/>
    </xf>
    <xf numFmtId="0" fontId="10" fillId="49" borderId="0" xfId="1" applyFont="1" applyFill="1" applyAlignment="1" applyProtection="1">
      <alignment horizontal="right" vertical="center"/>
      <protection locked="0"/>
    </xf>
    <xf numFmtId="174" fontId="10" fillId="49" borderId="0" xfId="1" applyNumberFormat="1" applyFont="1" applyFill="1" applyAlignment="1" applyProtection="1">
      <alignment horizontal="center" vertical="center"/>
      <protection locked="0"/>
    </xf>
    <xf numFmtId="0" fontId="9" fillId="2" borderId="42" xfId="0" applyFont="1" applyFill="1" applyBorder="1"/>
    <xf numFmtId="0" fontId="361" fillId="2" borderId="0" xfId="1" applyFont="1" applyFill="1" applyAlignment="1" applyProtection="1">
      <alignment horizontal="center" vertical="center"/>
      <protection locked="0"/>
    </xf>
    <xf numFmtId="0" fontId="361" fillId="2" borderId="0" xfId="1" applyFont="1" applyFill="1" applyAlignment="1" applyProtection="1">
      <alignment horizontal="left" vertical="center"/>
      <protection locked="0"/>
    </xf>
    <xf numFmtId="0" fontId="361" fillId="2" borderId="42" xfId="1" applyFont="1" applyFill="1" applyBorder="1" applyAlignment="1" applyProtection="1">
      <alignment horizontal="center" vertical="center"/>
      <protection locked="0"/>
    </xf>
    <xf numFmtId="0" fontId="361" fillId="2" borderId="608" xfId="1" applyFont="1" applyFill="1" applyBorder="1" applyAlignment="1" applyProtection="1">
      <alignment horizontal="center" vertical="center"/>
      <protection locked="0"/>
    </xf>
    <xf numFmtId="0" fontId="101" fillId="2" borderId="72" xfId="0" applyFont="1" applyFill="1" applyBorder="1" applyAlignment="1">
      <alignment horizontal="center"/>
    </xf>
    <xf numFmtId="0" fontId="9" fillId="2" borderId="72" xfId="0" applyFont="1" applyFill="1" applyBorder="1"/>
    <xf numFmtId="0" fontId="9" fillId="0" borderId="72" xfId="0" applyFont="1" applyBorder="1"/>
    <xf numFmtId="0" fontId="101" fillId="2" borderId="72" xfId="2" applyFont="1" applyFill="1" applyBorder="1" applyAlignment="1">
      <alignment horizontal="center" vertical="center"/>
    </xf>
    <xf numFmtId="0" fontId="0" fillId="0" borderId="72" xfId="0" applyBorder="1"/>
    <xf numFmtId="0" fontId="9" fillId="2" borderId="63" xfId="0" applyFont="1" applyFill="1" applyBorder="1"/>
    <xf numFmtId="0" fontId="9" fillId="2" borderId="609" xfId="0" applyFont="1" applyFill="1" applyBorder="1"/>
    <xf numFmtId="0" fontId="10" fillId="24" borderId="145" xfId="0" applyFont="1" applyFill="1" applyBorder="1" applyAlignment="1">
      <alignment horizontal="center" vertical="center"/>
    </xf>
    <xf numFmtId="0" fontId="0" fillId="0" borderId="42" xfId="0" applyBorder="1"/>
    <xf numFmtId="174" fontId="101" fillId="2" borderId="412" xfId="1" applyNumberFormat="1" applyFont="1" applyFill="1" applyBorder="1" applyAlignment="1" applyProtection="1">
      <alignment horizontal="center" vertical="center"/>
      <protection locked="0"/>
    </xf>
    <xf numFmtId="0" fontId="11" fillId="2" borderId="412" xfId="0" applyFont="1" applyFill="1" applyBorder="1" applyAlignment="1">
      <alignment horizontal="center"/>
    </xf>
    <xf numFmtId="0" fontId="361" fillId="2" borderId="610" xfId="1" applyFont="1" applyFill="1" applyBorder="1" applyAlignment="1" applyProtection="1">
      <alignment horizontal="center" vertical="center"/>
      <protection locked="0"/>
    </xf>
    <xf numFmtId="0" fontId="361" fillId="2" borderId="51" xfId="1" applyFont="1" applyFill="1" applyBorder="1" applyAlignment="1" applyProtection="1">
      <alignment horizontal="center" vertical="center"/>
      <protection locked="0"/>
    </xf>
    <xf numFmtId="0" fontId="9" fillId="2" borderId="51" xfId="0" applyFont="1" applyFill="1" applyBorder="1" applyAlignment="1">
      <alignment horizontal="center"/>
    </xf>
    <xf numFmtId="0" fontId="101" fillId="2" borderId="51" xfId="2" applyFont="1" applyFill="1" applyBorder="1" applyAlignment="1">
      <alignment horizontal="center" vertical="center"/>
    </xf>
    <xf numFmtId="174" fontId="278" fillId="2" borderId="42" xfId="0" applyNumberFormat="1" applyFont="1" applyFill="1" applyBorder="1" applyAlignment="1">
      <alignment horizontal="right" vertical="center"/>
    </xf>
    <xf numFmtId="174" fontId="278" fillId="2" borderId="42" xfId="0" applyNumberFormat="1" applyFont="1" applyFill="1" applyBorder="1" applyAlignment="1">
      <alignment horizontal="center" vertical="center"/>
    </xf>
    <xf numFmtId="0" fontId="121" fillId="2" borderId="412" xfId="0" applyFont="1" applyFill="1" applyBorder="1" applyAlignment="1">
      <alignment horizontal="center"/>
    </xf>
    <xf numFmtId="0" fontId="121" fillId="2" borderId="0" xfId="1" applyFont="1" applyFill="1" applyAlignment="1" applyProtection="1">
      <alignment horizontal="center" vertical="center"/>
      <protection locked="0"/>
    </xf>
    <xf numFmtId="0" fontId="354" fillId="5" borderId="0" xfId="31" applyFont="1" applyFill="1" applyAlignment="1">
      <alignment horizontal="center" vertical="center"/>
    </xf>
    <xf numFmtId="0" fontId="399" fillId="72" borderId="438" xfId="4" applyFont="1" applyFill="1" applyBorder="1" applyAlignment="1" applyProtection="1">
      <alignment horizontal="center" vertical="center"/>
      <protection locked="0"/>
    </xf>
    <xf numFmtId="0" fontId="399" fillId="72" borderId="0" xfId="4" applyFont="1" applyFill="1" applyAlignment="1" applyProtection="1">
      <alignment horizontal="center" vertical="center"/>
      <protection locked="0"/>
    </xf>
    <xf numFmtId="0" fontId="477" fillId="50" borderId="0" xfId="43" applyFont="1" applyFill="1" applyAlignment="1" applyProtection="1">
      <alignment horizontal="left" vertical="center"/>
    </xf>
    <xf numFmtId="0" fontId="615" fillId="5" borderId="0" xfId="17" applyFont="1" applyFill="1" applyAlignment="1">
      <alignment horizontal="left" vertical="center"/>
    </xf>
    <xf numFmtId="0" fontId="325" fillId="62" borderId="12" xfId="2" applyFont="1" applyFill="1" applyBorder="1" applyAlignment="1">
      <alignment horizontal="center" vertical="center" textRotation="90"/>
    </xf>
    <xf numFmtId="0" fontId="400" fillId="5" borderId="438" xfId="1" applyFont="1" applyFill="1" applyBorder="1" applyAlignment="1">
      <alignment horizontal="center" vertical="center"/>
    </xf>
    <xf numFmtId="0" fontId="400" fillId="5" borderId="0" xfId="1" applyFont="1" applyFill="1" applyAlignment="1">
      <alignment horizontal="center" vertical="center"/>
    </xf>
    <xf numFmtId="0" fontId="476" fillId="0" borderId="438" xfId="0" applyFont="1" applyBorder="1" applyAlignment="1">
      <alignment horizontal="center" vertical="center" wrapText="1"/>
    </xf>
    <xf numFmtId="0" fontId="476" fillId="0" borderId="0" xfId="0" applyFont="1" applyAlignment="1">
      <alignment horizontal="center" vertical="center" wrapText="1"/>
    </xf>
    <xf numFmtId="0" fontId="227" fillId="0" borderId="0" xfId="2" applyFont="1" applyAlignment="1" applyProtection="1">
      <alignment horizontal="left" vertical="center"/>
      <protection hidden="1"/>
    </xf>
    <xf numFmtId="0" fontId="558" fillId="0" borderId="289" xfId="0" applyFont="1" applyBorder="1" applyAlignment="1">
      <alignment horizontal="left" vertical="center"/>
    </xf>
    <xf numFmtId="0" fontId="558" fillId="0" borderId="0" xfId="0" applyFont="1" applyAlignment="1">
      <alignment horizontal="left" vertical="center"/>
    </xf>
    <xf numFmtId="0" fontId="219" fillId="2" borderId="406" xfId="38" applyFont="1" applyFill="1" applyBorder="1" applyAlignment="1" applyProtection="1">
      <alignment horizontal="center" vertical="center"/>
      <protection locked="0"/>
    </xf>
    <xf numFmtId="0" fontId="219" fillId="2" borderId="407" xfId="38" applyFont="1" applyFill="1" applyBorder="1" applyAlignment="1" applyProtection="1">
      <alignment horizontal="center" vertical="center"/>
      <protection locked="0"/>
    </xf>
    <xf numFmtId="0" fontId="219" fillId="2" borderId="0" xfId="38" applyFont="1" applyFill="1" applyAlignment="1" applyProtection="1">
      <alignment horizontal="center" vertical="center"/>
      <protection locked="0"/>
    </xf>
    <xf numFmtId="0" fontId="219" fillId="2" borderId="401" xfId="38" applyFont="1" applyFill="1" applyBorder="1" applyAlignment="1" applyProtection="1">
      <alignment horizontal="center" vertical="center"/>
      <protection locked="0"/>
    </xf>
    <xf numFmtId="0" fontId="233" fillId="0" borderId="327" xfId="25" applyFont="1" applyBorder="1" applyAlignment="1">
      <alignment horizontal="center" vertical="center" wrapText="1"/>
    </xf>
    <xf numFmtId="0" fontId="233" fillId="0" borderId="221" xfId="25" applyFont="1" applyBorder="1" applyAlignment="1">
      <alignment horizontal="center" vertical="center" wrapText="1"/>
    </xf>
    <xf numFmtId="0" fontId="233" fillId="0" borderId="332" xfId="25" applyFont="1" applyBorder="1" applyAlignment="1">
      <alignment horizontal="center" vertical="center" wrapText="1"/>
    </xf>
    <xf numFmtId="0" fontId="233" fillId="0" borderId="316" xfId="25" applyFont="1" applyBorder="1" applyAlignment="1">
      <alignment horizontal="center" vertical="center" wrapText="1"/>
    </xf>
    <xf numFmtId="0" fontId="233" fillId="0" borderId="0" xfId="25" applyFont="1" applyAlignment="1">
      <alignment horizontal="center" vertical="center" wrapText="1"/>
    </xf>
    <xf numFmtId="0" fontId="233" fillId="0" borderId="207" xfId="25" applyFont="1" applyBorder="1" applyAlignment="1">
      <alignment horizontal="center" vertical="center" wrapText="1"/>
    </xf>
    <xf numFmtId="0" fontId="233" fillId="0" borderId="402" xfId="25" applyFont="1" applyBorder="1" applyAlignment="1">
      <alignment horizontal="center" vertical="center" wrapText="1"/>
    </xf>
    <xf numFmtId="0" fontId="233" fillId="0" borderId="403" xfId="25" applyFont="1" applyBorder="1" applyAlignment="1">
      <alignment horizontal="center" vertical="center" wrapText="1"/>
    </xf>
    <xf numFmtId="0" fontId="233" fillId="0" borderId="404" xfId="25" applyFont="1" applyBorder="1" applyAlignment="1">
      <alignment horizontal="center" vertical="center" wrapText="1"/>
    </xf>
    <xf numFmtId="0" fontId="328" fillId="61" borderId="405" xfId="12" applyFont="1" applyFill="1" applyBorder="1" applyAlignment="1" applyProtection="1">
      <alignment horizontal="center" vertical="center" textRotation="90"/>
      <protection locked="0"/>
    </xf>
    <xf numFmtId="0" fontId="328" fillId="61" borderId="13" xfId="12" applyFont="1" applyFill="1" applyBorder="1" applyAlignment="1" applyProtection="1">
      <alignment horizontal="center" vertical="center" textRotation="90"/>
      <protection locked="0"/>
    </xf>
    <xf numFmtId="0" fontId="478" fillId="2" borderId="406" xfId="12" applyFont="1" applyFill="1" applyBorder="1" applyAlignment="1" applyProtection="1">
      <alignment horizontal="center" vertical="center"/>
      <protection hidden="1"/>
    </xf>
    <xf numFmtId="0" fontId="478" fillId="2" borderId="407" xfId="12" applyFont="1" applyFill="1" applyBorder="1" applyAlignment="1" applyProtection="1">
      <alignment horizontal="center" vertical="center"/>
      <protection hidden="1"/>
    </xf>
    <xf numFmtId="0" fontId="478" fillId="2" borderId="18" xfId="12" applyFont="1" applyFill="1" applyBorder="1" applyAlignment="1" applyProtection="1">
      <alignment horizontal="center" vertical="center"/>
      <protection hidden="1"/>
    </xf>
    <xf numFmtId="0" fontId="478" fillId="2" borderId="17" xfId="12" applyFont="1" applyFill="1" applyBorder="1" applyAlignment="1" applyProtection="1">
      <alignment horizontal="center" vertical="center"/>
      <protection hidden="1"/>
    </xf>
    <xf numFmtId="0" fontId="328" fillId="61" borderId="405" xfId="37" applyFont="1" applyFill="1" applyBorder="1" applyAlignment="1" applyProtection="1">
      <alignment horizontal="center" vertical="center" textRotation="90"/>
      <protection locked="0"/>
    </xf>
    <xf numFmtId="0" fontId="328" fillId="61" borderId="13" xfId="37" applyFont="1" applyFill="1" applyBorder="1" applyAlignment="1" applyProtection="1">
      <alignment horizontal="center" vertical="center" textRotation="90"/>
      <protection locked="0"/>
    </xf>
    <xf numFmtId="0" fontId="90" fillId="15" borderId="37" xfId="12" applyFont="1" applyFill="1" applyBorder="1" applyAlignment="1" applyProtection="1">
      <alignment horizontal="center" vertical="center"/>
      <protection hidden="1"/>
    </xf>
    <xf numFmtId="0" fontId="90" fillId="15" borderId="406" xfId="12" applyFont="1" applyFill="1" applyBorder="1" applyAlignment="1" applyProtection="1">
      <alignment horizontal="center" vertical="center"/>
      <protection hidden="1"/>
    </xf>
    <xf numFmtId="0" fontId="479" fillId="15" borderId="13" xfId="12" applyFont="1" applyFill="1" applyBorder="1" applyAlignment="1" applyProtection="1">
      <alignment horizontal="center" vertical="center" textRotation="90"/>
      <protection locked="0"/>
    </xf>
    <xf numFmtId="0" fontId="479" fillId="15" borderId="11" xfId="12" applyFont="1" applyFill="1" applyBorder="1" applyAlignment="1" applyProtection="1">
      <alignment horizontal="center" vertical="center" textRotation="90"/>
      <protection locked="0"/>
    </xf>
    <xf numFmtId="1" fontId="281" fillId="2" borderId="0" xfId="12" applyNumberFormat="1" applyFont="1" applyFill="1" applyAlignment="1" applyProtection="1">
      <alignment horizontal="center" vertical="center"/>
      <protection hidden="1"/>
    </xf>
    <xf numFmtId="0" fontId="485" fillId="2" borderId="401" xfId="12" applyFont="1" applyFill="1" applyBorder="1" applyAlignment="1" applyProtection="1">
      <alignment horizontal="center" vertical="center"/>
      <protection hidden="1"/>
    </xf>
    <xf numFmtId="0" fontId="197" fillId="2" borderId="403" xfId="12" applyFont="1" applyFill="1" applyBorder="1" applyAlignment="1" applyProtection="1">
      <alignment horizontal="center"/>
      <protection hidden="1"/>
    </xf>
    <xf numFmtId="0" fontId="193" fillId="2" borderId="0" xfId="37" applyFont="1" applyFill="1" applyAlignment="1" applyProtection="1">
      <alignment horizontal="center" vertical="center"/>
      <protection locked="0"/>
    </xf>
    <xf numFmtId="0" fontId="193" fillId="2" borderId="406" xfId="12" applyFont="1" applyFill="1" applyBorder="1" applyAlignment="1" applyProtection="1">
      <alignment horizontal="center" vertical="center"/>
      <protection locked="0"/>
    </xf>
    <xf numFmtId="0" fontId="138" fillId="8" borderId="37" xfId="12" applyFont="1" applyFill="1" applyBorder="1" applyAlignment="1" applyProtection="1">
      <alignment horizontal="center" vertical="center"/>
      <protection hidden="1"/>
    </xf>
    <xf numFmtId="0" fontId="138" fillId="8" borderId="406" xfId="12" applyFont="1" applyFill="1" applyBorder="1" applyAlignment="1" applyProtection="1">
      <alignment horizontal="center" vertical="center"/>
      <protection hidden="1"/>
    </xf>
    <xf numFmtId="0" fontId="90" fillId="15" borderId="0" xfId="12" applyFont="1" applyFill="1" applyAlignment="1" applyProtection="1">
      <alignment horizontal="center" vertical="center"/>
      <protection hidden="1"/>
    </xf>
    <xf numFmtId="0" fontId="328" fillId="8" borderId="13" xfId="12" applyFont="1" applyFill="1" applyBorder="1" applyAlignment="1" applyProtection="1">
      <alignment horizontal="center" vertical="center" textRotation="90"/>
      <protection locked="0"/>
    </xf>
    <xf numFmtId="0" fontId="328" fillId="8" borderId="11" xfId="12" applyFont="1" applyFill="1" applyBorder="1" applyAlignment="1" applyProtection="1">
      <alignment horizontal="center" vertical="center" textRotation="90"/>
      <protection locked="0"/>
    </xf>
    <xf numFmtId="0" fontId="138" fillId="8" borderId="0" xfId="12" applyFont="1" applyFill="1" applyAlignment="1" applyProtection="1">
      <alignment horizontal="center" vertical="center"/>
      <protection hidden="1"/>
    </xf>
    <xf numFmtId="169" fontId="183" fillId="14" borderId="0" xfId="12" applyNumberFormat="1" applyFont="1" applyFill="1" applyAlignment="1" applyProtection="1">
      <alignment horizontal="center" vertical="center"/>
      <protection hidden="1"/>
    </xf>
    <xf numFmtId="0" fontId="182" fillId="14" borderId="401" xfId="12" applyFont="1" applyFill="1" applyBorder="1" applyAlignment="1" applyProtection="1">
      <alignment horizontal="center" vertical="center"/>
      <protection hidden="1"/>
    </xf>
    <xf numFmtId="0" fontId="156" fillId="2" borderId="13" xfId="2" applyFont="1" applyFill="1" applyBorder="1" applyAlignment="1">
      <alignment horizontal="center" vertical="center" wrapText="1"/>
    </xf>
    <xf numFmtId="0" fontId="156" fillId="2" borderId="0" xfId="2" applyFont="1" applyFill="1" applyAlignment="1">
      <alignment horizontal="center" vertical="center" wrapText="1"/>
    </xf>
    <xf numFmtId="0" fontId="156" fillId="2" borderId="12" xfId="2" applyFont="1" applyFill="1" applyBorder="1" applyAlignment="1">
      <alignment horizontal="center" vertical="center" wrapText="1"/>
    </xf>
    <xf numFmtId="0" fontId="78" fillId="2" borderId="13" xfId="1" applyFont="1" applyFill="1" applyBorder="1" applyAlignment="1">
      <alignment horizontal="center" vertical="center" wrapText="1"/>
    </xf>
    <xf numFmtId="0" fontId="78" fillId="2" borderId="0" xfId="1" applyFont="1" applyFill="1" applyAlignment="1">
      <alignment horizontal="center" vertical="center" wrapText="1"/>
    </xf>
    <xf numFmtId="0" fontId="78" fillId="2" borderId="12" xfId="1" applyFont="1" applyFill="1" applyBorder="1" applyAlignment="1">
      <alignment horizontal="center" vertical="center" wrapText="1"/>
    </xf>
    <xf numFmtId="2" fontId="34" fillId="2" borderId="12" xfId="1" applyNumberFormat="1" applyFont="1" applyFill="1" applyBorder="1" applyAlignment="1">
      <alignment horizontal="center" vertical="center"/>
    </xf>
    <xf numFmtId="0" fontId="34" fillId="2" borderId="21" xfId="1" applyFont="1" applyFill="1" applyBorder="1" applyAlignment="1">
      <alignment horizontal="center" vertical="center"/>
    </xf>
    <xf numFmtId="0" fontId="34" fillId="2" borderId="96" xfId="1" applyFont="1" applyFill="1" applyBorder="1" applyAlignment="1">
      <alignment horizontal="center" vertical="center"/>
    </xf>
    <xf numFmtId="0" fontId="34" fillId="2" borderId="21" xfId="1" applyFont="1" applyFill="1" applyBorder="1" applyAlignment="1">
      <alignment horizontal="right" vertical="center"/>
    </xf>
    <xf numFmtId="0" fontId="34" fillId="2" borderId="96" xfId="1" applyFont="1" applyFill="1" applyBorder="1" applyAlignment="1">
      <alignment horizontal="right" vertical="center"/>
    </xf>
    <xf numFmtId="0" fontId="63" fillId="48" borderId="27" xfId="2" applyFont="1" applyFill="1" applyBorder="1" applyAlignment="1" applyProtection="1">
      <alignment horizontal="center" vertical="center"/>
      <protection hidden="1"/>
    </xf>
    <xf numFmtId="0" fontId="127" fillId="26" borderId="41" xfId="2" applyFont="1" applyFill="1" applyBorder="1" applyAlignment="1">
      <alignment horizontal="center" vertical="center" textRotation="90"/>
    </xf>
    <xf numFmtId="0" fontId="27" fillId="0" borderId="42" xfId="4" applyFont="1" applyBorder="1" applyAlignment="1" applyProtection="1">
      <alignment horizontal="center" vertical="center"/>
      <protection locked="0"/>
    </xf>
    <xf numFmtId="0" fontId="27" fillId="0" borderId="0" xfId="4" applyFont="1" applyAlignment="1" applyProtection="1">
      <alignment horizontal="center" vertical="center"/>
      <protection locked="0"/>
    </xf>
    <xf numFmtId="0" fontId="27" fillId="0" borderId="41" xfId="4" applyFont="1" applyBorder="1" applyAlignment="1" applyProtection="1">
      <alignment horizontal="center" vertical="center"/>
      <protection locked="0"/>
    </xf>
    <xf numFmtId="0" fontId="39" fillId="2" borderId="0" xfId="4" applyFont="1" applyFill="1" applyAlignment="1">
      <alignment horizontal="center" vertical="center"/>
    </xf>
    <xf numFmtId="0" fontId="45" fillId="2" borderId="0" xfId="1" applyFont="1" applyFill="1" applyAlignment="1">
      <alignment horizontal="center" vertical="center"/>
    </xf>
    <xf numFmtId="174" fontId="45" fillId="2" borderId="0" xfId="4" applyNumberFormat="1" applyFont="1" applyFill="1" applyAlignment="1">
      <alignment horizontal="left" vertical="center"/>
    </xf>
    <xf numFmtId="0" fontId="34" fillId="2" borderId="13" xfId="1" applyFont="1" applyFill="1" applyBorder="1" applyAlignment="1">
      <alignment horizontal="right" vertical="center"/>
    </xf>
    <xf numFmtId="1" fontId="34" fillId="2" borderId="0" xfId="1" applyNumberFormat="1" applyFont="1" applyFill="1" applyAlignment="1">
      <alignment horizontal="right" vertical="center"/>
    </xf>
    <xf numFmtId="1" fontId="34" fillId="2" borderId="0" xfId="1" applyNumberFormat="1" applyFont="1" applyFill="1" applyAlignment="1">
      <alignment horizontal="center" vertical="center"/>
    </xf>
    <xf numFmtId="0" fontId="34" fillId="2" borderId="0" xfId="1" applyFont="1" applyFill="1" applyAlignment="1">
      <alignment horizontal="center" vertical="center"/>
    </xf>
    <xf numFmtId="0" fontId="14" fillId="2" borderId="0" xfId="1" applyFont="1" applyFill="1" applyAlignment="1">
      <alignment horizontal="center" vertical="center"/>
    </xf>
    <xf numFmtId="0" fontId="127" fillId="26" borderId="12" xfId="2" applyFont="1" applyFill="1" applyBorder="1" applyAlignment="1">
      <alignment horizontal="center" vertical="center" textRotation="90"/>
    </xf>
    <xf numFmtId="175" fontId="77" fillId="13" borderId="22" xfId="4" applyNumberFormat="1" applyFont="1" applyFill="1" applyBorder="1" applyAlignment="1">
      <alignment horizontal="center" vertical="center" wrapText="1"/>
    </xf>
    <xf numFmtId="175" fontId="77" fillId="13" borderId="21" xfId="4" applyNumberFormat="1" applyFont="1" applyFill="1" applyBorder="1" applyAlignment="1">
      <alignment horizontal="center" vertical="center" wrapText="1"/>
    </xf>
    <xf numFmtId="175" fontId="77" fillId="13" borderId="20" xfId="4" applyNumberFormat="1" applyFont="1" applyFill="1" applyBorder="1" applyAlignment="1">
      <alignment horizontal="center" vertical="center" wrapText="1"/>
    </xf>
    <xf numFmtId="175" fontId="77" fillId="13" borderId="13" xfId="4" applyNumberFormat="1" applyFont="1" applyFill="1" applyBorder="1" applyAlignment="1">
      <alignment horizontal="center" vertical="center" wrapText="1"/>
    </xf>
    <xf numFmtId="175" fontId="77" fillId="13" borderId="0" xfId="4" applyNumberFormat="1" applyFont="1" applyFill="1" applyAlignment="1">
      <alignment horizontal="center" vertical="center" wrapText="1"/>
    </xf>
    <xf numFmtId="175" fontId="77" fillId="13" borderId="12" xfId="4" applyNumberFormat="1" applyFont="1" applyFill="1" applyBorder="1" applyAlignment="1">
      <alignment horizontal="center" vertical="center" wrapText="1"/>
    </xf>
    <xf numFmtId="175" fontId="290" fillId="2" borderId="13" xfId="4" applyNumberFormat="1" applyFont="1" applyFill="1" applyBorder="1" applyAlignment="1">
      <alignment horizontal="right" vertical="center" wrapText="1"/>
    </xf>
    <xf numFmtId="175" fontId="290" fillId="2" borderId="0" xfId="4" applyNumberFormat="1" applyFont="1" applyFill="1" applyAlignment="1">
      <alignment horizontal="right" vertical="center" wrapText="1"/>
    </xf>
    <xf numFmtId="212" fontId="62" fillId="13" borderId="0" xfId="4" applyNumberFormat="1" applyFont="1" applyFill="1" applyAlignment="1">
      <alignment horizontal="center" vertical="center"/>
    </xf>
    <xf numFmtId="212" fontId="62" fillId="13" borderId="96" xfId="4" applyNumberFormat="1" applyFont="1" applyFill="1" applyBorder="1" applyAlignment="1">
      <alignment horizontal="center" vertical="center"/>
    </xf>
    <xf numFmtId="175" fontId="76" fillId="2" borderId="0" xfId="4" applyNumberFormat="1" applyFont="1" applyFill="1" applyAlignment="1">
      <alignment horizontal="right" vertical="center" wrapText="1"/>
    </xf>
    <xf numFmtId="0" fontId="15" fillId="8" borderId="37" xfId="1" applyFont="1" applyFill="1" applyBorder="1" applyAlignment="1">
      <alignment horizontal="center" vertical="center"/>
    </xf>
    <xf numFmtId="0" fontId="15" fillId="8" borderId="36" xfId="1" applyFont="1" applyFill="1" applyBorder="1" applyAlignment="1">
      <alignment horizontal="center" vertical="center"/>
    </xf>
    <xf numFmtId="0" fontId="15" fillId="8" borderId="35" xfId="1" applyFont="1" applyFill="1" applyBorder="1" applyAlignment="1">
      <alignment horizontal="center" vertical="center"/>
    </xf>
    <xf numFmtId="1" fontId="34" fillId="2" borderId="0" xfId="4" applyNumberFormat="1" applyFont="1" applyFill="1" applyAlignment="1">
      <alignment horizontal="center" vertical="center"/>
    </xf>
    <xf numFmtId="212" fontId="34" fillId="2" borderId="12" xfId="4" applyNumberFormat="1" applyFont="1" applyFill="1" applyBorder="1" applyAlignment="1">
      <alignment horizontal="center" vertical="center"/>
    </xf>
    <xf numFmtId="212" fontId="100" fillId="13" borderId="0" xfId="4" applyNumberFormat="1" applyFont="1" applyFill="1" applyAlignment="1">
      <alignment horizontal="center" vertical="center"/>
    </xf>
    <xf numFmtId="212" fontId="100" fillId="13" borderId="96" xfId="4" applyNumberFormat="1" applyFont="1" applyFill="1" applyBorder="1" applyAlignment="1">
      <alignment horizontal="center" vertical="center"/>
    </xf>
    <xf numFmtId="0" fontId="39" fillId="2" borderId="0" xfId="1" applyFont="1" applyFill="1" applyAlignment="1">
      <alignment horizontal="right" vertical="center" wrapText="1"/>
    </xf>
    <xf numFmtId="175" fontId="15" fillId="2" borderId="22" xfId="4" applyNumberFormat="1" applyFont="1" applyFill="1" applyBorder="1" applyAlignment="1">
      <alignment horizontal="center" vertical="center" wrapText="1"/>
    </xf>
    <xf numFmtId="175" fontId="15" fillId="2" borderId="21" xfId="4" applyNumberFormat="1" applyFont="1" applyFill="1" applyBorder="1" applyAlignment="1">
      <alignment horizontal="center" vertical="center" wrapText="1"/>
    </xf>
    <xf numFmtId="175" fontId="15" fillId="2" borderId="20" xfId="4" applyNumberFormat="1" applyFont="1" applyFill="1" applyBorder="1" applyAlignment="1">
      <alignment horizontal="center" vertical="center" wrapText="1"/>
    </xf>
    <xf numFmtId="175" fontId="15" fillId="2" borderId="13" xfId="4" applyNumberFormat="1" applyFont="1" applyFill="1" applyBorder="1" applyAlignment="1">
      <alignment horizontal="center" vertical="center" wrapText="1"/>
    </xf>
    <xf numFmtId="175" fontId="15" fillId="2" borderId="0" xfId="4" applyNumberFormat="1" applyFont="1" applyFill="1" applyAlignment="1">
      <alignment horizontal="center" vertical="center" wrapText="1"/>
    </xf>
    <xf numFmtId="175" fontId="15" fillId="2" borderId="12" xfId="4" applyNumberFormat="1" applyFont="1" applyFill="1" applyBorder="1" applyAlignment="1">
      <alignment horizontal="center" vertical="center" wrapText="1"/>
    </xf>
    <xf numFmtId="1" fontId="34" fillId="2" borderId="0" xfId="4" applyNumberFormat="1" applyFont="1" applyFill="1" applyAlignment="1">
      <alignment horizontal="right" vertical="center"/>
    </xf>
    <xf numFmtId="0" fontId="138" fillId="8" borderId="151" xfId="7" applyFont="1" applyFill="1" applyBorder="1" applyAlignment="1">
      <alignment horizontal="center" vertical="center" wrapText="1"/>
    </xf>
    <xf numFmtId="0" fontId="138" fillId="8" borderId="152" xfId="7" applyFont="1" applyFill="1" applyBorder="1" applyAlignment="1">
      <alignment horizontal="center" vertical="center" wrapText="1"/>
    </xf>
    <xf numFmtId="0" fontId="138" fillId="8" borderId="153" xfId="7" applyFont="1" applyFill="1" applyBorder="1" applyAlignment="1">
      <alignment horizontal="center" vertical="center" wrapText="1"/>
    </xf>
    <xf numFmtId="0" fontId="94" fillId="2" borderId="13" xfId="1" applyFont="1" applyFill="1" applyBorder="1" applyAlignment="1">
      <alignment horizontal="right" vertical="center"/>
    </xf>
    <xf numFmtId="0" fontId="94" fillId="2" borderId="0" xfId="1" applyFont="1" applyFill="1" applyAlignment="1">
      <alignment horizontal="right" vertical="center"/>
    </xf>
    <xf numFmtId="174" fontId="13" fillId="2" borderId="0" xfId="1" applyNumberFormat="1" applyFont="1" applyFill="1" applyAlignment="1" applyProtection="1">
      <alignment horizontal="center" vertical="center"/>
      <protection locked="0"/>
    </xf>
    <xf numFmtId="174" fontId="69" fillId="2" borderId="0" xfId="1" applyNumberFormat="1" applyFont="1" applyFill="1" applyAlignment="1" applyProtection="1">
      <alignment horizontal="center" vertical="center"/>
      <protection locked="0"/>
    </xf>
    <xf numFmtId="174" fontId="69" fillId="2" borderId="12" xfId="1" applyNumberFormat="1" applyFont="1" applyFill="1" applyBorder="1" applyAlignment="1" applyProtection="1">
      <alignment horizontal="center" vertical="center"/>
      <protection locked="0"/>
    </xf>
    <xf numFmtId="0" fontId="127" fillId="26" borderId="0" xfId="2" applyFont="1" applyFill="1" applyAlignment="1">
      <alignment horizontal="center" vertical="center" textRotation="90"/>
    </xf>
    <xf numFmtId="0" fontId="89" fillId="2" borderId="13" xfId="7" applyFont="1" applyFill="1" applyBorder="1" applyAlignment="1">
      <alignment horizontal="center" vertical="center" wrapText="1"/>
    </xf>
    <xf numFmtId="0" fontId="89" fillId="2" borderId="0" xfId="7" applyFont="1" applyFill="1" applyAlignment="1">
      <alignment horizontal="center" vertical="center" wrapText="1"/>
    </xf>
    <xf numFmtId="0" fontId="89" fillId="2" borderId="12" xfId="7" applyFont="1" applyFill="1" applyBorder="1" applyAlignment="1">
      <alignment horizontal="center" vertical="center" wrapText="1"/>
    </xf>
    <xf numFmtId="0" fontId="15" fillId="5" borderId="13" xfId="7" applyFont="1" applyFill="1" applyBorder="1" applyAlignment="1">
      <alignment horizontal="center" vertical="center"/>
    </xf>
    <xf numFmtId="0" fontId="15" fillId="5" borderId="0" xfId="7" applyFont="1" applyFill="1" applyAlignment="1">
      <alignment horizontal="center" vertical="center"/>
    </xf>
    <xf numFmtId="0" fontId="15" fillId="5" borderId="12" xfId="7" applyFont="1" applyFill="1" applyBorder="1" applyAlignment="1">
      <alignment horizontal="center" vertical="center"/>
    </xf>
    <xf numFmtId="0" fontId="88" fillId="2" borderId="13" xfId="6" applyFont="1" applyFill="1" applyBorder="1" applyAlignment="1">
      <alignment horizontal="center" vertical="center" wrapText="1"/>
    </xf>
    <xf numFmtId="0" fontId="88" fillId="2" borderId="0" xfId="6" applyFont="1" applyFill="1" applyAlignment="1">
      <alignment horizontal="center" vertical="center" wrapText="1"/>
    </xf>
    <xf numFmtId="0" fontId="88" fillId="2" borderId="12" xfId="6" applyFont="1" applyFill="1" applyBorder="1" applyAlignment="1">
      <alignment horizontal="center" vertical="center" wrapText="1"/>
    </xf>
    <xf numFmtId="0" fontId="86" fillId="9" borderId="13" xfId="7" applyFont="1" applyFill="1" applyBorder="1" applyAlignment="1">
      <alignment horizontal="center" vertical="center"/>
    </xf>
    <xf numFmtId="0" fontId="86" fillId="9" borderId="0" xfId="7" applyFont="1" applyFill="1" applyAlignment="1">
      <alignment horizontal="center" vertical="center"/>
    </xf>
    <xf numFmtId="0" fontId="86" fillId="9" borderId="12" xfId="7" applyFont="1" applyFill="1" applyBorder="1" applyAlignment="1">
      <alignment horizontal="center" vertical="center"/>
    </xf>
    <xf numFmtId="175" fontId="69" fillId="2" borderId="0" xfId="4" applyNumberFormat="1" applyFont="1" applyFill="1" applyAlignment="1">
      <alignment horizontal="left" vertical="center" wrapText="1"/>
    </xf>
    <xf numFmtId="175" fontId="69" fillId="2" borderId="0" xfId="4" applyNumberFormat="1" applyFont="1" applyFill="1" applyAlignment="1">
      <alignment horizontal="right" vertical="center" wrapText="1"/>
    </xf>
    <xf numFmtId="175" fontId="80" fillId="2" borderId="0" xfId="4" applyNumberFormat="1" applyFont="1" applyFill="1" applyAlignment="1">
      <alignment horizontal="center" vertical="center" wrapText="1"/>
    </xf>
    <xf numFmtId="0" fontId="34" fillId="8" borderId="37" xfId="1" applyFont="1" applyFill="1" applyBorder="1" applyAlignment="1">
      <alignment horizontal="center" vertical="center"/>
    </xf>
    <xf numFmtId="0" fontId="34" fillId="8" borderId="36" xfId="1" applyFont="1" applyFill="1" applyBorder="1" applyAlignment="1">
      <alignment horizontal="center" vertical="center"/>
    </xf>
    <xf numFmtId="0" fontId="34" fillId="8" borderId="35" xfId="1" applyFont="1" applyFill="1" applyBorder="1" applyAlignment="1">
      <alignment horizontal="center" vertical="center"/>
    </xf>
    <xf numFmtId="0" fontId="69" fillId="2" borderId="148" xfId="1" applyFont="1" applyFill="1" applyBorder="1" applyAlignment="1">
      <alignment horizontal="center" vertical="center" wrapText="1"/>
    </xf>
    <xf numFmtId="0" fontId="69" fillId="2" borderId="97" xfId="1" applyFont="1" applyFill="1" applyBorder="1" applyAlignment="1">
      <alignment horizontal="center" vertical="center" wrapText="1"/>
    </xf>
    <xf numFmtId="0" fontId="69" fillId="2" borderId="97" xfId="1" applyFont="1" applyFill="1" applyBorder="1" applyAlignment="1">
      <alignment horizontal="center" vertical="center"/>
    </xf>
    <xf numFmtId="174" fontId="95" fillId="2" borderId="97" xfId="1" applyNumberFormat="1" applyFont="1" applyFill="1" applyBorder="1" applyAlignment="1" applyProtection="1">
      <alignment horizontal="center" vertical="center" wrapText="1"/>
      <protection locked="0"/>
    </xf>
    <xf numFmtId="174" fontId="95" fillId="2" borderId="149" xfId="1" applyNumberFormat="1" applyFont="1" applyFill="1" applyBorder="1" applyAlignment="1" applyProtection="1">
      <alignment horizontal="center" vertical="center" wrapText="1"/>
      <protection locked="0"/>
    </xf>
    <xf numFmtId="0" fontId="12" fillId="2" borderId="13" xfId="1" applyFill="1" applyBorder="1" applyAlignment="1">
      <alignment horizontal="right" vertical="center"/>
    </xf>
    <xf numFmtId="0" fontId="12" fillId="2" borderId="0" xfId="1" applyFill="1" applyAlignment="1">
      <alignment horizontal="right" vertical="center"/>
    </xf>
    <xf numFmtId="0" fontId="89" fillId="2" borderId="76" xfId="7" applyFont="1" applyFill="1" applyBorder="1" applyAlignment="1">
      <alignment horizontal="center" vertical="center" wrapText="1"/>
    </xf>
    <xf numFmtId="0" fontId="89" fillId="2" borderId="75" xfId="7" applyFont="1" applyFill="1" applyBorder="1" applyAlignment="1">
      <alignment horizontal="center" vertical="center" wrapText="1"/>
    </xf>
    <xf numFmtId="0" fontId="89" fillId="2" borderId="74" xfId="7" applyFont="1" applyFill="1" applyBorder="1" applyAlignment="1">
      <alignment horizontal="center" vertical="center" wrapText="1"/>
    </xf>
    <xf numFmtId="0" fontId="137" fillId="26" borderId="37" xfId="1" applyFont="1" applyFill="1" applyBorder="1" applyAlignment="1">
      <alignment horizontal="center"/>
    </xf>
    <xf numFmtId="0" fontId="137" fillId="26" borderId="36" xfId="1" applyFont="1" applyFill="1" applyBorder="1" applyAlignment="1">
      <alignment horizontal="center"/>
    </xf>
    <xf numFmtId="0" fontId="137" fillId="26" borderId="35" xfId="1" applyFont="1" applyFill="1" applyBorder="1" applyAlignment="1">
      <alignment horizontal="center"/>
    </xf>
    <xf numFmtId="0" fontId="127" fillId="26" borderId="0" xfId="2" applyFont="1" applyFill="1" applyAlignment="1">
      <alignment horizontal="center" vertical="center" textRotation="90" wrapText="1"/>
    </xf>
    <xf numFmtId="0" fontId="127" fillId="26" borderId="12" xfId="2" applyFont="1" applyFill="1" applyBorder="1" applyAlignment="1">
      <alignment horizontal="center" vertical="center" textRotation="90" wrapText="1"/>
    </xf>
    <xf numFmtId="0" fontId="139" fillId="2" borderId="13" xfId="2" applyFont="1" applyFill="1" applyBorder="1" applyAlignment="1" applyProtection="1">
      <alignment horizontal="center" vertical="center"/>
      <protection hidden="1"/>
    </xf>
    <xf numFmtId="0" fontId="139" fillId="2" borderId="0" xfId="2" applyFont="1" applyFill="1" applyAlignment="1" applyProtection="1">
      <alignment horizontal="center" vertical="center"/>
      <protection hidden="1"/>
    </xf>
    <xf numFmtId="0" fontId="139" fillId="2" borderId="12" xfId="2" applyFont="1" applyFill="1" applyBorder="1" applyAlignment="1" applyProtection="1">
      <alignment horizontal="center" vertical="center"/>
      <protection hidden="1"/>
    </xf>
    <xf numFmtId="0" fontId="138" fillId="2" borderId="13" xfId="5" applyFont="1" applyFill="1" applyBorder="1" applyAlignment="1">
      <alignment horizontal="center" vertical="center" wrapText="1"/>
    </xf>
    <xf numFmtId="0" fontId="138" fillId="2" borderId="0" xfId="5" applyFont="1" applyFill="1" applyAlignment="1">
      <alignment horizontal="center" vertical="center" wrapText="1"/>
    </xf>
    <xf numFmtId="0" fontId="138" fillId="2" borderId="12" xfId="5" applyFont="1" applyFill="1" applyBorder="1" applyAlignment="1">
      <alignment horizontal="center" vertical="center" wrapText="1"/>
    </xf>
    <xf numFmtId="0" fontId="138" fillId="2" borderId="28" xfId="5" applyFont="1" applyFill="1" applyBorder="1" applyAlignment="1">
      <alignment horizontal="center" vertical="center" wrapText="1"/>
    </xf>
    <xf numFmtId="0" fontId="138" fillId="2" borderId="27" xfId="5" applyFont="1" applyFill="1" applyBorder="1" applyAlignment="1">
      <alignment horizontal="center" vertical="center" wrapText="1"/>
    </xf>
    <xf numFmtId="0" fontId="138" fillId="2" borderId="26" xfId="5" applyFont="1" applyFill="1" applyBorder="1" applyAlignment="1">
      <alignment horizontal="center" vertical="center" wrapText="1"/>
    </xf>
    <xf numFmtId="0" fontId="39" fillId="25" borderId="13" xfId="1" applyFont="1" applyFill="1" applyBorder="1" applyAlignment="1">
      <alignment horizontal="center" vertical="center"/>
    </xf>
    <xf numFmtId="0" fontId="39" fillId="25" borderId="0" xfId="1" applyFont="1" applyFill="1" applyAlignment="1">
      <alignment horizontal="center" vertical="center"/>
    </xf>
    <xf numFmtId="0" fontId="39" fillId="25" borderId="12" xfId="1" applyFont="1" applyFill="1" applyBorder="1" applyAlignment="1">
      <alignment horizontal="center" vertical="center"/>
    </xf>
    <xf numFmtId="0" fontId="137" fillId="2" borderId="64" xfId="1" applyFont="1" applyFill="1" applyBorder="1" applyAlignment="1">
      <alignment horizontal="right" vertical="center"/>
    </xf>
    <xf numFmtId="0" fontId="137" fillId="2" borderId="48" xfId="1" applyFont="1" applyFill="1" applyBorder="1" applyAlignment="1">
      <alignment horizontal="right" vertical="center"/>
    </xf>
    <xf numFmtId="0" fontId="11" fillId="2" borderId="64" xfId="1" applyFont="1" applyFill="1" applyBorder="1" applyAlignment="1">
      <alignment horizontal="right" vertical="center"/>
    </xf>
    <xf numFmtId="0" fontId="11" fillId="2" borderId="48" xfId="1" applyFont="1" applyFill="1" applyBorder="1" applyAlignment="1">
      <alignment horizontal="right" vertical="center"/>
    </xf>
    <xf numFmtId="0" fontId="126" fillId="2" borderId="64" xfId="1" applyFont="1" applyFill="1" applyBorder="1" applyAlignment="1">
      <alignment horizontal="center" vertical="center" wrapText="1"/>
    </xf>
    <xf numFmtId="0" fontId="126" fillId="2" borderId="48" xfId="1" applyFont="1" applyFill="1" applyBorder="1" applyAlignment="1">
      <alignment horizontal="center" vertical="center" wrapText="1"/>
    </xf>
    <xf numFmtId="0" fontId="126" fillId="2" borderId="70" xfId="1" applyFont="1" applyFill="1" applyBorder="1" applyAlignment="1">
      <alignment horizontal="center" vertical="center" wrapText="1"/>
    </xf>
    <xf numFmtId="0" fontId="126" fillId="2" borderId="11" xfId="1" applyFont="1" applyFill="1" applyBorder="1" applyAlignment="1">
      <alignment horizontal="center" vertical="center" wrapText="1"/>
    </xf>
    <xf numFmtId="0" fontId="126" fillId="2" borderId="10" xfId="1" applyFont="1" applyFill="1" applyBorder="1" applyAlignment="1">
      <alignment horizontal="center" vertical="center" wrapText="1"/>
    </xf>
    <xf numFmtId="0" fontId="126" fillId="2" borderId="9" xfId="1" applyFont="1" applyFill="1" applyBorder="1" applyAlignment="1">
      <alignment horizontal="center" vertical="center" wrapText="1"/>
    </xf>
    <xf numFmtId="0" fontId="112" fillId="2" borderId="76" xfId="2" applyFont="1" applyFill="1" applyBorder="1" applyAlignment="1">
      <alignment horizontal="center" vertical="center" wrapText="1"/>
    </xf>
    <xf numFmtId="0" fontId="112" fillId="2" borderId="75" xfId="2" applyFont="1" applyFill="1" applyBorder="1" applyAlignment="1">
      <alignment horizontal="center" vertical="center" wrapText="1"/>
    </xf>
    <xf numFmtId="0" fontId="112" fillId="2" borderId="74" xfId="2" applyFont="1" applyFill="1" applyBorder="1" applyAlignment="1">
      <alignment horizontal="center" vertical="center" wrapText="1"/>
    </xf>
    <xf numFmtId="0" fontId="39" fillId="25" borderId="49" xfId="1" applyFont="1" applyFill="1" applyBorder="1" applyAlignment="1">
      <alignment horizontal="center" vertical="center"/>
    </xf>
    <xf numFmtId="0" fontId="39" fillId="25" borderId="48" xfId="1" applyFont="1" applyFill="1" applyBorder="1" applyAlignment="1">
      <alignment horizontal="center" vertical="center"/>
    </xf>
    <xf numFmtId="0" fontId="39" fillId="25" borderId="47" xfId="1" applyFont="1" applyFill="1" applyBorder="1" applyAlignment="1">
      <alignment horizontal="center" vertical="center"/>
    </xf>
    <xf numFmtId="0" fontId="39" fillId="27" borderId="0" xfId="1" applyFont="1" applyFill="1" applyAlignment="1">
      <alignment horizontal="center" vertical="center"/>
    </xf>
    <xf numFmtId="0" fontId="39" fillId="27" borderId="41" xfId="1" applyFont="1" applyFill="1" applyBorder="1" applyAlignment="1">
      <alignment horizontal="center" vertical="center"/>
    </xf>
    <xf numFmtId="0" fontId="11" fillId="2" borderId="0" xfId="1" applyFont="1" applyFill="1" applyAlignment="1">
      <alignment horizontal="right" vertical="center"/>
    </xf>
    <xf numFmtId="175" fontId="144" fillId="29" borderId="80" xfId="4" applyNumberFormat="1" applyFont="1" applyFill="1" applyBorder="1" applyAlignment="1">
      <alignment horizontal="right" vertical="center"/>
    </xf>
    <xf numFmtId="175" fontId="144" fillId="29" borderId="28" xfId="4" applyNumberFormat="1" applyFont="1" applyFill="1" applyBorder="1" applyAlignment="1">
      <alignment horizontal="right" vertical="center"/>
    </xf>
    <xf numFmtId="0" fontId="96" fillId="29" borderId="79" xfId="1" applyFont="1" applyFill="1" applyBorder="1" applyAlignment="1">
      <alignment horizontal="center" vertical="center"/>
    </xf>
    <xf numFmtId="0" fontId="96" fillId="29" borderId="27" xfId="1" applyFont="1" applyFill="1" applyBorder="1" applyAlignment="1">
      <alignment horizontal="center" vertical="center"/>
    </xf>
    <xf numFmtId="0" fontId="143" fillId="29" borderId="79" xfId="1" applyFont="1" applyFill="1" applyBorder="1" applyAlignment="1">
      <alignment horizontal="right" vertical="center"/>
    </xf>
    <xf numFmtId="0" fontId="143" fillId="29" borderId="27" xfId="1" applyFont="1" applyFill="1" applyBorder="1" applyAlignment="1">
      <alignment horizontal="right" vertical="center"/>
    </xf>
    <xf numFmtId="167" fontId="96" fillId="29" borderId="78" xfId="1" applyNumberFormat="1" applyFont="1" applyFill="1" applyBorder="1" applyAlignment="1">
      <alignment horizontal="center" vertical="center"/>
    </xf>
    <xf numFmtId="167" fontId="96" fillId="29" borderId="26" xfId="1" applyNumberFormat="1" applyFont="1" applyFill="1" applyBorder="1" applyAlignment="1">
      <alignment horizontal="center" vertical="center"/>
    </xf>
    <xf numFmtId="0" fontId="68" fillId="24" borderId="11" xfId="1" applyFont="1" applyFill="1" applyBorder="1" applyAlignment="1">
      <alignment horizontal="center" vertical="center"/>
    </xf>
    <xf numFmtId="0" fontId="68" fillId="24" borderId="10" xfId="1" applyFont="1" applyFill="1" applyBorder="1" applyAlignment="1">
      <alignment horizontal="center" vertical="center"/>
    </xf>
    <xf numFmtId="0" fontId="68" fillId="24" borderId="9" xfId="1" applyFont="1" applyFill="1" applyBorder="1" applyAlignment="1">
      <alignment horizontal="center" vertical="center"/>
    </xf>
    <xf numFmtId="174" fontId="9" fillId="2" borderId="54" xfId="1" applyNumberFormat="1" applyFont="1" applyFill="1" applyBorder="1" applyAlignment="1">
      <alignment horizontal="center" vertical="center"/>
    </xf>
    <xf numFmtId="174" fontId="9" fillId="2" borderId="31" xfId="1" applyNumberFormat="1" applyFont="1" applyFill="1" applyBorder="1" applyAlignment="1">
      <alignment horizontal="center" vertical="center"/>
    </xf>
    <xf numFmtId="174" fontId="14" fillId="0" borderId="13" xfId="1" applyNumberFormat="1" applyFont="1" applyBorder="1" applyAlignment="1">
      <alignment horizontal="center" vertical="center"/>
    </xf>
    <xf numFmtId="174" fontId="14" fillId="0" borderId="0" xfId="1" applyNumberFormat="1" applyFont="1" applyAlignment="1">
      <alignment horizontal="center" vertical="center"/>
    </xf>
    <xf numFmtId="174" fontId="70" fillId="9" borderId="0" xfId="1" applyNumberFormat="1" applyFont="1" applyFill="1" applyAlignment="1" applyProtection="1">
      <alignment horizontal="center" vertical="center"/>
      <protection locked="0"/>
    </xf>
    <xf numFmtId="174" fontId="12" fillId="0" borderId="12" xfId="1" applyNumberFormat="1" applyBorder="1" applyAlignment="1">
      <alignment horizontal="center" vertical="center"/>
    </xf>
    <xf numFmtId="174" fontId="9" fillId="2" borderId="77" xfId="1" applyNumberFormat="1" applyFont="1" applyFill="1" applyBorder="1" applyAlignment="1">
      <alignment horizontal="center" vertical="center"/>
    </xf>
    <xf numFmtId="0" fontId="24" fillId="4" borderId="22" xfId="1" applyFont="1" applyFill="1" applyBorder="1" applyAlignment="1">
      <alignment horizontal="center" vertical="center" wrapText="1"/>
    </xf>
    <xf numFmtId="0" fontId="24" fillId="4" borderId="21" xfId="1" applyFont="1" applyFill="1" applyBorder="1" applyAlignment="1">
      <alignment horizontal="center" vertical="center" wrapText="1"/>
    </xf>
    <xf numFmtId="0" fontId="24" fillId="4" borderId="20" xfId="1" applyFont="1" applyFill="1" applyBorder="1" applyAlignment="1">
      <alignment horizontal="center" vertical="center" wrapText="1"/>
    </xf>
    <xf numFmtId="0" fontId="24" fillId="4" borderId="19" xfId="1" applyFont="1" applyFill="1" applyBorder="1" applyAlignment="1">
      <alignment horizontal="center" vertical="center" wrapText="1"/>
    </xf>
    <xf numFmtId="0" fontId="24" fillId="4" borderId="18" xfId="1" applyFont="1" applyFill="1" applyBorder="1" applyAlignment="1">
      <alignment horizontal="center" vertical="center" wrapText="1"/>
    </xf>
    <xf numFmtId="0" fontId="24" fillId="4" borderId="17" xfId="1" applyFont="1" applyFill="1" applyBorder="1" applyAlignment="1">
      <alignment horizontal="center" vertical="center" wrapText="1"/>
    </xf>
    <xf numFmtId="165" fontId="23" fillId="7" borderId="15" xfId="5" applyNumberFormat="1" applyFont="1" applyFill="1" applyBorder="1" applyAlignment="1">
      <alignment horizontal="left" vertical="center"/>
    </xf>
    <xf numFmtId="165" fontId="23" fillId="7" borderId="14" xfId="5" applyNumberFormat="1" applyFont="1" applyFill="1" applyBorder="1" applyAlignment="1">
      <alignment horizontal="left" vertical="center"/>
    </xf>
    <xf numFmtId="165" fontId="23" fillId="7" borderId="0" xfId="5" applyNumberFormat="1" applyFont="1" applyFill="1" applyAlignment="1">
      <alignment horizontal="left" vertical="center"/>
    </xf>
    <xf numFmtId="165" fontId="23" fillId="7" borderId="12" xfId="5" applyNumberFormat="1" applyFont="1" applyFill="1" applyBorder="1" applyAlignment="1">
      <alignment horizontal="left" vertical="center"/>
    </xf>
    <xf numFmtId="0" fontId="22" fillId="4" borderId="11" xfId="4" applyFont="1" applyFill="1" applyBorder="1" applyAlignment="1">
      <alignment horizontal="center" vertical="center"/>
    </xf>
    <xf numFmtId="0" fontId="22" fillId="4" borderId="10" xfId="4" applyFont="1" applyFill="1" applyBorder="1" applyAlignment="1">
      <alignment horizontal="center" vertical="center"/>
    </xf>
    <xf numFmtId="0" fontId="22" fillId="4" borderId="9" xfId="4" applyFont="1" applyFill="1" applyBorder="1" applyAlignment="1">
      <alignment horizontal="center" vertical="center"/>
    </xf>
    <xf numFmtId="175" fontId="146" fillId="0" borderId="13" xfId="4" applyNumberFormat="1" applyFont="1" applyBorder="1" applyAlignment="1">
      <alignment horizontal="center" vertical="center"/>
    </xf>
    <xf numFmtId="175" fontId="146" fillId="0" borderId="0" xfId="4" applyNumberFormat="1" applyFont="1" applyAlignment="1">
      <alignment horizontal="center" vertical="center"/>
    </xf>
    <xf numFmtId="175" fontId="146" fillId="0" borderId="83" xfId="4" applyNumberFormat="1" applyFont="1" applyBorder="1" applyAlignment="1">
      <alignment horizontal="center" vertical="center"/>
    </xf>
    <xf numFmtId="175" fontId="146" fillId="0" borderId="82" xfId="4" applyNumberFormat="1" applyFont="1" applyBorder="1" applyAlignment="1">
      <alignment horizontal="center" vertical="center"/>
    </xf>
    <xf numFmtId="168" fontId="145" fillId="29" borderId="0" xfId="1" applyNumberFormat="1" applyFont="1" applyFill="1" applyAlignment="1" applyProtection="1">
      <alignment horizontal="right" vertical="center" wrapText="1"/>
      <protection locked="0"/>
    </xf>
    <xf numFmtId="168" fontId="145" fillId="29" borderId="82" xfId="1" applyNumberFormat="1" applyFont="1" applyFill="1" applyBorder="1" applyAlignment="1" applyProtection="1">
      <alignment horizontal="right" vertical="center" wrapText="1"/>
      <protection locked="0"/>
    </xf>
    <xf numFmtId="174" fontId="215" fillId="60" borderId="20" xfId="4" applyNumberFormat="1" applyFont="1" applyFill="1" applyBorder="1" applyAlignment="1">
      <alignment horizontal="center" vertical="center"/>
    </xf>
    <xf numFmtId="174" fontId="215" fillId="60" borderId="81" xfId="4" applyNumberFormat="1" applyFont="1" applyFill="1" applyBorder="1" applyAlignment="1">
      <alignment horizontal="center" vertical="center"/>
    </xf>
    <xf numFmtId="174" fontId="76" fillId="19" borderId="13" xfId="1" applyNumberFormat="1" applyFont="1" applyFill="1" applyBorder="1" applyAlignment="1" applyProtection="1">
      <alignment horizontal="center" vertical="center"/>
      <protection locked="0"/>
    </xf>
    <xf numFmtId="170" fontId="76" fillId="19" borderId="12" xfId="1" applyNumberFormat="1" applyFont="1" applyFill="1" applyBorder="1" applyAlignment="1" applyProtection="1">
      <alignment horizontal="center" vertical="center"/>
      <protection locked="0"/>
    </xf>
    <xf numFmtId="0" fontId="76" fillId="9" borderId="54" xfId="4" applyFont="1" applyFill="1" applyBorder="1" applyAlignment="1">
      <alignment horizontal="center" vertical="center"/>
    </xf>
    <xf numFmtId="0" fontId="76" fillId="9" borderId="142" xfId="4" applyFont="1" applyFill="1" applyBorder="1" applyAlignment="1">
      <alignment horizontal="center" vertical="center"/>
    </xf>
    <xf numFmtId="0" fontId="76" fillId="9" borderId="31" xfId="4" applyFont="1" applyFill="1" applyBorder="1" applyAlignment="1">
      <alignment horizontal="center" vertical="center"/>
    </xf>
    <xf numFmtId="0" fontId="76" fillId="9" borderId="143" xfId="4" applyFont="1" applyFill="1" applyBorder="1" applyAlignment="1">
      <alignment horizontal="center" vertical="center"/>
    </xf>
    <xf numFmtId="0" fontId="76" fillId="9" borderId="77" xfId="4" applyFont="1" applyFill="1" applyBorder="1" applyAlignment="1">
      <alignment horizontal="center" vertical="center"/>
    </xf>
    <xf numFmtId="0" fontId="76" fillId="9" borderId="144" xfId="4" applyFont="1" applyFill="1" applyBorder="1" applyAlignment="1">
      <alignment horizontal="center" vertical="center"/>
    </xf>
    <xf numFmtId="174" fontId="14" fillId="2" borderId="16" xfId="1" applyNumberFormat="1" applyFont="1" applyFill="1" applyBorder="1" applyAlignment="1">
      <alignment horizontal="center" vertical="center"/>
    </xf>
    <xf numFmtId="174" fontId="14" fillId="2" borderId="15" xfId="1" applyNumberFormat="1" applyFont="1" applyFill="1" applyBorder="1" applyAlignment="1">
      <alignment horizontal="center" vertical="center"/>
    </xf>
    <xf numFmtId="174" fontId="14" fillId="2" borderId="14" xfId="1" applyNumberFormat="1" applyFont="1" applyFill="1" applyBorder="1" applyAlignment="1">
      <alignment horizontal="center" vertical="center"/>
    </xf>
    <xf numFmtId="174" fontId="70" fillId="9" borderId="139" xfId="4" applyNumberFormat="1" applyFont="1" applyFill="1" applyBorder="1" applyAlignment="1">
      <alignment horizontal="center" vertical="center"/>
    </xf>
    <xf numFmtId="174" fontId="70" fillId="9" borderId="54" xfId="4" applyNumberFormat="1" applyFont="1" applyFill="1" applyBorder="1" applyAlignment="1">
      <alignment horizontal="center" vertical="center"/>
    </xf>
    <xf numFmtId="174" fontId="70" fillId="9" borderId="140" xfId="4" applyNumberFormat="1" applyFont="1" applyFill="1" applyBorder="1" applyAlignment="1">
      <alignment horizontal="center" vertical="center"/>
    </xf>
    <xf numFmtId="174" fontId="70" fillId="9" borderId="31" xfId="4" applyNumberFormat="1" applyFont="1" applyFill="1" applyBorder="1" applyAlignment="1">
      <alignment horizontal="center" vertical="center"/>
    </xf>
    <xf numFmtId="174" fontId="70" fillId="9" borderId="141" xfId="4" applyNumberFormat="1" applyFont="1" applyFill="1" applyBorder="1" applyAlignment="1">
      <alignment horizontal="center" vertical="center"/>
    </xf>
    <xf numFmtId="174" fontId="70" fillId="9" borderId="77" xfId="4" applyNumberFormat="1" applyFont="1" applyFill="1" applyBorder="1" applyAlignment="1">
      <alignment horizontal="center" vertical="center"/>
    </xf>
    <xf numFmtId="0" fontId="51" fillId="12" borderId="36" xfId="4" applyFont="1" applyFill="1" applyBorder="1" applyAlignment="1">
      <alignment horizontal="center" vertical="center"/>
    </xf>
    <xf numFmtId="0" fontId="51" fillId="12" borderId="0" xfId="4" applyFont="1" applyFill="1" applyAlignment="1">
      <alignment horizontal="center" vertical="center"/>
    </xf>
    <xf numFmtId="0" fontId="49" fillId="8" borderId="37" xfId="2" applyFont="1" applyFill="1" applyBorder="1" applyAlignment="1" applyProtection="1">
      <alignment horizontal="center" vertical="center" wrapText="1"/>
      <protection hidden="1"/>
    </xf>
    <xf numFmtId="0" fontId="49" fillId="8" borderId="36" xfId="2" applyFont="1" applyFill="1" applyBorder="1" applyAlignment="1" applyProtection="1">
      <alignment horizontal="center" vertical="center" wrapText="1"/>
      <protection hidden="1"/>
    </xf>
    <xf numFmtId="0" fontId="49" fillId="8" borderId="13" xfId="2" applyFont="1" applyFill="1" applyBorder="1" applyAlignment="1" applyProtection="1">
      <alignment horizontal="center" vertical="center" wrapText="1"/>
      <protection hidden="1"/>
    </xf>
    <xf numFmtId="0" fontId="49" fillId="8" borderId="0" xfId="2" applyFont="1" applyFill="1" applyAlignment="1" applyProtection="1">
      <alignment horizontal="center" vertical="center" wrapText="1"/>
      <protection hidden="1"/>
    </xf>
    <xf numFmtId="0" fontId="50" fillId="8" borderId="35" xfId="4" applyFont="1" applyFill="1" applyBorder="1" applyAlignment="1">
      <alignment horizontal="center" vertical="center"/>
    </xf>
    <xf numFmtId="0" fontId="50" fillId="8" borderId="12" xfId="4" applyFont="1" applyFill="1" applyBorder="1" applyAlignment="1">
      <alignment horizontal="center" vertical="center"/>
    </xf>
    <xf numFmtId="0" fontId="12" fillId="6" borderId="12" xfId="1" applyFill="1" applyBorder="1" applyAlignment="1">
      <alignment horizontal="center" vertical="center" textRotation="90"/>
    </xf>
    <xf numFmtId="0" fontId="49" fillId="2" borderId="13" xfId="5" applyFont="1" applyFill="1" applyBorder="1" applyAlignment="1">
      <alignment horizontal="center" vertical="center" wrapText="1"/>
    </xf>
    <xf numFmtId="0" fontId="49" fillId="2" borderId="0" xfId="5" applyFont="1" applyFill="1" applyAlignment="1">
      <alignment horizontal="center" vertical="center" wrapText="1"/>
    </xf>
    <xf numFmtId="0" fontId="49" fillId="2" borderId="12" xfId="5" applyFont="1" applyFill="1" applyBorder="1" applyAlignment="1">
      <alignment horizontal="center" vertical="center" wrapText="1"/>
    </xf>
    <xf numFmtId="0" fontId="33" fillId="2" borderId="13" xfId="5" applyFont="1" applyFill="1" applyBorder="1" applyAlignment="1">
      <alignment horizontal="center" vertical="center" wrapText="1"/>
    </xf>
    <xf numFmtId="0" fontId="33" fillId="2" borderId="0" xfId="5" applyFont="1" applyFill="1" applyAlignment="1">
      <alignment horizontal="center" vertical="center" wrapText="1"/>
    </xf>
    <xf numFmtId="0" fontId="33" fillId="2" borderId="12" xfId="5" applyFont="1" applyFill="1" applyBorder="1" applyAlignment="1">
      <alignment horizontal="center" vertical="center" wrapText="1"/>
    </xf>
    <xf numFmtId="0" fontId="39" fillId="11" borderId="13" xfId="2" applyFont="1" applyFill="1" applyBorder="1" applyAlignment="1">
      <alignment horizontal="left" vertical="center"/>
    </xf>
    <xf numFmtId="0" fontId="39" fillId="11" borderId="0" xfId="2" applyFont="1" applyFill="1" applyAlignment="1">
      <alignment horizontal="left" vertical="center"/>
    </xf>
    <xf numFmtId="0" fontId="39" fillId="11" borderId="12" xfId="2" applyFont="1" applyFill="1" applyBorder="1" applyAlignment="1">
      <alignment horizontal="left" vertical="center"/>
    </xf>
    <xf numFmtId="0" fontId="48" fillId="4" borderId="0" xfId="2" applyFont="1" applyFill="1" applyAlignment="1">
      <alignment horizontal="center" vertical="center"/>
    </xf>
    <xf numFmtId="0" fontId="47" fillId="9" borderId="24" xfId="1" applyFont="1" applyFill="1" applyBorder="1" applyAlignment="1">
      <alignment horizontal="center" vertical="center"/>
    </xf>
    <xf numFmtId="0" fontId="47" fillId="9" borderId="23" xfId="1" applyFont="1" applyFill="1" applyBorder="1" applyAlignment="1">
      <alignment horizontal="center" vertical="center"/>
    </xf>
    <xf numFmtId="165" fontId="47" fillId="9" borderId="0" xfId="5" applyNumberFormat="1" applyFont="1" applyFill="1" applyAlignment="1">
      <alignment horizontal="center" vertical="center"/>
    </xf>
    <xf numFmtId="0" fontId="39" fillId="10" borderId="13" xfId="2" applyFont="1" applyFill="1" applyBorder="1" applyAlignment="1">
      <alignment horizontal="center" vertical="center"/>
    </xf>
    <xf numFmtId="0" fontId="39" fillId="10" borderId="0" xfId="2" applyFont="1" applyFill="1" applyAlignment="1">
      <alignment horizontal="center" vertical="center"/>
    </xf>
    <xf numFmtId="0" fontId="39" fillId="10" borderId="12" xfId="2" applyFont="1" applyFill="1" applyBorder="1" applyAlignment="1">
      <alignment horizontal="center" vertical="center"/>
    </xf>
    <xf numFmtId="0" fontId="31" fillId="4" borderId="0" xfId="2" applyFont="1" applyFill="1" applyAlignment="1">
      <alignment horizontal="center" vertical="center"/>
    </xf>
    <xf numFmtId="0" fontId="28" fillId="9" borderId="24" xfId="1" applyFont="1" applyFill="1" applyBorder="1" applyAlignment="1">
      <alignment horizontal="center" vertical="center"/>
    </xf>
    <xf numFmtId="0" fontId="28" fillId="9" borderId="23" xfId="1" applyFont="1" applyFill="1" applyBorder="1" applyAlignment="1">
      <alignment horizontal="center" vertical="center"/>
    </xf>
    <xf numFmtId="0" fontId="48" fillId="4" borderId="27" xfId="2" applyFont="1" applyFill="1" applyBorder="1" applyAlignment="1">
      <alignment horizontal="center" vertical="center"/>
    </xf>
    <xf numFmtId="0" fontId="71" fillId="2" borderId="13" xfId="7" applyFont="1" applyFill="1" applyBorder="1" applyAlignment="1">
      <alignment horizontal="center" vertical="center" wrapText="1"/>
    </xf>
    <xf numFmtId="0" fontId="71" fillId="2" borderId="0" xfId="7" applyFont="1" applyFill="1" applyAlignment="1">
      <alignment horizontal="center" vertical="center" wrapText="1"/>
    </xf>
    <xf numFmtId="0" fontId="71" fillId="2" borderId="0" xfId="6" applyFont="1" applyFill="1" applyAlignment="1">
      <alignment horizontal="center" vertical="center" wrapText="1"/>
    </xf>
    <xf numFmtId="0" fontId="197" fillId="2" borderId="12" xfId="6" applyFont="1" applyFill="1" applyBorder="1" applyAlignment="1">
      <alignment horizontal="center" wrapText="1"/>
    </xf>
    <xf numFmtId="0" fontId="197" fillId="2" borderId="164" xfId="6" applyFont="1" applyFill="1" applyBorder="1" applyAlignment="1">
      <alignment horizontal="center" vertical="center"/>
    </xf>
    <xf numFmtId="0" fontId="197" fillId="2" borderId="129" xfId="6" applyFont="1" applyFill="1" applyBorder="1" applyAlignment="1">
      <alignment horizontal="center" vertical="center"/>
    </xf>
    <xf numFmtId="0" fontId="197" fillId="2" borderId="13" xfId="6" applyFont="1" applyFill="1" applyBorder="1" applyAlignment="1">
      <alignment horizontal="center" vertical="center"/>
    </xf>
    <xf numFmtId="0" fontId="197" fillId="2" borderId="0" xfId="6" applyFont="1" applyFill="1" applyAlignment="1">
      <alignment horizontal="center" vertical="center"/>
    </xf>
    <xf numFmtId="0" fontId="197" fillId="2" borderId="130" xfId="6" applyFont="1" applyFill="1" applyBorder="1" applyAlignment="1">
      <alignment horizontal="center" wrapText="1"/>
    </xf>
    <xf numFmtId="0" fontId="74" fillId="15" borderId="37" xfId="7" applyFont="1" applyFill="1" applyBorder="1" applyAlignment="1">
      <alignment horizontal="center" vertical="center"/>
    </xf>
    <xf numFmtId="0" fontId="74" fillId="15" borderId="36" xfId="7" applyFont="1" applyFill="1" applyBorder="1" applyAlignment="1">
      <alignment horizontal="center" vertical="center"/>
    </xf>
    <xf numFmtId="0" fontId="74" fillId="15" borderId="35" xfId="7" applyFont="1" applyFill="1" applyBorder="1" applyAlignment="1">
      <alignment horizontal="center" vertical="center"/>
    </xf>
    <xf numFmtId="0" fontId="310" fillId="14" borderId="148" xfId="7" applyFont="1" applyFill="1" applyBorder="1" applyAlignment="1">
      <alignment horizontal="center" vertical="center" wrapText="1"/>
    </xf>
    <xf numFmtId="0" fontId="310" fillId="14" borderId="13" xfId="7" applyFont="1" applyFill="1" applyBorder="1" applyAlignment="1">
      <alignment horizontal="center" vertical="center" wrapText="1"/>
    </xf>
    <xf numFmtId="0" fontId="311" fillId="13" borderId="97" xfId="6" applyFont="1" applyFill="1" applyBorder="1" applyAlignment="1">
      <alignment horizontal="center" vertical="center" wrapText="1"/>
    </xf>
    <xf numFmtId="0" fontId="311" fillId="13" borderId="0" xfId="6" applyFont="1" applyFill="1" applyAlignment="1">
      <alignment horizontal="center" vertical="center" wrapText="1"/>
    </xf>
    <xf numFmtId="0" fontId="69" fillId="2" borderId="97" xfId="6" applyFont="1" applyFill="1" applyBorder="1" applyAlignment="1">
      <alignment horizontal="center" vertical="center" wrapText="1"/>
    </xf>
    <xf numFmtId="0" fontId="69" fillId="2" borderId="0" xfId="6" applyFont="1" applyFill="1" applyAlignment="1">
      <alignment horizontal="center" vertical="center" wrapText="1"/>
    </xf>
    <xf numFmtId="0" fontId="101" fillId="2" borderId="12" xfId="6" applyFont="1" applyFill="1" applyBorder="1" applyAlignment="1">
      <alignment horizontal="center" vertical="center" wrapText="1"/>
    </xf>
    <xf numFmtId="172" fontId="65" fillId="2" borderId="13" xfId="6" applyNumberFormat="1" applyFont="1" applyFill="1" applyBorder="1" applyAlignment="1">
      <alignment horizontal="left" vertical="center" wrapText="1"/>
    </xf>
    <xf numFmtId="172" fontId="65" fillId="2" borderId="0" xfId="6" applyNumberFormat="1" applyFont="1" applyFill="1" applyAlignment="1">
      <alignment horizontal="left" vertical="center" wrapText="1"/>
    </xf>
    <xf numFmtId="172" fontId="65" fillId="2" borderId="12" xfId="6" applyNumberFormat="1" applyFont="1" applyFill="1" applyBorder="1" applyAlignment="1">
      <alignment horizontal="left" vertical="center" wrapText="1"/>
    </xf>
    <xf numFmtId="172" fontId="65" fillId="2" borderId="11" xfId="6" applyNumberFormat="1" applyFont="1" applyFill="1" applyBorder="1" applyAlignment="1">
      <alignment horizontal="left" vertical="center" wrapText="1"/>
    </xf>
    <xf numFmtId="172" fontId="65" fillId="2" borderId="10" xfId="6" applyNumberFormat="1" applyFont="1" applyFill="1" applyBorder="1" applyAlignment="1">
      <alignment horizontal="left" vertical="center" wrapText="1"/>
    </xf>
    <xf numFmtId="172" fontId="65" fillId="2" borderId="9" xfId="6" applyNumberFormat="1" applyFont="1" applyFill="1" applyBorder="1" applyAlignment="1">
      <alignment horizontal="left" vertical="center" wrapText="1"/>
    </xf>
    <xf numFmtId="0" fontId="127" fillId="61" borderId="12" xfId="2" applyFont="1" applyFill="1" applyBorder="1" applyAlignment="1">
      <alignment horizontal="center" vertical="center" textRotation="90" wrapText="1"/>
    </xf>
    <xf numFmtId="0" fontId="219" fillId="39" borderId="203" xfId="1" applyFont="1" applyFill="1" applyBorder="1" applyAlignment="1">
      <alignment horizontal="center" vertical="center" wrapText="1"/>
    </xf>
    <xf numFmtId="0" fontId="219" fillId="39" borderId="129" xfId="1" applyFont="1" applyFill="1" applyBorder="1" applyAlignment="1">
      <alignment horizontal="center" vertical="center" wrapText="1"/>
    </xf>
    <xf numFmtId="0" fontId="219" fillId="39" borderId="13" xfId="1" applyFont="1" applyFill="1" applyBorder="1" applyAlignment="1">
      <alignment horizontal="center" vertical="center" wrapText="1"/>
    </xf>
    <xf numFmtId="0" fontId="219" fillId="39" borderId="0" xfId="1" applyFont="1" applyFill="1" applyAlignment="1">
      <alignment horizontal="center" vertical="center" wrapText="1"/>
    </xf>
    <xf numFmtId="0" fontId="323" fillId="4" borderId="129" xfId="1" applyFont="1" applyFill="1" applyBorder="1" applyAlignment="1">
      <alignment horizontal="right" vertical="center" wrapText="1"/>
    </xf>
    <xf numFmtId="0" fontId="323" fillId="4" borderId="0" xfId="1" applyFont="1" applyFill="1" applyAlignment="1">
      <alignment horizontal="right" vertical="center" wrapText="1"/>
    </xf>
    <xf numFmtId="165" fontId="323" fillId="9" borderId="129" xfId="1" applyNumberFormat="1" applyFont="1" applyFill="1" applyBorder="1" applyAlignment="1">
      <alignment horizontal="center" vertical="center" wrapText="1"/>
    </xf>
    <xf numFmtId="165" fontId="323" fillId="9" borderId="210" xfId="1" applyNumberFormat="1" applyFont="1" applyFill="1" applyBorder="1" applyAlignment="1">
      <alignment horizontal="center" vertical="center" wrapText="1"/>
    </xf>
    <xf numFmtId="165" fontId="323" fillId="9" borderId="0" xfId="1" applyNumberFormat="1" applyFont="1" applyFill="1" applyAlignment="1">
      <alignment horizontal="center" vertical="center" wrapText="1"/>
    </xf>
    <xf numFmtId="165" fontId="323" fillId="9" borderId="12" xfId="1" applyNumberFormat="1" applyFont="1" applyFill="1" applyBorder="1" applyAlignment="1">
      <alignment horizontal="center" vertical="center" wrapText="1"/>
    </xf>
    <xf numFmtId="0" fontId="114" fillId="13" borderId="161" xfId="2" applyFont="1" applyFill="1" applyBorder="1" applyAlignment="1">
      <alignment horizontal="center" vertical="center"/>
    </xf>
    <xf numFmtId="0" fontId="114" fillId="13" borderId="162" xfId="2" applyFont="1" applyFill="1" applyBorder="1" applyAlignment="1">
      <alignment horizontal="center" vertical="center"/>
    </xf>
    <xf numFmtId="0" fontId="114" fillId="13" borderId="214" xfId="2" applyFont="1" applyFill="1" applyBorder="1" applyAlignment="1">
      <alignment horizontal="center" vertical="center"/>
    </xf>
    <xf numFmtId="0" fontId="114" fillId="0" borderId="54" xfId="1" applyFont="1" applyBorder="1" applyAlignment="1">
      <alignment horizontal="center" vertical="center"/>
    </xf>
    <xf numFmtId="0" fontId="115" fillId="4" borderId="211" xfId="1" applyFont="1" applyFill="1" applyBorder="1" applyAlignment="1">
      <alignment horizontal="center" vertical="center" wrapText="1"/>
    </xf>
    <xf numFmtId="2" fontId="332" fillId="67" borderId="0" xfId="6" applyNumberFormat="1" applyFont="1" applyFill="1" applyAlignment="1" applyProtection="1">
      <alignment horizontal="center" vertical="center"/>
      <protection locked="0"/>
    </xf>
    <xf numFmtId="2" fontId="332" fillId="67" borderId="145" xfId="6" applyNumberFormat="1" applyFont="1" applyFill="1" applyBorder="1" applyAlignment="1" applyProtection="1">
      <alignment horizontal="center" vertical="center"/>
      <protection locked="0"/>
    </xf>
    <xf numFmtId="1" fontId="138" fillId="67" borderId="0" xfId="6" applyNumberFormat="1" applyFont="1" applyFill="1" applyAlignment="1" applyProtection="1">
      <alignment horizontal="center" vertical="center"/>
      <protection locked="0"/>
    </xf>
    <xf numFmtId="1" fontId="138" fillId="67" borderId="145" xfId="6" applyNumberFormat="1" applyFont="1" applyFill="1" applyBorder="1" applyAlignment="1" applyProtection="1">
      <alignment horizontal="center" vertical="center"/>
      <protection locked="0"/>
    </xf>
    <xf numFmtId="0" fontId="138" fillId="33" borderId="0" xfId="6" applyFont="1" applyFill="1" applyAlignment="1" applyProtection="1">
      <alignment horizontal="center" vertical="center"/>
      <protection locked="0"/>
    </xf>
    <xf numFmtId="0" fontId="138" fillId="33" borderId="145" xfId="6" applyFont="1" applyFill="1" applyBorder="1" applyAlignment="1" applyProtection="1">
      <alignment horizontal="center" vertical="center"/>
      <protection locked="0"/>
    </xf>
    <xf numFmtId="213" fontId="138" fillId="33" borderId="0" xfId="6" applyNumberFormat="1" applyFont="1" applyFill="1" applyAlignment="1" applyProtection="1">
      <alignment horizontal="right" vertical="center"/>
      <protection locked="0"/>
    </xf>
    <xf numFmtId="213" fontId="138" fillId="33" borderId="145" xfId="6" applyNumberFormat="1" applyFont="1" applyFill="1" applyBorder="1" applyAlignment="1" applyProtection="1">
      <alignment horizontal="right" vertical="center"/>
      <protection locked="0"/>
    </xf>
    <xf numFmtId="214" fontId="138" fillId="33" borderId="0" xfId="1" applyNumberFormat="1" applyFont="1" applyFill="1" applyAlignment="1">
      <alignment horizontal="center" vertical="center"/>
    </xf>
    <xf numFmtId="214" fontId="138" fillId="33" borderId="145" xfId="1" applyNumberFormat="1" applyFont="1" applyFill="1" applyBorder="1" applyAlignment="1">
      <alignment horizontal="center" vertical="center"/>
    </xf>
    <xf numFmtId="1" fontId="166" fillId="33" borderId="0" xfId="6" applyNumberFormat="1" applyFont="1" applyFill="1" applyAlignment="1" applyProtection="1">
      <alignment horizontal="left" vertical="center"/>
      <protection locked="0"/>
    </xf>
    <xf numFmtId="1" fontId="166" fillId="33" borderId="145" xfId="6" applyNumberFormat="1" applyFont="1" applyFill="1" applyBorder="1" applyAlignment="1" applyProtection="1">
      <alignment horizontal="left" vertical="center"/>
      <protection locked="0"/>
    </xf>
    <xf numFmtId="0" fontId="122" fillId="4" borderId="211" xfId="1" applyFont="1" applyFill="1" applyBorder="1" applyAlignment="1">
      <alignment horizontal="center" vertical="center" wrapText="1"/>
    </xf>
    <xf numFmtId="0" fontId="78" fillId="4" borderId="211" xfId="1" applyFont="1" applyFill="1" applyBorder="1" applyAlignment="1">
      <alignment horizontal="center" vertical="center" wrapText="1"/>
    </xf>
    <xf numFmtId="0" fontId="101" fillId="4" borderId="211" xfId="1" applyFont="1" applyFill="1" applyBorder="1" applyAlignment="1">
      <alignment horizontal="center" vertical="center" wrapText="1"/>
    </xf>
    <xf numFmtId="0" fontId="78" fillId="4" borderId="212" xfId="1" applyFont="1" applyFill="1" applyBorder="1" applyAlignment="1">
      <alignment horizontal="center" vertical="center" wrapText="1"/>
    </xf>
    <xf numFmtId="0" fontId="114" fillId="13" borderId="76" xfId="2" applyFont="1" applyFill="1" applyBorder="1" applyAlignment="1">
      <alignment horizontal="center" vertical="center"/>
    </xf>
    <xf numFmtId="0" fontId="114" fillId="13" borderId="75" xfId="2" applyFont="1" applyFill="1" applyBorder="1" applyAlignment="1">
      <alignment horizontal="center" vertical="center"/>
    </xf>
    <xf numFmtId="0" fontId="114" fillId="13" borderId="74" xfId="2" applyFont="1" applyFill="1" applyBorder="1" applyAlignment="1">
      <alignment horizontal="center" vertical="center"/>
    </xf>
    <xf numFmtId="213" fontId="138" fillId="33" borderId="0" xfId="6" applyNumberFormat="1" applyFont="1" applyFill="1" applyAlignment="1" applyProtection="1">
      <alignment horizontal="center" vertical="center"/>
      <protection locked="0"/>
    </xf>
    <xf numFmtId="213" fontId="138" fillId="33" borderId="145" xfId="6" applyNumberFormat="1" applyFont="1" applyFill="1" applyBorder="1" applyAlignment="1" applyProtection="1">
      <alignment horizontal="center" vertical="center"/>
      <protection locked="0"/>
    </xf>
    <xf numFmtId="214" fontId="138" fillId="33" borderId="0" xfId="1" applyNumberFormat="1" applyFont="1" applyFill="1" applyAlignment="1">
      <alignment horizontal="left" vertical="center"/>
    </xf>
    <xf numFmtId="214" fontId="138" fillId="33" borderId="145" xfId="1" applyNumberFormat="1" applyFont="1" applyFill="1" applyBorder="1" applyAlignment="1">
      <alignment horizontal="left" vertical="center"/>
    </xf>
    <xf numFmtId="1" fontId="166" fillId="33" borderId="12" xfId="6" applyNumberFormat="1" applyFont="1" applyFill="1" applyBorder="1" applyAlignment="1" applyProtection="1">
      <alignment horizontal="center" vertical="center"/>
      <protection locked="0"/>
    </xf>
    <xf numFmtId="1" fontId="166" fillId="33" borderId="95" xfId="6" applyNumberFormat="1" applyFont="1" applyFill="1" applyBorder="1" applyAlignment="1" applyProtection="1">
      <alignment horizontal="center" vertical="center"/>
      <protection locked="0"/>
    </xf>
    <xf numFmtId="0" fontId="322" fillId="67" borderId="0" xfId="6" applyFont="1" applyFill="1" applyAlignment="1" applyProtection="1">
      <alignment horizontal="right" vertical="center" wrapText="1"/>
      <protection locked="0"/>
    </xf>
    <xf numFmtId="0" fontId="322" fillId="64" borderId="0" xfId="6" applyFont="1" applyFill="1" applyAlignment="1" applyProtection="1">
      <alignment horizontal="center" vertical="center"/>
      <protection locked="0"/>
    </xf>
    <xf numFmtId="0" fontId="322" fillId="64" borderId="0" xfId="6" applyFont="1" applyFill="1" applyAlignment="1" applyProtection="1">
      <alignment horizontal="left" vertical="center"/>
      <protection locked="0"/>
    </xf>
    <xf numFmtId="170" fontId="101" fillId="67" borderId="12" xfId="6" applyNumberFormat="1" applyFont="1" applyFill="1" applyBorder="1" applyAlignment="1" applyProtection="1">
      <alignment horizontal="center" vertical="center"/>
      <protection locked="0"/>
    </xf>
    <xf numFmtId="0" fontId="138" fillId="33" borderId="0" xfId="6" applyFont="1" applyFill="1" applyAlignment="1">
      <alignment horizontal="center"/>
    </xf>
    <xf numFmtId="213" fontId="138" fillId="2" borderId="0" xfId="6" applyNumberFormat="1" applyFont="1" applyFill="1" applyAlignment="1" applyProtection="1">
      <alignment horizontal="center" vertical="center"/>
      <protection locked="0"/>
    </xf>
    <xf numFmtId="213" fontId="138" fillId="2" borderId="10" xfId="6" applyNumberFormat="1" applyFont="1" applyFill="1" applyBorder="1" applyAlignment="1" applyProtection="1">
      <alignment horizontal="center" vertical="center"/>
      <protection locked="0"/>
    </xf>
    <xf numFmtId="214" fontId="138" fillId="2" borderId="27" xfId="1" applyNumberFormat="1" applyFont="1" applyFill="1" applyBorder="1" applyAlignment="1">
      <alignment horizontal="center" vertical="center"/>
    </xf>
    <xf numFmtId="214" fontId="138" fillId="2" borderId="10" xfId="1" applyNumberFormat="1" applyFont="1" applyFill="1" applyBorder="1" applyAlignment="1">
      <alignment horizontal="center" vertical="center"/>
    </xf>
    <xf numFmtId="1" fontId="166" fillId="2" borderId="12" xfId="6" applyNumberFormat="1" applyFont="1" applyFill="1" applyBorder="1" applyAlignment="1" applyProtection="1">
      <alignment horizontal="center" vertical="center"/>
      <protection locked="0"/>
    </xf>
    <xf numFmtId="1" fontId="166" fillId="2" borderId="9" xfId="6" applyNumberFormat="1" applyFont="1" applyFill="1" applyBorder="1" applyAlignment="1" applyProtection="1">
      <alignment horizontal="center" vertical="center"/>
      <protection locked="0"/>
    </xf>
    <xf numFmtId="0" fontId="233" fillId="61" borderId="148" xfId="6" applyFont="1" applyFill="1" applyBorder="1" applyAlignment="1">
      <alignment horizontal="center" vertical="center"/>
    </xf>
    <xf numFmtId="0" fontId="233" fillId="61" borderId="97" xfId="6" applyFont="1" applyFill="1" applyBorder="1" applyAlignment="1">
      <alignment horizontal="center" vertical="center"/>
    </xf>
    <xf numFmtId="169" fontId="116" fillId="2" borderId="13" xfId="6" applyNumberFormat="1" applyFont="1" applyFill="1" applyBorder="1" applyAlignment="1" applyProtection="1">
      <alignment horizontal="center" vertical="center"/>
      <protection locked="0"/>
    </xf>
    <xf numFmtId="169" fontId="116" fillId="2" borderId="0" xfId="6" applyNumberFormat="1" applyFont="1" applyFill="1" applyAlignment="1" applyProtection="1">
      <alignment horizontal="center" vertical="center"/>
      <protection locked="0"/>
    </xf>
    <xf numFmtId="0" fontId="187" fillId="33" borderId="0" xfId="6" applyFont="1" applyFill="1" applyAlignment="1" applyProtection="1">
      <alignment horizontal="center" vertical="center" wrapText="1"/>
      <protection locked="0"/>
    </xf>
    <xf numFmtId="0" fontId="325" fillId="55" borderId="37" xfId="6" applyFont="1" applyFill="1" applyBorder="1" applyAlignment="1">
      <alignment horizontal="left" vertical="center"/>
    </xf>
    <xf numFmtId="0" fontId="325" fillId="55" borderId="36" xfId="6" applyFont="1" applyFill="1" applyBorder="1" applyAlignment="1">
      <alignment horizontal="left" vertical="center"/>
    </xf>
    <xf numFmtId="0" fontId="325" fillId="55" borderId="35" xfId="6" applyFont="1" applyFill="1" applyBorder="1" applyAlignment="1">
      <alignment horizontal="left" vertical="center"/>
    </xf>
    <xf numFmtId="0" fontId="101" fillId="67" borderId="13" xfId="6" applyFont="1" applyFill="1" applyBorder="1" applyAlignment="1" applyProtection="1">
      <alignment horizontal="right" vertical="center" wrapText="1"/>
      <protection locked="0"/>
    </xf>
    <xf numFmtId="0" fontId="101" fillId="67" borderId="0" xfId="6" applyFont="1" applyFill="1" applyAlignment="1" applyProtection="1">
      <alignment horizontal="right" vertical="center" wrapText="1"/>
      <protection locked="0"/>
    </xf>
    <xf numFmtId="0" fontId="101" fillId="67" borderId="68" xfId="6" applyFont="1" applyFill="1" applyBorder="1" applyAlignment="1" applyProtection="1">
      <alignment horizontal="right" vertical="center" wrapText="1"/>
      <protection locked="0"/>
    </xf>
    <xf numFmtId="0" fontId="101" fillId="67" borderId="145" xfId="6" applyFont="1" applyFill="1" applyBorder="1" applyAlignment="1" applyProtection="1">
      <alignment horizontal="right" vertical="center" wrapText="1"/>
      <protection locked="0"/>
    </xf>
    <xf numFmtId="174" fontId="138" fillId="2" borderId="13" xfId="6" applyNumberFormat="1" applyFont="1" applyFill="1" applyBorder="1" applyAlignment="1" applyProtection="1">
      <alignment horizontal="center" vertical="center"/>
      <protection locked="0"/>
    </xf>
    <xf numFmtId="174" fontId="138" fillId="2" borderId="56" xfId="6" applyNumberFormat="1" applyFont="1" applyFill="1" applyBorder="1" applyAlignment="1" applyProtection="1">
      <alignment horizontal="center" vertical="center"/>
      <protection locked="0"/>
    </xf>
    <xf numFmtId="174" fontId="138" fillId="2" borderId="11" xfId="6" applyNumberFormat="1" applyFont="1" applyFill="1" applyBorder="1" applyAlignment="1" applyProtection="1">
      <alignment horizontal="center" vertical="center"/>
      <protection locked="0"/>
    </xf>
    <xf numFmtId="174" fontId="138" fillId="2" borderId="107" xfId="6" applyNumberFormat="1" applyFont="1" applyFill="1" applyBorder="1" applyAlignment="1" applyProtection="1">
      <alignment horizontal="center" vertical="center"/>
      <protection locked="0"/>
    </xf>
    <xf numFmtId="2" fontId="138" fillId="2" borderId="110" xfId="6" applyNumberFormat="1" applyFont="1" applyFill="1" applyBorder="1" applyAlignment="1" applyProtection="1">
      <alignment horizontal="right" vertical="center"/>
      <protection locked="0"/>
    </xf>
    <xf numFmtId="2" fontId="138" fillId="2" borderId="106" xfId="6" applyNumberFormat="1" applyFont="1" applyFill="1" applyBorder="1" applyAlignment="1" applyProtection="1">
      <alignment horizontal="right" vertical="center"/>
      <protection locked="0"/>
    </xf>
    <xf numFmtId="0" fontId="138" fillId="2" borderId="207" xfId="6" applyFont="1" applyFill="1" applyBorder="1" applyAlignment="1" applyProtection="1">
      <alignment horizontal="left" vertical="center"/>
      <protection locked="0"/>
    </xf>
    <xf numFmtId="0" fontId="138" fillId="2" borderId="156" xfId="6" applyFont="1" applyFill="1" applyBorder="1" applyAlignment="1" applyProtection="1">
      <alignment horizontal="left" vertical="center"/>
      <protection locked="0"/>
    </xf>
    <xf numFmtId="1" fontId="166" fillId="2" borderId="56" xfId="6" applyNumberFormat="1" applyFont="1" applyFill="1" applyBorder="1" applyAlignment="1" applyProtection="1">
      <alignment horizontal="center" vertical="center"/>
      <protection locked="0"/>
    </xf>
    <xf numFmtId="1" fontId="166" fillId="2" borderId="107" xfId="6" applyNumberFormat="1" applyFont="1" applyFill="1" applyBorder="1" applyAlignment="1" applyProtection="1">
      <alignment horizontal="center" vertical="center"/>
      <protection locked="0"/>
    </xf>
    <xf numFmtId="0" fontId="209" fillId="4" borderId="148" xfId="6" applyFont="1" applyFill="1" applyBorder="1" applyAlignment="1">
      <alignment horizontal="center" vertical="center"/>
    </xf>
    <xf numFmtId="0" fontId="209" fillId="4" borderId="97" xfId="6" applyFont="1" applyFill="1" applyBorder="1" applyAlignment="1">
      <alignment horizontal="center" vertical="center"/>
    </xf>
    <xf numFmtId="0" fontId="209" fillId="4" borderId="149" xfId="6" applyFont="1" applyFill="1" applyBorder="1" applyAlignment="1">
      <alignment horizontal="center" vertical="center"/>
    </xf>
    <xf numFmtId="0" fontId="209" fillId="4" borderId="28" xfId="6" applyFont="1" applyFill="1" applyBorder="1" applyAlignment="1">
      <alignment horizontal="center" vertical="center"/>
    </xf>
    <xf numFmtId="0" fontId="209" fillId="4" borderId="27" xfId="6" applyFont="1" applyFill="1" applyBorder="1" applyAlignment="1">
      <alignment horizontal="center" vertical="center"/>
    </xf>
    <xf numFmtId="0" fontId="209" fillId="4" borderId="26" xfId="6" applyFont="1" applyFill="1" applyBorder="1" applyAlignment="1">
      <alignment horizontal="center" vertical="center"/>
    </xf>
    <xf numFmtId="0" fontId="138" fillId="2" borderId="27" xfId="6" applyFont="1" applyFill="1" applyBorder="1" applyAlignment="1" applyProtection="1">
      <alignment horizontal="left" vertical="center"/>
      <protection locked="0"/>
    </xf>
    <xf numFmtId="0" fontId="101" fillId="0" borderId="203" xfId="6" applyFont="1" applyBorder="1" applyAlignment="1" applyProtection="1">
      <alignment horizontal="center" vertical="center" wrapText="1"/>
      <protection locked="0"/>
    </xf>
    <xf numFmtId="0" fontId="101" fillId="0" borderId="204" xfId="6" applyFont="1" applyBorder="1" applyAlignment="1" applyProtection="1">
      <alignment horizontal="center" vertical="center" wrapText="1"/>
      <protection locked="0"/>
    </xf>
    <xf numFmtId="0" fontId="101" fillId="0" borderId="13" xfId="6" applyFont="1" applyBorder="1" applyAlignment="1" applyProtection="1">
      <alignment horizontal="center" vertical="center" wrapText="1"/>
      <protection locked="0"/>
    </xf>
    <xf numFmtId="0" fontId="101" fillId="0" borderId="56" xfId="6" applyFont="1" applyBorder="1" applyAlignment="1" applyProtection="1">
      <alignment horizontal="center" vertical="center" wrapText="1"/>
      <protection locked="0"/>
    </xf>
    <xf numFmtId="0" fontId="101" fillId="0" borderId="205" xfId="6" applyFont="1" applyBorder="1" applyAlignment="1" applyProtection="1">
      <alignment horizontal="center" vertical="center"/>
      <protection locked="0"/>
    </xf>
    <xf numFmtId="0" fontId="101" fillId="0" borderId="206" xfId="6" applyFont="1" applyBorder="1" applyAlignment="1" applyProtection="1">
      <alignment horizontal="center" vertical="center"/>
      <protection locked="0"/>
    </xf>
    <xf numFmtId="0" fontId="101" fillId="0" borderId="110" xfId="6" applyFont="1" applyBorder="1" applyAlignment="1" applyProtection="1">
      <alignment horizontal="center" vertical="center"/>
      <protection locked="0"/>
    </xf>
    <xf numFmtId="0" fontId="101" fillId="0" borderId="207" xfId="6" applyFont="1" applyBorder="1" applyAlignment="1" applyProtection="1">
      <alignment horizontal="center" vertical="center"/>
      <protection locked="0"/>
    </xf>
    <xf numFmtId="0" fontId="324" fillId="2" borderId="129" xfId="6" applyFont="1" applyFill="1" applyBorder="1" applyAlignment="1" applyProtection="1">
      <alignment horizontal="center" vertical="center"/>
      <protection locked="0"/>
    </xf>
    <xf numFmtId="0" fontId="324" fillId="2" borderId="210" xfId="6" applyFont="1" applyFill="1" applyBorder="1" applyAlignment="1" applyProtection="1">
      <alignment horizontal="center" vertical="center"/>
      <protection locked="0"/>
    </xf>
    <xf numFmtId="0" fontId="324" fillId="2" borderId="0" xfId="6" applyFont="1" applyFill="1" applyAlignment="1" applyProtection="1">
      <alignment horizontal="center" vertical="center"/>
      <protection locked="0"/>
    </xf>
    <xf numFmtId="0" fontId="324" fillId="2" borderId="12" xfId="6" applyFont="1" applyFill="1" applyBorder="1" applyAlignment="1" applyProtection="1">
      <alignment horizontal="center" vertical="center"/>
      <protection locked="0"/>
    </xf>
    <xf numFmtId="0" fontId="325" fillId="61" borderId="37" xfId="6" applyFont="1" applyFill="1" applyBorder="1" applyAlignment="1">
      <alignment horizontal="center" vertical="center"/>
    </xf>
    <xf numFmtId="0" fontId="325" fillId="61" borderId="36" xfId="6" applyFont="1" applyFill="1" applyBorder="1" applyAlignment="1">
      <alignment horizontal="center" vertical="center"/>
    </xf>
    <xf numFmtId="0" fontId="325" fillId="61" borderId="35" xfId="6" applyFont="1" applyFill="1" applyBorder="1" applyAlignment="1">
      <alignment horizontal="center" vertical="center"/>
    </xf>
    <xf numFmtId="0" fontId="322" fillId="66" borderId="13" xfId="6" applyFont="1" applyFill="1" applyBorder="1" applyAlignment="1" applyProtection="1">
      <alignment horizontal="center" vertical="center" wrapText="1"/>
      <protection locked="0"/>
    </xf>
    <xf numFmtId="0" fontId="322" fillId="66" borderId="0" xfId="6" applyFont="1" applyFill="1" applyAlignment="1" applyProtection="1">
      <alignment horizontal="center" vertical="center" wrapText="1"/>
      <protection locked="0"/>
    </xf>
    <xf numFmtId="0" fontId="322" fillId="66" borderId="56" xfId="6" applyFont="1" applyFill="1" applyBorder="1" applyAlignment="1" applyProtection="1">
      <alignment horizontal="center" vertical="center" wrapText="1"/>
      <protection locked="0"/>
    </xf>
    <xf numFmtId="0" fontId="322" fillId="66" borderId="28" xfId="6" applyFont="1" applyFill="1" applyBorder="1" applyAlignment="1" applyProtection="1">
      <alignment horizontal="center" vertical="center" wrapText="1"/>
      <protection locked="0"/>
    </xf>
    <xf numFmtId="0" fontId="322" fillId="66" borderId="27" xfId="6" applyFont="1" applyFill="1" applyBorder="1" applyAlignment="1" applyProtection="1">
      <alignment horizontal="center" vertical="center" wrapText="1"/>
      <protection locked="0"/>
    </xf>
    <xf numFmtId="0" fontId="322" fillId="66" borderId="201" xfId="6" applyFont="1" applyFill="1" applyBorder="1" applyAlignment="1" applyProtection="1">
      <alignment horizontal="center" vertical="center" wrapText="1"/>
      <protection locked="0"/>
    </xf>
    <xf numFmtId="0" fontId="322" fillId="64" borderId="31" xfId="6" applyFont="1" applyFill="1" applyBorder="1" applyAlignment="1" applyProtection="1">
      <alignment horizontal="center" vertical="center"/>
      <protection locked="0"/>
    </xf>
    <xf numFmtId="0" fontId="322" fillId="64" borderId="166" xfId="6" applyFont="1" applyFill="1" applyBorder="1" applyAlignment="1" applyProtection="1">
      <alignment horizontal="center" vertical="center"/>
      <protection locked="0"/>
    </xf>
    <xf numFmtId="0" fontId="322" fillId="64" borderId="56" xfId="6" applyFont="1" applyFill="1" applyBorder="1" applyAlignment="1" applyProtection="1">
      <alignment horizontal="center" vertical="center"/>
      <protection locked="0"/>
    </xf>
    <xf numFmtId="0" fontId="322" fillId="64" borderId="201" xfId="6" applyFont="1" applyFill="1" applyBorder="1" applyAlignment="1" applyProtection="1">
      <alignment horizontal="center" vertical="center"/>
      <protection locked="0"/>
    </xf>
    <xf numFmtId="0" fontId="178" fillId="64" borderId="0" xfId="6" applyFont="1" applyFill="1" applyAlignment="1" applyProtection="1">
      <alignment horizontal="center" vertical="center"/>
      <protection locked="0"/>
    </xf>
    <xf numFmtId="0" fontId="178" fillId="64" borderId="27" xfId="6" applyFont="1" applyFill="1" applyBorder="1" applyAlignment="1" applyProtection="1">
      <alignment horizontal="center" vertical="center"/>
      <protection locked="0"/>
    </xf>
    <xf numFmtId="1" fontId="323" fillId="64" borderId="110" xfId="6" applyNumberFormat="1" applyFont="1" applyFill="1" applyBorder="1" applyAlignment="1" applyProtection="1">
      <alignment horizontal="center" vertical="center"/>
      <protection locked="0"/>
    </xf>
    <xf numFmtId="1" fontId="323" fillId="64" borderId="12" xfId="6" applyNumberFormat="1" applyFont="1" applyFill="1" applyBorder="1" applyAlignment="1" applyProtection="1">
      <alignment horizontal="center" vertical="center"/>
      <protection locked="0"/>
    </xf>
    <xf numFmtId="1" fontId="323" fillId="64" borderId="202" xfId="6" applyNumberFormat="1" applyFont="1" applyFill="1" applyBorder="1" applyAlignment="1" applyProtection="1">
      <alignment horizontal="center" vertical="center"/>
      <protection locked="0"/>
    </xf>
    <xf numFmtId="1" fontId="323" fillId="64" borderId="26" xfId="6" applyNumberFormat="1" applyFont="1" applyFill="1" applyBorder="1" applyAlignment="1" applyProtection="1">
      <alignment horizontal="center" vertical="center"/>
      <protection locked="0"/>
    </xf>
    <xf numFmtId="0" fontId="138" fillId="5" borderId="148" xfId="6" applyFont="1" applyFill="1" applyBorder="1" applyAlignment="1">
      <alignment horizontal="center" vertical="center"/>
    </xf>
    <xf numFmtId="0" fontId="138" fillId="5" borderId="97" xfId="6" applyFont="1" applyFill="1" applyBorder="1" applyAlignment="1">
      <alignment horizontal="center" vertical="center"/>
    </xf>
    <xf numFmtId="0" fontId="138" fillId="5" borderId="149" xfId="6" applyFont="1" applyFill="1" applyBorder="1" applyAlignment="1">
      <alignment horizontal="center" vertical="center"/>
    </xf>
    <xf numFmtId="0" fontId="138" fillId="2" borderId="213" xfId="6" applyFont="1" applyFill="1" applyBorder="1" applyAlignment="1" applyProtection="1">
      <alignment horizontal="center" vertical="center"/>
      <protection locked="0"/>
    </xf>
    <xf numFmtId="0" fontId="138" fillId="2" borderId="0" xfId="6" applyFont="1" applyFill="1" applyAlignment="1" applyProtection="1">
      <alignment horizontal="center" vertical="center"/>
      <protection locked="0"/>
    </xf>
    <xf numFmtId="0" fontId="138" fillId="2" borderId="12" xfId="6" applyFont="1" applyFill="1" applyBorder="1" applyAlignment="1" applyProtection="1">
      <alignment horizontal="center" vertical="center"/>
      <protection locked="0"/>
    </xf>
    <xf numFmtId="0" fontId="319" fillId="61" borderId="13" xfId="6" applyFont="1" applyFill="1" applyBorder="1" applyAlignment="1">
      <alignment horizontal="center" vertical="center" wrapText="1"/>
    </xf>
    <xf numFmtId="0" fontId="319" fillId="61" borderId="0" xfId="6" applyFont="1" applyFill="1" applyAlignment="1">
      <alignment horizontal="center" vertical="center" wrapText="1"/>
    </xf>
    <xf numFmtId="0" fontId="319" fillId="61" borderId="28" xfId="6" applyFont="1" applyFill="1" applyBorder="1" applyAlignment="1">
      <alignment horizontal="center" vertical="center" wrapText="1"/>
    </xf>
    <xf numFmtId="0" fontId="319" fillId="61" borderId="27" xfId="6" applyFont="1" applyFill="1" applyBorder="1" applyAlignment="1">
      <alignment horizontal="center" vertical="center" wrapText="1"/>
    </xf>
    <xf numFmtId="0" fontId="319" fillId="55" borderId="148" xfId="6" applyFont="1" applyFill="1" applyBorder="1" applyAlignment="1">
      <alignment horizontal="center" vertical="center" wrapText="1"/>
    </xf>
    <xf numFmtId="0" fontId="319" fillId="55" borderId="97" xfId="6" applyFont="1" applyFill="1" applyBorder="1" applyAlignment="1">
      <alignment horizontal="center" vertical="center" wrapText="1"/>
    </xf>
    <xf numFmtId="0" fontId="319" fillId="55" borderId="13" xfId="6" applyFont="1" applyFill="1" applyBorder="1" applyAlignment="1">
      <alignment horizontal="center" vertical="center" wrapText="1"/>
    </xf>
    <xf numFmtId="0" fontId="319" fillId="55" borderId="0" xfId="6" applyFont="1" applyFill="1" applyAlignment="1">
      <alignment horizontal="center" vertical="center" wrapText="1"/>
    </xf>
    <xf numFmtId="0" fontId="320" fillId="9" borderId="13" xfId="6" applyFont="1" applyFill="1" applyBorder="1" applyAlignment="1">
      <alignment horizontal="center" vertical="center"/>
    </xf>
    <xf numFmtId="0" fontId="320" fillId="9" borderId="0" xfId="6" applyFont="1" applyFill="1" applyAlignment="1">
      <alignment horizontal="center" vertical="center"/>
    </xf>
    <xf numFmtId="0" fontId="320" fillId="9" borderId="12" xfId="6" applyFont="1" applyFill="1" applyBorder="1" applyAlignment="1">
      <alignment horizontal="center" vertical="center"/>
    </xf>
    <xf numFmtId="0" fontId="209" fillId="5" borderId="13" xfId="6" applyFont="1" applyFill="1" applyBorder="1" applyAlignment="1">
      <alignment horizontal="center" vertical="center"/>
    </xf>
    <xf numFmtId="0" fontId="209" fillId="5" borderId="0" xfId="6" applyFont="1" applyFill="1" applyAlignment="1">
      <alignment horizontal="center" vertical="center"/>
    </xf>
    <xf numFmtId="0" fontId="209" fillId="5" borderId="12" xfId="6" applyFont="1" applyFill="1" applyBorder="1" applyAlignment="1">
      <alignment horizontal="center" vertical="center"/>
    </xf>
    <xf numFmtId="0" fontId="321" fillId="0" borderId="148" xfId="6" applyFont="1" applyBorder="1" applyAlignment="1" applyProtection="1">
      <alignment horizontal="center" vertical="center"/>
      <protection locked="0"/>
    </xf>
    <xf numFmtId="0" fontId="321" fillId="0" borderId="97" xfId="6" applyFont="1" applyBorder="1" applyAlignment="1" applyProtection="1">
      <alignment horizontal="center" vertical="center"/>
      <protection locked="0"/>
    </xf>
    <xf numFmtId="0" fontId="321" fillId="0" borderId="146" xfId="6" applyFont="1" applyBorder="1" applyAlignment="1" applyProtection="1">
      <alignment horizontal="center" vertical="center"/>
      <protection locked="0"/>
    </xf>
    <xf numFmtId="0" fontId="321" fillId="0" borderId="13" xfId="6" applyFont="1" applyBorder="1" applyAlignment="1" applyProtection="1">
      <alignment horizontal="center" vertical="center"/>
      <protection locked="0"/>
    </xf>
    <xf numFmtId="0" fontId="321" fillId="0" borderId="0" xfId="6" applyFont="1" applyAlignment="1" applyProtection="1">
      <alignment horizontal="center" vertical="center"/>
      <protection locked="0"/>
    </xf>
    <xf numFmtId="0" fontId="321" fillId="0" borderId="56" xfId="6" applyFont="1" applyBorder="1" applyAlignment="1" applyProtection="1">
      <alignment horizontal="center" vertical="center"/>
      <protection locked="0"/>
    </xf>
    <xf numFmtId="0" fontId="112" fillId="2" borderId="164" xfId="2" applyFont="1" applyFill="1" applyBorder="1" applyAlignment="1">
      <alignment horizontal="center" vertical="center" wrapText="1"/>
    </xf>
    <xf numFmtId="0" fontId="112" fillId="2" borderId="129" xfId="2" applyFont="1" applyFill="1" applyBorder="1" applyAlignment="1">
      <alignment horizontal="center" vertical="center" wrapText="1"/>
    </xf>
    <xf numFmtId="0" fontId="101" fillId="2" borderId="148" xfId="18" applyFont="1" applyFill="1" applyBorder="1" applyAlignment="1">
      <alignment horizontal="center" vertical="center" wrapText="1"/>
    </xf>
    <xf numFmtId="0" fontId="101" fillId="2" borderId="13" xfId="18" applyFont="1" applyFill="1" applyBorder="1" applyAlignment="1">
      <alignment horizontal="center" vertical="center" wrapText="1"/>
    </xf>
    <xf numFmtId="0" fontId="101" fillId="2" borderId="68" xfId="18" applyFont="1" applyFill="1" applyBorder="1" applyAlignment="1">
      <alignment horizontal="center" vertical="center" wrapText="1"/>
    </xf>
    <xf numFmtId="1" fontId="101" fillId="2" borderId="97" xfId="18" applyNumberFormat="1" applyFont="1" applyFill="1" applyBorder="1" applyAlignment="1">
      <alignment horizontal="center" vertical="center"/>
    </xf>
    <xf numFmtId="1" fontId="101" fillId="2" borderId="0" xfId="18" applyNumberFormat="1" applyFont="1" applyFill="1" applyAlignment="1">
      <alignment horizontal="center" vertical="center"/>
    </xf>
    <xf numFmtId="0" fontId="101" fillId="2" borderId="12" xfId="0" applyFont="1" applyFill="1" applyBorder="1" applyAlignment="1">
      <alignment horizontal="center" vertical="center"/>
    </xf>
    <xf numFmtId="0" fontId="101" fillId="2" borderId="95" xfId="0" applyFont="1" applyFill="1" applyBorder="1" applyAlignment="1">
      <alignment horizontal="center" vertical="center"/>
    </xf>
    <xf numFmtId="0" fontId="101" fillId="2" borderId="148" xfId="18" applyFont="1" applyFill="1" applyBorder="1" applyAlignment="1">
      <alignment horizontal="right" vertical="center" wrapText="1"/>
    </xf>
    <xf numFmtId="0" fontId="101" fillId="2" borderId="13" xfId="18" applyFont="1" applyFill="1" applyBorder="1" applyAlignment="1">
      <alignment horizontal="right" vertical="center" wrapText="1"/>
    </xf>
    <xf numFmtId="0" fontId="101" fillId="0" borderId="200" xfId="6" applyFont="1" applyBorder="1" applyAlignment="1" applyProtection="1">
      <alignment horizontal="center" vertical="center" wrapText="1"/>
      <protection locked="0"/>
    </xf>
    <xf numFmtId="0" fontId="101" fillId="0" borderId="110" xfId="6" applyFont="1" applyBorder="1" applyAlignment="1" applyProtection="1">
      <alignment horizontal="center" vertical="center" wrapText="1"/>
      <protection locked="0"/>
    </xf>
    <xf numFmtId="0" fontId="101" fillId="0" borderId="146" xfId="6" applyFont="1" applyBorder="1" applyAlignment="1" applyProtection="1">
      <alignment horizontal="center" vertical="center" wrapText="1"/>
      <protection locked="0"/>
    </xf>
    <xf numFmtId="0" fontId="114" fillId="0" borderId="200" xfId="6" applyFont="1" applyBorder="1" applyAlignment="1" applyProtection="1">
      <alignment horizontal="center" vertical="center" wrapText="1"/>
      <protection locked="0"/>
    </xf>
    <xf numFmtId="0" fontId="114" fillId="0" borderId="97" xfId="6" applyFont="1" applyBorder="1" applyAlignment="1" applyProtection="1">
      <alignment horizontal="center" vertical="center" wrapText="1"/>
      <protection locked="0"/>
    </xf>
    <xf numFmtId="0" fontId="114" fillId="0" borderId="110" xfId="6" applyFont="1" applyBorder="1" applyAlignment="1" applyProtection="1">
      <alignment horizontal="center" vertical="center" wrapText="1"/>
      <protection locked="0"/>
    </xf>
    <xf numFmtId="0" fontId="114" fillId="0" borderId="0" xfId="6" applyFont="1" applyAlignment="1" applyProtection="1">
      <alignment horizontal="center" vertical="center" wrapText="1"/>
      <protection locked="0"/>
    </xf>
    <xf numFmtId="0" fontId="101" fillId="0" borderId="149" xfId="6" applyFont="1" applyBorder="1" applyAlignment="1" applyProtection="1">
      <alignment horizontal="center" vertical="center" wrapText="1"/>
      <protection locked="0"/>
    </xf>
    <xf numFmtId="0" fontId="101" fillId="0" borderId="12" xfId="6" applyFont="1" applyBorder="1" applyAlignment="1" applyProtection="1">
      <alignment horizontal="center" vertical="center" wrapText="1"/>
      <protection locked="0"/>
    </xf>
    <xf numFmtId="0" fontId="328" fillId="0" borderId="0" xfId="6" applyFont="1" applyAlignment="1" applyProtection="1">
      <alignment horizontal="center" vertical="center" wrapText="1"/>
      <protection locked="0"/>
    </xf>
    <xf numFmtId="0" fontId="322" fillId="64" borderId="68" xfId="6" applyFont="1" applyFill="1" applyBorder="1" applyAlignment="1" applyProtection="1">
      <alignment horizontal="center" vertical="center" wrapText="1"/>
      <protection locked="0"/>
    </xf>
    <xf numFmtId="0" fontId="322" fillId="64" borderId="145" xfId="6" applyFont="1" applyFill="1" applyBorder="1" applyAlignment="1" applyProtection="1">
      <alignment horizontal="center" vertical="center" wrapText="1"/>
      <protection locked="0"/>
    </xf>
    <xf numFmtId="0" fontId="322" fillId="64" borderId="145" xfId="6" applyFont="1" applyFill="1" applyBorder="1" applyAlignment="1" applyProtection="1">
      <alignment horizontal="left" vertical="center"/>
      <protection locked="0"/>
    </xf>
    <xf numFmtId="0" fontId="112" fillId="2" borderId="64" xfId="2" applyFont="1" applyFill="1" applyBorder="1" applyAlignment="1">
      <alignment horizontal="center" vertical="center" wrapText="1"/>
    </xf>
    <xf numFmtId="0" fontId="112" fillId="2" borderId="130" xfId="2" applyFont="1" applyFill="1" applyBorder="1" applyAlignment="1">
      <alignment horizontal="center" vertical="center" wrapText="1"/>
    </xf>
    <xf numFmtId="0" fontId="319" fillId="61" borderId="37" xfId="6" applyFont="1" applyFill="1" applyBorder="1" applyAlignment="1">
      <alignment horizontal="left" vertical="center"/>
    </xf>
    <xf numFmtId="0" fontId="319" fillId="61" borderId="36" xfId="6" applyFont="1" applyFill="1" applyBorder="1" applyAlignment="1">
      <alignment horizontal="left" vertical="center"/>
    </xf>
    <xf numFmtId="0" fontId="319" fillId="61" borderId="35" xfId="6" applyFont="1" applyFill="1" applyBorder="1" applyAlignment="1">
      <alignment horizontal="left" vertical="center"/>
    </xf>
    <xf numFmtId="0" fontId="319" fillId="55" borderId="37" xfId="6" applyFont="1" applyFill="1" applyBorder="1" applyAlignment="1">
      <alignment horizontal="left" vertical="center"/>
    </xf>
    <xf numFmtId="0" fontId="319" fillId="55" borderId="36" xfId="6" applyFont="1" applyFill="1" applyBorder="1" applyAlignment="1">
      <alignment horizontal="left" vertical="center"/>
    </xf>
    <xf numFmtId="0" fontId="319" fillId="55" borderId="35" xfId="6" applyFont="1" applyFill="1" applyBorder="1" applyAlignment="1">
      <alignment horizontal="left" vertical="center"/>
    </xf>
    <xf numFmtId="0" fontId="101" fillId="2" borderId="0" xfId="18" applyFont="1" applyFill="1" applyAlignment="1">
      <alignment horizontal="right" vertical="center" wrapText="1"/>
    </xf>
    <xf numFmtId="0" fontId="266" fillId="2" borderId="167" xfId="18" applyFont="1" applyFill="1" applyBorder="1" applyAlignment="1">
      <alignment horizontal="center" vertical="center" wrapText="1"/>
    </xf>
    <xf numFmtId="0" fontId="266" fillId="2" borderId="54" xfId="18" applyFont="1" applyFill="1" applyBorder="1" applyAlignment="1">
      <alignment horizontal="center" vertical="center" wrapText="1"/>
    </xf>
    <xf numFmtId="0" fontId="304" fillId="2" borderId="165" xfId="18" applyFont="1" applyFill="1" applyBorder="1" applyAlignment="1">
      <alignment horizontal="center" vertical="center" wrapText="1"/>
    </xf>
    <xf numFmtId="0" fontId="304" fillId="2" borderId="31" xfId="18" applyFont="1" applyFill="1" applyBorder="1" applyAlignment="1">
      <alignment horizontal="center" vertical="center" wrapText="1"/>
    </xf>
    <xf numFmtId="0" fontId="282" fillId="2" borderId="165" xfId="23" applyFont="1" applyFill="1" applyBorder="1" applyAlignment="1">
      <alignment horizontal="center" vertical="center" wrapText="1"/>
    </xf>
    <xf numFmtId="0" fontId="282" fillId="2" borderId="31" xfId="23" applyFont="1" applyFill="1" applyBorder="1" applyAlignment="1">
      <alignment horizontal="center" vertical="center" wrapText="1"/>
    </xf>
    <xf numFmtId="0" fontId="101" fillId="33" borderId="12" xfId="23" applyFont="1" applyFill="1" applyBorder="1" applyAlignment="1">
      <alignment horizontal="center" vertical="center" wrapText="1"/>
    </xf>
    <xf numFmtId="0" fontId="101" fillId="2" borderId="41" xfId="0" applyFont="1" applyFill="1" applyBorder="1" applyAlignment="1">
      <alignment horizontal="center" vertical="center"/>
    </xf>
    <xf numFmtId="0" fontId="101" fillId="2" borderId="39" xfId="0" applyFont="1" applyFill="1" applyBorder="1" applyAlignment="1">
      <alignment horizontal="center" vertical="center"/>
    </xf>
    <xf numFmtId="0" fontId="127" fillId="62" borderId="12" xfId="2" applyFont="1" applyFill="1" applyBorder="1" applyAlignment="1">
      <alignment horizontal="center" vertical="center" textRotation="90" wrapText="1"/>
    </xf>
    <xf numFmtId="0" fontId="121" fillId="13" borderId="147" xfId="0" applyFont="1" applyFill="1" applyBorder="1" applyAlignment="1">
      <alignment horizontal="left" vertical="center"/>
    </xf>
    <xf numFmtId="0" fontId="121" fillId="13" borderId="122" xfId="0" applyFont="1" applyFill="1" applyBorder="1" applyAlignment="1">
      <alignment horizontal="left" vertical="center"/>
    </xf>
    <xf numFmtId="0" fontId="121" fillId="13" borderId="145" xfId="0" applyFont="1" applyFill="1" applyBorder="1" applyAlignment="1">
      <alignment horizontal="left"/>
    </xf>
    <xf numFmtId="0" fontId="121" fillId="13" borderId="95" xfId="0" applyFont="1" applyFill="1" applyBorder="1" applyAlignment="1">
      <alignment horizontal="left"/>
    </xf>
    <xf numFmtId="0" fontId="101" fillId="33" borderId="0" xfId="23" applyFont="1" applyFill="1" applyAlignment="1">
      <alignment horizontal="center" vertical="center" wrapText="1"/>
    </xf>
    <xf numFmtId="0" fontId="101" fillId="2" borderId="42" xfId="18" applyFont="1" applyFill="1" applyBorder="1" applyAlignment="1">
      <alignment horizontal="center" vertical="center" wrapText="1"/>
    </xf>
    <xf numFmtId="0" fontId="101" fillId="2" borderId="40" xfId="18" applyFont="1" applyFill="1" applyBorder="1" applyAlignment="1">
      <alignment horizontal="center" vertical="center" wrapText="1"/>
    </xf>
    <xf numFmtId="0" fontId="11" fillId="8" borderId="37" xfId="0" applyFont="1" applyFill="1" applyBorder="1" applyAlignment="1">
      <alignment horizontal="center"/>
    </xf>
    <xf numFmtId="0" fontId="11" fillId="8" borderId="36" xfId="0" applyFont="1" applyFill="1" applyBorder="1" applyAlignment="1">
      <alignment horizontal="center"/>
    </xf>
    <xf numFmtId="0" fontId="11" fillId="8" borderId="35" xfId="0" applyFont="1" applyFill="1" applyBorder="1" applyAlignment="1">
      <alignment horizontal="center"/>
    </xf>
    <xf numFmtId="0" fontId="11" fillId="8" borderId="69" xfId="0" applyFont="1" applyFill="1" applyBorder="1" applyAlignment="1">
      <alignment horizontal="center"/>
    </xf>
    <xf numFmtId="0" fontId="11" fillId="8" borderId="61" xfId="0" applyFont="1" applyFill="1" applyBorder="1" applyAlignment="1">
      <alignment horizontal="center"/>
    </xf>
    <xf numFmtId="0" fontId="11" fillId="8" borderId="60" xfId="0" applyFont="1" applyFill="1" applyBorder="1" applyAlignment="1">
      <alignment horizontal="center"/>
    </xf>
    <xf numFmtId="0" fontId="101" fillId="2" borderId="129" xfId="18" applyFont="1" applyFill="1" applyBorder="1" applyAlignment="1">
      <alignment horizontal="center" vertical="center" wrapText="1"/>
    </xf>
    <xf numFmtId="0" fontId="101" fillId="2" borderId="0" xfId="18" applyFont="1" applyFill="1" applyAlignment="1">
      <alignment horizontal="center" vertical="center" wrapText="1"/>
    </xf>
    <xf numFmtId="0" fontId="101" fillId="2" borderId="145" xfId="18" applyFont="1" applyFill="1" applyBorder="1" applyAlignment="1">
      <alignment horizontal="center" vertical="center" wrapText="1"/>
    </xf>
    <xf numFmtId="1" fontId="101" fillId="2" borderId="129" xfId="18" applyNumberFormat="1" applyFont="1" applyFill="1" applyBorder="1" applyAlignment="1">
      <alignment horizontal="center" vertical="center"/>
    </xf>
    <xf numFmtId="165" fontId="78" fillId="2" borderId="0" xfId="0" applyNumberFormat="1" applyFont="1" applyFill="1" applyAlignment="1">
      <alignment horizontal="center" vertical="center"/>
    </xf>
    <xf numFmtId="165" fontId="78" fillId="2" borderId="145" xfId="0" applyNumberFormat="1" applyFont="1" applyFill="1" applyBorder="1" applyAlignment="1">
      <alignment horizontal="center" vertical="center"/>
    </xf>
    <xf numFmtId="0" fontId="101" fillId="2" borderId="155" xfId="0" applyFont="1" applyFill="1" applyBorder="1" applyAlignment="1">
      <alignment horizontal="center" vertical="center"/>
    </xf>
    <xf numFmtId="0" fontId="101" fillId="2" borderId="12" xfId="23" applyFont="1" applyFill="1" applyBorder="1" applyAlignment="1">
      <alignment horizontal="center" vertical="center" wrapText="1"/>
    </xf>
    <xf numFmtId="0" fontId="101" fillId="2" borderId="95" xfId="23" applyFont="1" applyFill="1" applyBorder="1" applyAlignment="1">
      <alignment horizontal="center" vertical="center" wrapText="1"/>
    </xf>
    <xf numFmtId="0" fontId="266" fillId="2" borderId="160" xfId="18" applyFont="1" applyFill="1" applyBorder="1" applyAlignment="1">
      <alignment horizontal="center" vertical="center" wrapText="1"/>
    </xf>
    <xf numFmtId="0" fontId="304" fillId="2" borderId="168" xfId="18" applyFont="1" applyFill="1" applyBorder="1" applyAlignment="1">
      <alignment horizontal="center" vertical="center" wrapText="1"/>
    </xf>
    <xf numFmtId="0" fontId="282" fillId="2" borderId="168" xfId="23" applyFont="1" applyFill="1" applyBorder="1" applyAlignment="1">
      <alignment horizontal="center" vertical="center" wrapText="1"/>
    </xf>
    <xf numFmtId="0" fontId="101" fillId="33" borderId="169" xfId="23" applyFont="1" applyFill="1" applyBorder="1" applyAlignment="1">
      <alignment horizontal="center" vertical="center" wrapText="1"/>
    </xf>
    <xf numFmtId="0" fontId="101" fillId="33" borderId="133" xfId="23" applyFont="1" applyFill="1" applyBorder="1" applyAlignment="1">
      <alignment horizontal="center" vertical="center" wrapText="1"/>
    </xf>
    <xf numFmtId="0" fontId="101" fillId="2" borderId="49" xfId="18" applyFont="1" applyFill="1" applyBorder="1" applyAlignment="1">
      <alignment horizontal="center" vertical="center" wrapText="1"/>
    </xf>
    <xf numFmtId="0" fontId="101" fillId="2" borderId="117" xfId="18" applyFont="1" applyFill="1" applyBorder="1" applyAlignment="1">
      <alignment horizontal="center" vertical="center" wrapText="1"/>
    </xf>
    <xf numFmtId="0" fontId="266" fillId="2" borderId="328" xfId="18" applyFont="1" applyFill="1" applyBorder="1" applyAlignment="1">
      <alignment horizontal="center" vertical="center" wrapText="1"/>
    </xf>
    <xf numFmtId="0" fontId="304" fillId="2" borderId="211" xfId="18" applyFont="1" applyFill="1" applyBorder="1" applyAlignment="1">
      <alignment horizontal="center" vertical="center" wrapText="1"/>
    </xf>
    <xf numFmtId="0" fontId="282" fillId="2" borderId="211" xfId="23" applyFont="1" applyFill="1" applyBorder="1" applyAlignment="1">
      <alignment horizontal="center" vertical="center" wrapText="1"/>
    </xf>
    <xf numFmtId="0" fontId="101" fillId="2" borderId="242" xfId="18" applyFont="1" applyFill="1" applyBorder="1" applyAlignment="1">
      <alignment horizontal="right" vertical="center" wrapText="1"/>
    </xf>
    <xf numFmtId="0" fontId="101" fillId="2" borderId="68" xfId="18" applyFont="1" applyFill="1" applyBorder="1" applyAlignment="1">
      <alignment horizontal="right" vertical="center" wrapText="1"/>
    </xf>
    <xf numFmtId="0" fontId="384" fillId="8" borderId="37" xfId="1" applyFont="1" applyFill="1" applyBorder="1" applyAlignment="1">
      <alignment horizontal="center" vertical="center"/>
    </xf>
    <xf numFmtId="0" fontId="384" fillId="8" borderId="36" xfId="1" applyFont="1" applyFill="1" applyBorder="1" applyAlignment="1">
      <alignment horizontal="center" vertical="center"/>
    </xf>
    <xf numFmtId="0" fontId="384" fillId="8" borderId="35" xfId="1" applyFont="1" applyFill="1" applyBorder="1" applyAlignment="1">
      <alignment horizontal="center" vertical="center"/>
    </xf>
    <xf numFmtId="0" fontId="157" fillId="62" borderId="321" xfId="2" applyFont="1" applyFill="1" applyBorder="1" applyAlignment="1">
      <alignment horizontal="center" vertical="center" textRotation="90" wrapText="1"/>
    </xf>
    <xf numFmtId="0" fontId="157" fillId="62" borderId="322" xfId="2" applyFont="1" applyFill="1" applyBorder="1" applyAlignment="1">
      <alignment horizontal="center" vertical="center" textRotation="90" wrapText="1"/>
    </xf>
    <xf numFmtId="208" fontId="15" fillId="58" borderId="0" xfId="2" applyNumberFormat="1" applyFont="1" applyFill="1" applyAlignment="1">
      <alignment horizontal="left" vertical="center"/>
    </xf>
    <xf numFmtId="0" fontId="45" fillId="2" borderId="13" xfId="2" applyFont="1" applyFill="1" applyBorder="1" applyAlignment="1">
      <alignment horizontal="center" vertical="center"/>
    </xf>
    <xf numFmtId="0" fontId="45" fillId="2" borderId="0" xfId="2" applyFont="1" applyFill="1" applyAlignment="1">
      <alignment horizontal="center" vertical="center"/>
    </xf>
    <xf numFmtId="0" fontId="104" fillId="13" borderId="220" xfId="0" applyFont="1" applyFill="1" applyBorder="1" applyAlignment="1">
      <alignment horizontal="center" vertical="center"/>
    </xf>
    <xf numFmtId="0" fontId="104" fillId="13" borderId="238" xfId="0" applyFont="1" applyFill="1" applyBorder="1" applyAlignment="1">
      <alignment horizontal="center" vertical="center"/>
    </xf>
    <xf numFmtId="0" fontId="104" fillId="13" borderId="239" xfId="0" applyFont="1" applyFill="1" applyBorder="1" applyAlignment="1">
      <alignment horizontal="center" vertical="center"/>
    </xf>
    <xf numFmtId="0" fontId="112" fillId="2" borderId="161" xfId="2" applyFont="1" applyFill="1" applyBorder="1" applyAlignment="1">
      <alignment horizontal="center" vertical="center" wrapText="1"/>
    </xf>
    <xf numFmtId="0" fontId="112" fillId="2" borderId="162" xfId="2" applyFont="1" applyFill="1" applyBorder="1" applyAlignment="1">
      <alignment horizontal="center" vertical="center" wrapText="1"/>
    </xf>
    <xf numFmtId="0" fontId="112" fillId="2" borderId="163" xfId="2" applyFont="1" applyFill="1" applyBorder="1" applyAlignment="1">
      <alignment horizontal="center" vertical="center" wrapText="1"/>
    </xf>
    <xf numFmtId="0" fontId="0" fillId="2" borderId="37" xfId="0" applyFill="1" applyBorder="1" applyAlignment="1">
      <alignment horizontal="left" wrapText="1"/>
    </xf>
    <xf numFmtId="0" fontId="0" fillId="2" borderId="36" xfId="0" applyFill="1" applyBorder="1" applyAlignment="1">
      <alignment horizontal="left" wrapText="1"/>
    </xf>
    <xf numFmtId="0" fontId="0" fillId="2" borderId="35" xfId="0" applyFill="1" applyBorder="1" applyAlignment="1">
      <alignment horizontal="left" wrapText="1"/>
    </xf>
    <xf numFmtId="0" fontId="0" fillId="2" borderId="13" xfId="0" applyFill="1" applyBorder="1" applyAlignment="1">
      <alignment horizontal="left" wrapText="1"/>
    </xf>
    <xf numFmtId="0" fontId="0" fillId="2" borderId="0" xfId="0" applyFill="1" applyAlignment="1">
      <alignment horizontal="left" wrapText="1"/>
    </xf>
    <xf numFmtId="0" fontId="0" fillId="2" borderId="12" xfId="0" applyFill="1" applyBorder="1" applyAlignment="1">
      <alignment horizontal="left"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2" xfId="0" applyFill="1" applyBorder="1" applyAlignment="1">
      <alignment horizontal="left" vertical="center" wrapText="1"/>
    </xf>
    <xf numFmtId="0" fontId="0" fillId="2" borderId="11" xfId="0" applyFill="1" applyBorder="1" applyAlignment="1">
      <alignment horizontal="left" vertical="center" wrapText="1"/>
    </xf>
    <xf numFmtId="0" fontId="0" fillId="2" borderId="10" xfId="0" applyFill="1" applyBorder="1" applyAlignment="1">
      <alignment horizontal="left" vertical="center" wrapText="1"/>
    </xf>
    <xf numFmtId="0" fontId="0" fillId="2" borderId="9" xfId="0" applyFill="1" applyBorder="1" applyAlignment="1">
      <alignment horizontal="left" vertical="center" wrapText="1"/>
    </xf>
    <xf numFmtId="0" fontId="78" fillId="2" borderId="0" xfId="5" applyFont="1" applyFill="1" applyAlignment="1">
      <alignment horizontal="center" vertical="center" wrapText="1"/>
    </xf>
    <xf numFmtId="0" fontId="112" fillId="2" borderId="40" xfId="2" applyFont="1" applyFill="1" applyBorder="1" applyAlignment="1">
      <alignment horizontal="center" vertical="center" wrapText="1"/>
    </xf>
    <xf numFmtId="0" fontId="112" fillId="2" borderId="27" xfId="2" applyFont="1" applyFill="1" applyBorder="1" applyAlignment="1">
      <alignment horizontal="center" vertical="center" wrapText="1"/>
    </xf>
    <xf numFmtId="0" fontId="112" fillId="2" borderId="39" xfId="2" applyFont="1" applyFill="1" applyBorder="1" applyAlignment="1">
      <alignment horizontal="center" vertical="center" wrapText="1"/>
    </xf>
    <xf numFmtId="0" fontId="104" fillId="13" borderId="13" xfId="0" applyFont="1" applyFill="1" applyBorder="1" applyAlignment="1">
      <alignment horizontal="center" vertical="center"/>
    </xf>
    <xf numFmtId="0" fontId="104" fillId="13" borderId="0" xfId="0" applyFont="1" applyFill="1" applyAlignment="1">
      <alignment horizontal="center" vertical="center"/>
    </xf>
    <xf numFmtId="0" fontId="115" fillId="65" borderId="13" xfId="6" applyFont="1" applyFill="1" applyBorder="1" applyAlignment="1" applyProtection="1">
      <alignment horizontal="right" vertical="center" wrapText="1"/>
      <protection locked="0"/>
    </xf>
    <xf numFmtId="0" fontId="115" fillId="65" borderId="0" xfId="6" applyFont="1" applyFill="1" applyAlignment="1" applyProtection="1">
      <alignment horizontal="right" vertical="center" wrapText="1"/>
      <protection locked="0"/>
    </xf>
    <xf numFmtId="0" fontId="115" fillId="65" borderId="11" xfId="6" applyFont="1" applyFill="1" applyBorder="1" applyAlignment="1" applyProtection="1">
      <alignment horizontal="right" vertical="center" wrapText="1"/>
      <protection locked="0"/>
    </xf>
    <xf numFmtId="0" fontId="115" fillId="65" borderId="10" xfId="6" applyFont="1" applyFill="1" applyBorder="1" applyAlignment="1" applyProtection="1">
      <alignment horizontal="right" vertical="center" wrapText="1"/>
      <protection locked="0"/>
    </xf>
    <xf numFmtId="0" fontId="49" fillId="2" borderId="37" xfId="2" applyFont="1" applyFill="1" applyBorder="1" applyAlignment="1">
      <alignment horizontal="left"/>
    </xf>
    <xf numFmtId="0" fontId="49" fillId="2" borderId="36" xfId="2" applyFont="1" applyFill="1" applyBorder="1" applyAlignment="1">
      <alignment horizontal="left"/>
    </xf>
    <xf numFmtId="0" fontId="49" fillId="2" borderId="35" xfId="2" applyFont="1" applyFill="1" applyBorder="1" applyAlignment="1">
      <alignment horizontal="left"/>
    </xf>
    <xf numFmtId="0" fontId="216" fillId="2" borderId="0" xfId="3" applyFont="1" applyFill="1" applyAlignment="1">
      <alignment horizontal="center" vertical="center"/>
    </xf>
    <xf numFmtId="0" fontId="117" fillId="2" borderId="0" xfId="3" applyFont="1" applyFill="1" applyAlignment="1">
      <alignment horizontal="center" vertical="center"/>
    </xf>
    <xf numFmtId="0" fontId="101" fillId="0" borderId="0" xfId="6" applyFont="1" applyAlignment="1" applyProtection="1">
      <alignment horizontal="center" vertical="center"/>
      <protection locked="0"/>
    </xf>
    <xf numFmtId="0" fontId="101" fillId="2" borderId="0" xfId="5" applyFont="1" applyFill="1" applyAlignment="1">
      <alignment horizontal="center" vertical="center" wrapText="1"/>
    </xf>
    <xf numFmtId="0" fontId="54" fillId="63" borderId="199" xfId="6" applyFont="1" applyFill="1" applyBorder="1" applyAlignment="1" applyProtection="1">
      <alignment horizontal="right" vertical="center" wrapText="1"/>
      <protection locked="0"/>
    </xf>
    <xf numFmtId="0" fontId="54" fillId="63" borderId="194" xfId="6" applyFont="1" applyFill="1" applyBorder="1" applyAlignment="1" applyProtection="1">
      <alignment horizontal="right" vertical="center" wrapText="1"/>
      <protection locked="0"/>
    </xf>
    <xf numFmtId="0" fontId="25" fillId="4" borderId="66" xfId="6" applyFont="1" applyFill="1" applyBorder="1" applyAlignment="1" applyProtection="1">
      <alignment horizontal="left" vertical="center"/>
      <protection locked="0"/>
    </xf>
    <xf numFmtId="0" fontId="54" fillId="63" borderId="323" xfId="6" applyFont="1" applyFill="1" applyBorder="1" applyAlignment="1" applyProtection="1">
      <alignment horizontal="right" vertical="center" wrapText="1"/>
      <protection locked="0"/>
    </xf>
    <xf numFmtId="0" fontId="54" fillId="63" borderId="324" xfId="6" applyFont="1" applyFill="1" applyBorder="1" applyAlignment="1" applyProtection="1">
      <alignment horizontal="right" vertical="center" wrapText="1"/>
      <protection locked="0"/>
    </xf>
    <xf numFmtId="0" fontId="25" fillId="4" borderId="97" xfId="6" applyFont="1" applyFill="1" applyBorder="1" applyAlignment="1" applyProtection="1">
      <alignment horizontal="left" vertical="center"/>
      <protection locked="0"/>
    </xf>
    <xf numFmtId="0" fontId="114" fillId="13" borderId="238" xfId="2" applyFont="1" applyFill="1" applyBorder="1" applyAlignment="1">
      <alignment horizontal="center" vertical="center" wrapText="1"/>
    </xf>
    <xf numFmtId="0" fontId="137" fillId="8" borderId="37" xfId="1" applyFont="1" applyFill="1" applyBorder="1" applyAlignment="1">
      <alignment horizontal="center" vertical="center"/>
    </xf>
    <xf numFmtId="0" fontId="137" fillId="8" borderId="36" xfId="1" applyFont="1" applyFill="1" applyBorder="1" applyAlignment="1">
      <alignment horizontal="center" vertical="center"/>
    </xf>
    <xf numFmtId="0" fontId="137" fillId="8" borderId="35" xfId="1" applyFont="1" applyFill="1" applyBorder="1" applyAlignment="1">
      <alignment horizontal="center" vertical="center"/>
    </xf>
    <xf numFmtId="0" fontId="54" fillId="63" borderId="193" xfId="6" applyFont="1" applyFill="1" applyBorder="1" applyAlignment="1" applyProtection="1">
      <alignment horizontal="right" vertical="center" wrapText="1"/>
      <protection locked="0"/>
    </xf>
    <xf numFmtId="0" fontId="25" fillId="4" borderId="197" xfId="6" applyFont="1" applyFill="1" applyBorder="1" applyAlignment="1" applyProtection="1">
      <alignment horizontal="left" vertical="center"/>
      <protection locked="0"/>
    </xf>
    <xf numFmtId="2" fontId="69" fillId="4" borderId="185" xfId="4" applyNumberFormat="1" applyFont="1" applyFill="1" applyBorder="1" applyAlignment="1">
      <alignment horizontal="center" vertical="center"/>
    </xf>
    <xf numFmtId="2" fontId="69" fillId="4" borderId="186" xfId="4" applyNumberFormat="1" applyFont="1" applyFill="1" applyBorder="1" applyAlignment="1">
      <alignment horizontal="center" vertical="center"/>
    </xf>
    <xf numFmtId="0" fontId="317" fillId="0" borderId="190" xfId="6" applyFont="1" applyBorder="1" applyAlignment="1" applyProtection="1">
      <alignment horizontal="center" vertical="center" wrapText="1"/>
      <protection locked="0"/>
    </xf>
    <xf numFmtId="0" fontId="15" fillId="4" borderId="191" xfId="4" applyFont="1" applyFill="1" applyBorder="1" applyAlignment="1">
      <alignment horizontal="center" vertical="center"/>
    </xf>
    <xf numFmtId="0" fontId="15" fillId="4" borderId="192" xfId="4" applyFont="1" applyFill="1" applyBorder="1" applyAlignment="1">
      <alignment horizontal="center" vertical="center"/>
    </xf>
    <xf numFmtId="0" fontId="316" fillId="8" borderId="171" xfId="6" applyFont="1" applyFill="1" applyBorder="1" applyAlignment="1">
      <alignment horizontal="left" vertical="center"/>
    </xf>
    <xf numFmtId="0" fontId="316" fillId="8" borderId="172" xfId="6" applyFont="1" applyFill="1" applyBorder="1" applyAlignment="1">
      <alignment horizontal="left" vertical="center"/>
    </xf>
    <xf numFmtId="0" fontId="316" fillId="8" borderId="173" xfId="6" applyFont="1" applyFill="1" applyBorder="1" applyAlignment="1">
      <alignment horizontal="left" vertical="center"/>
    </xf>
    <xf numFmtId="0" fontId="312" fillId="9" borderId="171" xfId="6" applyFont="1" applyFill="1" applyBorder="1" applyAlignment="1">
      <alignment horizontal="center" vertical="center"/>
    </xf>
    <xf numFmtId="0" fontId="312" fillId="9" borderId="172" xfId="0" applyFont="1" applyFill="1" applyBorder="1" applyAlignment="1">
      <alignment horizontal="center" vertical="center"/>
    </xf>
    <xf numFmtId="0" fontId="15" fillId="4" borderId="171" xfId="6" applyFont="1" applyFill="1" applyBorder="1" applyAlignment="1">
      <alignment horizontal="center" vertical="center"/>
    </xf>
    <xf numFmtId="0" fontId="15" fillId="4" borderId="172" xfId="0" applyFont="1" applyFill="1" applyBorder="1" applyAlignment="1">
      <alignment horizontal="center" vertical="center"/>
    </xf>
    <xf numFmtId="0" fontId="15" fillId="4" borderId="173" xfId="0" applyFont="1" applyFill="1" applyBorder="1" applyAlignment="1">
      <alignment horizontal="center" vertical="center"/>
    </xf>
    <xf numFmtId="0" fontId="313" fillId="0" borderId="174" xfId="6" applyFont="1" applyBorder="1" applyAlignment="1" applyProtection="1">
      <alignment horizontal="center" vertical="center"/>
      <protection locked="0"/>
    </xf>
    <xf numFmtId="0" fontId="313" fillId="0" borderId="175" xfId="6" applyFont="1" applyBorder="1" applyAlignment="1" applyProtection="1">
      <alignment horizontal="center" vertical="center"/>
      <protection locked="0"/>
    </xf>
    <xf numFmtId="0" fontId="313" fillId="0" borderId="182" xfId="6" applyFont="1" applyBorder="1" applyAlignment="1" applyProtection="1">
      <alignment horizontal="center" vertical="center"/>
      <protection locked="0"/>
    </xf>
    <xf numFmtId="0" fontId="313" fillId="0" borderId="0" xfId="6" applyFont="1" applyAlignment="1" applyProtection="1">
      <alignment horizontal="center" vertical="center"/>
      <protection locked="0"/>
    </xf>
    <xf numFmtId="0" fontId="313" fillId="0" borderId="187" xfId="6" applyFont="1" applyBorder="1" applyAlignment="1" applyProtection="1">
      <alignment horizontal="center" vertical="center"/>
      <protection locked="0"/>
    </xf>
    <xf numFmtId="0" fontId="313" fillId="0" borderId="188" xfId="6" applyFont="1" applyBorder="1" applyAlignment="1" applyProtection="1">
      <alignment horizontal="center" vertical="center"/>
      <protection locked="0"/>
    </xf>
    <xf numFmtId="0" fontId="13" fillId="0" borderId="175" xfId="6" applyFont="1" applyBorder="1" applyAlignment="1" applyProtection="1">
      <alignment horizontal="center" vertical="center" wrapText="1"/>
      <protection locked="0"/>
    </xf>
    <xf numFmtId="0" fontId="13" fillId="0" borderId="0" xfId="6" applyFont="1" applyAlignment="1" applyProtection="1">
      <alignment horizontal="center" vertical="center" wrapText="1"/>
      <protection locked="0"/>
    </xf>
    <xf numFmtId="0" fontId="13" fillId="0" borderId="188" xfId="6" applyFont="1" applyBorder="1" applyAlignment="1" applyProtection="1">
      <alignment horizontal="center" vertical="center" wrapText="1"/>
      <protection locked="0"/>
    </xf>
    <xf numFmtId="0" fontId="69" fillId="0" borderId="176" xfId="6" applyFont="1" applyBorder="1" applyAlignment="1" applyProtection="1">
      <alignment horizontal="center" vertical="center" wrapText="1"/>
      <protection locked="0"/>
    </xf>
    <xf numFmtId="0" fontId="69" fillId="0" borderId="183" xfId="6" applyFont="1" applyBorder="1" applyAlignment="1" applyProtection="1">
      <alignment horizontal="center" vertical="center" wrapText="1"/>
      <protection locked="0"/>
    </xf>
    <xf numFmtId="0" fontId="69" fillId="0" borderId="189" xfId="6" applyFont="1" applyBorder="1" applyAlignment="1" applyProtection="1">
      <alignment horizontal="center" vertical="center" wrapText="1"/>
      <protection locked="0"/>
    </xf>
    <xf numFmtId="0" fontId="28" fillId="4" borderId="177" xfId="6" applyFont="1" applyFill="1" applyBorder="1" applyAlignment="1" applyProtection="1">
      <alignment horizontal="center" vertical="center" wrapText="1"/>
      <protection locked="0"/>
    </xf>
    <xf numFmtId="0" fontId="28" fillId="4" borderId="178" xfId="6" applyFont="1" applyFill="1" applyBorder="1" applyAlignment="1" applyProtection="1">
      <alignment horizontal="center" vertical="center" wrapText="1"/>
      <protection locked="0"/>
    </xf>
    <xf numFmtId="0" fontId="28" fillId="4" borderId="179" xfId="6" applyFont="1" applyFill="1" applyBorder="1" applyAlignment="1" applyProtection="1">
      <alignment horizontal="center" vertical="center" wrapText="1"/>
      <protection locked="0"/>
    </xf>
    <xf numFmtId="0" fontId="34" fillId="0" borderId="180" xfId="6" applyFont="1" applyBorder="1" applyAlignment="1" applyProtection="1">
      <alignment horizontal="center" vertical="center"/>
      <protection locked="0"/>
    </xf>
    <xf numFmtId="0" fontId="34" fillId="0" borderId="181" xfId="6" applyFont="1" applyBorder="1" applyAlignment="1" applyProtection="1">
      <alignment horizontal="center" vertical="center"/>
      <protection locked="0"/>
    </xf>
    <xf numFmtId="0" fontId="34" fillId="0" borderId="185" xfId="6" applyFont="1" applyBorder="1" applyAlignment="1" applyProtection="1">
      <alignment horizontal="center" vertical="center"/>
      <protection locked="0"/>
    </xf>
    <xf numFmtId="0" fontId="34" fillId="0" borderId="186" xfId="6" applyFont="1" applyBorder="1" applyAlignment="1" applyProtection="1">
      <alignment horizontal="center" vertical="center"/>
      <protection locked="0"/>
    </xf>
    <xf numFmtId="0" fontId="314" fillId="0" borderId="180" xfId="6" applyFont="1" applyBorder="1" applyAlignment="1" applyProtection="1">
      <alignment horizontal="center" vertical="center"/>
      <protection locked="0"/>
    </xf>
    <xf numFmtId="0" fontId="314" fillId="0" borderId="175" xfId="6" applyFont="1" applyBorder="1" applyAlignment="1" applyProtection="1">
      <alignment horizontal="center" vertical="center"/>
      <protection locked="0"/>
    </xf>
    <xf numFmtId="0" fontId="314" fillId="0" borderId="181" xfId="6" applyFont="1" applyBorder="1" applyAlignment="1" applyProtection="1">
      <alignment horizontal="center" vertical="center"/>
      <protection locked="0"/>
    </xf>
    <xf numFmtId="0" fontId="314" fillId="0" borderId="185" xfId="6" applyFont="1" applyBorder="1" applyAlignment="1" applyProtection="1">
      <alignment horizontal="center" vertical="center"/>
      <protection locked="0"/>
    </xf>
    <xf numFmtId="0" fontId="314" fillId="0" borderId="0" xfId="6" applyFont="1" applyAlignment="1" applyProtection="1">
      <alignment horizontal="center" vertical="center"/>
      <protection locked="0"/>
    </xf>
    <xf numFmtId="0" fontId="314" fillId="0" borderId="186" xfId="6" applyFont="1" applyBorder="1" applyAlignment="1" applyProtection="1">
      <alignment horizontal="center" vertical="center"/>
      <protection locked="0"/>
    </xf>
    <xf numFmtId="0" fontId="314" fillId="0" borderId="191" xfId="6" applyFont="1" applyBorder="1" applyAlignment="1" applyProtection="1">
      <alignment horizontal="center" vertical="center"/>
      <protection locked="0"/>
    </xf>
    <xf numFmtId="0" fontId="314" fillId="0" borderId="188" xfId="6" applyFont="1" applyBorder="1" applyAlignment="1" applyProtection="1">
      <alignment horizontal="center" vertical="center"/>
      <protection locked="0"/>
    </xf>
    <xf numFmtId="0" fontId="314" fillId="0" borderId="192" xfId="6" applyFont="1" applyBorder="1" applyAlignment="1" applyProtection="1">
      <alignment horizontal="center" vertical="center"/>
      <protection locked="0"/>
    </xf>
    <xf numFmtId="0" fontId="101" fillId="2" borderId="42" xfId="1" applyFont="1" applyFill="1" applyBorder="1" applyAlignment="1">
      <alignment horizontal="center" vertical="center" wrapText="1"/>
    </xf>
    <xf numFmtId="0" fontId="101" fillId="2" borderId="0" xfId="1" applyFont="1" applyFill="1" applyAlignment="1">
      <alignment horizontal="center" vertical="center" wrapText="1"/>
    </xf>
    <xf numFmtId="0" fontId="101" fillId="2" borderId="41" xfId="1" applyFont="1" applyFill="1" applyBorder="1" applyAlignment="1">
      <alignment horizontal="center" vertical="center" wrapText="1"/>
    </xf>
    <xf numFmtId="0" fontId="117" fillId="0" borderId="0" xfId="3" applyFont="1" applyAlignment="1">
      <alignment horizontal="left" vertical="center"/>
    </xf>
    <xf numFmtId="0" fontId="117" fillId="26" borderId="0" xfId="3" applyFont="1" applyFill="1" applyAlignment="1">
      <alignment horizontal="left" vertical="center"/>
    </xf>
    <xf numFmtId="0" fontId="114" fillId="44" borderId="42" xfId="1" applyFont="1" applyFill="1" applyBorder="1" applyAlignment="1">
      <alignment horizontal="center" vertical="center" wrapText="1"/>
    </xf>
    <xf numFmtId="0" fontId="114" fillId="44" borderId="0" xfId="1" applyFont="1" applyFill="1" applyAlignment="1">
      <alignment horizontal="center" vertical="center" wrapText="1"/>
    </xf>
    <xf numFmtId="0" fontId="114" fillId="44" borderId="41" xfId="1" applyFont="1" applyFill="1" applyBorder="1" applyAlignment="1">
      <alignment horizontal="center" vertical="center" wrapText="1"/>
    </xf>
    <xf numFmtId="0" fontId="117" fillId="17" borderId="0" xfId="3" applyFont="1" applyFill="1" applyAlignment="1" applyProtection="1">
      <alignment horizontal="left" vertical="center"/>
      <protection hidden="1"/>
    </xf>
    <xf numFmtId="0" fontId="156" fillId="13" borderId="42" xfId="1" applyFont="1" applyFill="1" applyBorder="1" applyAlignment="1">
      <alignment horizontal="center" vertical="center" wrapText="1"/>
    </xf>
    <xf numFmtId="0" fontId="156" fillId="13" borderId="0" xfId="1" applyFont="1" applyFill="1" applyAlignment="1">
      <alignment horizontal="center" vertical="center" wrapText="1"/>
    </xf>
    <xf numFmtId="0" fontId="156" fillId="13" borderId="41" xfId="1" applyFont="1" applyFill="1" applyBorder="1" applyAlignment="1">
      <alignment horizontal="center" vertical="center" wrapText="1"/>
    </xf>
    <xf numFmtId="0" fontId="156" fillId="13" borderId="40" xfId="1" applyFont="1" applyFill="1" applyBorder="1" applyAlignment="1">
      <alignment horizontal="center" vertical="center" wrapText="1"/>
    </xf>
    <xf numFmtId="0" fontId="156" fillId="13" borderId="27" xfId="1" applyFont="1" applyFill="1" applyBorder="1" applyAlignment="1">
      <alignment horizontal="center" vertical="center" wrapText="1"/>
    </xf>
    <xf numFmtId="0" fontId="156" fillId="13" borderId="39" xfId="1" applyFont="1" applyFill="1" applyBorder="1" applyAlignment="1">
      <alignment horizontal="center" vertical="center" wrapText="1"/>
    </xf>
    <xf numFmtId="0" fontId="178" fillId="2" borderId="49" xfId="1" applyFont="1" applyFill="1" applyBorder="1" applyAlignment="1">
      <alignment horizontal="center" vertical="center" wrapText="1"/>
    </xf>
    <xf numFmtId="0" fontId="178" fillId="2" borderId="48" xfId="1" applyFont="1" applyFill="1" applyBorder="1" applyAlignment="1">
      <alignment horizontal="center" vertical="center" wrapText="1"/>
    </xf>
    <xf numFmtId="0" fontId="178" fillId="2" borderId="47" xfId="1" applyFont="1" applyFill="1" applyBorder="1" applyAlignment="1">
      <alignment horizontal="center" vertical="center" wrapText="1"/>
    </xf>
    <xf numFmtId="0" fontId="178" fillId="2" borderId="42" xfId="1" applyFont="1" applyFill="1" applyBorder="1" applyAlignment="1">
      <alignment horizontal="center" vertical="center" wrapText="1"/>
    </xf>
    <xf numFmtId="0" fontId="178" fillId="2" borderId="0" xfId="1" applyFont="1" applyFill="1" applyAlignment="1">
      <alignment horizontal="center" vertical="center" wrapText="1"/>
    </xf>
    <xf numFmtId="0" fontId="178" fillId="2" borderId="41" xfId="1" applyFont="1" applyFill="1" applyBorder="1" applyAlignment="1">
      <alignment horizontal="center" vertical="center" wrapText="1"/>
    </xf>
    <xf numFmtId="0" fontId="243" fillId="2" borderId="0" xfId="11" applyFont="1" applyFill="1" applyAlignment="1" applyProtection="1">
      <alignment horizontal="left" vertical="center"/>
    </xf>
    <xf numFmtId="0" fontId="138" fillId="2" borderId="42" xfId="1" applyFont="1" applyFill="1" applyBorder="1" applyAlignment="1">
      <alignment horizontal="center" vertical="center" wrapText="1"/>
    </xf>
    <xf numFmtId="0" fontId="138" fillId="2" borderId="0" xfId="1" applyFont="1" applyFill="1" applyAlignment="1">
      <alignment horizontal="center" vertical="center" wrapText="1"/>
    </xf>
    <xf numFmtId="0" fontId="138" fillId="2" borderId="41" xfId="1" applyFont="1" applyFill="1" applyBorder="1" applyAlignment="1">
      <alignment horizontal="center" vertical="center" wrapText="1"/>
    </xf>
    <xf numFmtId="0" fontId="138" fillId="2" borderId="40" xfId="1" applyFont="1" applyFill="1" applyBorder="1" applyAlignment="1">
      <alignment horizontal="center" vertical="center" wrapText="1"/>
    </xf>
    <xf numFmtId="0" fontId="138" fillId="2" borderId="27" xfId="1" applyFont="1" applyFill="1" applyBorder="1" applyAlignment="1">
      <alignment horizontal="center" vertical="center" wrapText="1"/>
    </xf>
    <xf numFmtId="0" fontId="138" fillId="2" borderId="39" xfId="1" applyFont="1" applyFill="1" applyBorder="1" applyAlignment="1">
      <alignment horizontal="center" vertical="center" wrapText="1"/>
    </xf>
    <xf numFmtId="0" fontId="117" fillId="2" borderId="0" xfId="14" applyFont="1" applyFill="1" applyAlignment="1">
      <alignment horizontal="left" vertical="center"/>
    </xf>
    <xf numFmtId="0" fontId="10" fillId="30" borderId="42" xfId="1" applyFont="1" applyFill="1" applyBorder="1" applyAlignment="1">
      <alignment horizontal="center" vertical="center"/>
    </xf>
    <xf numFmtId="0" fontId="10" fillId="30" borderId="0" xfId="1" applyFont="1" applyFill="1" applyAlignment="1">
      <alignment horizontal="center" vertical="center"/>
    </xf>
    <xf numFmtId="0" fontId="10" fillId="30" borderId="41" xfId="1" applyFont="1" applyFill="1" applyBorder="1" applyAlignment="1">
      <alignment horizontal="center" vertical="center"/>
    </xf>
    <xf numFmtId="0" fontId="69" fillId="2" borderId="13" xfId="2" applyFont="1" applyFill="1" applyBorder="1" applyAlignment="1">
      <alignment horizontal="center" vertical="center"/>
    </xf>
    <xf numFmtId="0" fontId="69" fillId="2" borderId="0" xfId="2" applyFont="1" applyFill="1" applyAlignment="1">
      <alignment horizontal="center" vertical="center"/>
    </xf>
    <xf numFmtId="0" fontId="200" fillId="2" borderId="13" xfId="2" applyFont="1" applyFill="1" applyBorder="1" applyAlignment="1">
      <alignment horizontal="center" vertical="center" wrapText="1"/>
    </xf>
    <xf numFmtId="0" fontId="200" fillId="2" borderId="0" xfId="2" applyFont="1" applyFill="1" applyAlignment="1">
      <alignment horizontal="center" vertical="center" wrapText="1"/>
    </xf>
    <xf numFmtId="0" fontId="200" fillId="2" borderId="11" xfId="2" applyFont="1" applyFill="1" applyBorder="1" applyAlignment="1">
      <alignment horizontal="center" vertical="center" wrapText="1"/>
    </xf>
    <xf numFmtId="0" fontId="200" fillId="2" borderId="10" xfId="2" applyFont="1" applyFill="1" applyBorder="1" applyAlignment="1">
      <alignment horizontal="center" vertical="center" wrapText="1"/>
    </xf>
    <xf numFmtId="0" fontId="13" fillId="2" borderId="13" xfId="2" applyFill="1" applyBorder="1" applyAlignment="1">
      <alignment horizontal="center" vertical="center"/>
    </xf>
    <xf numFmtId="0" fontId="13" fillId="2" borderId="0" xfId="2" applyFill="1" applyAlignment="1">
      <alignment horizontal="center" vertical="center"/>
    </xf>
    <xf numFmtId="0" fontId="13" fillId="2" borderId="11" xfId="2" applyFill="1" applyBorder="1" applyAlignment="1">
      <alignment horizontal="center" vertical="center"/>
    </xf>
    <xf numFmtId="0" fontId="13" fillId="2" borderId="10" xfId="2" applyFill="1" applyBorder="1" applyAlignment="1">
      <alignment horizontal="center" vertical="center"/>
    </xf>
    <xf numFmtId="0" fontId="13" fillId="2" borderId="42" xfId="2" applyFill="1" applyBorder="1" applyAlignment="1">
      <alignment horizontal="center" vertical="center" wrapText="1"/>
    </xf>
    <xf numFmtId="0" fontId="13" fillId="2" borderId="0" xfId="2" applyFill="1" applyAlignment="1">
      <alignment horizontal="center" vertical="center" wrapText="1"/>
    </xf>
    <xf numFmtId="0" fontId="13" fillId="2" borderId="41" xfId="2" applyFill="1" applyBorder="1" applyAlignment="1">
      <alignment horizontal="center" vertical="center" wrapText="1"/>
    </xf>
    <xf numFmtId="0" fontId="13" fillId="2" borderId="40" xfId="2" applyFill="1" applyBorder="1" applyAlignment="1">
      <alignment horizontal="center" vertical="center" wrapText="1"/>
    </xf>
    <xf numFmtId="0" fontId="13" fillId="2" borderId="27" xfId="2" applyFill="1" applyBorder="1" applyAlignment="1">
      <alignment horizontal="center" vertical="center" wrapText="1"/>
    </xf>
    <xf numFmtId="0" fontId="13" fillId="2" borderId="39" xfId="2" applyFill="1" applyBorder="1" applyAlignment="1">
      <alignment horizontal="center" vertical="center" wrapText="1"/>
    </xf>
    <xf numFmtId="0" fontId="69" fillId="8" borderId="37" xfId="2" applyFont="1" applyFill="1" applyBorder="1" applyAlignment="1">
      <alignment horizontal="center" vertical="center" wrapText="1"/>
    </xf>
    <xf numFmtId="0" fontId="69" fillId="8" borderId="36" xfId="2" applyFont="1" applyFill="1" applyBorder="1" applyAlignment="1">
      <alignment horizontal="center" vertical="center" wrapText="1"/>
    </xf>
    <xf numFmtId="0" fontId="69" fillId="8" borderId="13" xfId="2" applyFont="1" applyFill="1" applyBorder="1" applyAlignment="1">
      <alignment horizontal="center" vertical="center" wrapText="1"/>
    </xf>
    <xf numFmtId="0" fontId="69" fillId="8" borderId="0" xfId="2" applyFont="1" applyFill="1" applyAlignment="1">
      <alignment horizontal="center" vertical="center" wrapText="1"/>
    </xf>
    <xf numFmtId="0" fontId="95" fillId="8" borderId="36" xfId="2" applyFont="1" applyFill="1" applyBorder="1" applyAlignment="1">
      <alignment horizontal="center" vertical="center" wrapText="1"/>
    </xf>
    <xf numFmtId="0" fontId="95" fillId="8" borderId="0" xfId="2" applyFont="1" applyFill="1" applyAlignment="1">
      <alignment horizontal="center" vertical="center" wrapText="1"/>
    </xf>
    <xf numFmtId="0" fontId="64" fillId="8" borderId="36" xfId="2" applyFont="1" applyFill="1" applyBorder="1" applyAlignment="1">
      <alignment horizontal="center" vertical="center" wrapText="1"/>
    </xf>
    <xf numFmtId="0" fontId="64" fillId="8" borderId="0" xfId="2" applyFont="1" applyFill="1" applyAlignment="1">
      <alignment horizontal="center" vertical="center" wrapText="1"/>
    </xf>
    <xf numFmtId="0" fontId="95" fillId="8" borderId="35" xfId="2" applyFont="1" applyFill="1" applyBorder="1" applyAlignment="1">
      <alignment horizontal="center" vertical="center"/>
    </xf>
    <xf numFmtId="0" fontId="95" fillId="8" borderId="12" xfId="2" applyFont="1" applyFill="1" applyBorder="1" applyAlignment="1">
      <alignment horizontal="center" vertical="center"/>
    </xf>
    <xf numFmtId="0" fontId="13" fillId="2" borderId="0" xfId="2" applyFill="1" applyAlignment="1">
      <alignment horizontal="left" vertical="center"/>
    </xf>
    <xf numFmtId="0" fontId="13" fillId="2" borderId="41" xfId="2" applyFill="1" applyBorder="1" applyAlignment="1">
      <alignment horizontal="left" vertical="center"/>
    </xf>
    <xf numFmtId="0" fontId="253" fillId="3" borderId="0" xfId="2" applyFont="1" applyFill="1" applyAlignment="1" applyProtection="1">
      <alignment horizontal="center"/>
      <protection hidden="1"/>
    </xf>
    <xf numFmtId="0" fontId="347" fillId="2" borderId="0" xfId="2" applyFont="1" applyFill="1" applyAlignment="1">
      <alignment horizontal="center" vertical="center" wrapText="1"/>
    </xf>
    <xf numFmtId="0" fontId="69" fillId="8" borderId="49" xfId="2" applyFont="1" applyFill="1" applyBorder="1" applyAlignment="1">
      <alignment horizontal="center" vertical="center"/>
    </xf>
    <xf numFmtId="0" fontId="69" fillId="8" borderId="48" xfId="2" applyFont="1" applyFill="1" applyBorder="1" applyAlignment="1">
      <alignment horizontal="center" vertical="center"/>
    </xf>
    <xf numFmtId="0" fontId="69" fillId="8" borderId="47" xfId="2" applyFont="1" applyFill="1" applyBorder="1" applyAlignment="1">
      <alignment horizontal="center" vertical="center"/>
    </xf>
    <xf numFmtId="0" fontId="69" fillId="8" borderId="42" xfId="2" applyFont="1" applyFill="1" applyBorder="1" applyAlignment="1">
      <alignment horizontal="center" vertical="center"/>
    </xf>
    <xf numFmtId="0" fontId="69" fillId="8" borderId="0" xfId="2" applyFont="1" applyFill="1" applyAlignment="1">
      <alignment horizontal="center" vertical="center"/>
    </xf>
    <xf numFmtId="0" fontId="69" fillId="8" borderId="41" xfId="2" applyFont="1" applyFill="1" applyBorder="1" applyAlignment="1">
      <alignment horizontal="center" vertical="center"/>
    </xf>
    <xf numFmtId="0" fontId="203" fillId="2" borderId="37" xfId="2" applyFont="1" applyFill="1" applyBorder="1" applyAlignment="1">
      <alignment horizontal="center" vertical="center"/>
    </xf>
    <xf numFmtId="0" fontId="203" fillId="2" borderId="36" xfId="2" applyFont="1" applyFill="1" applyBorder="1" applyAlignment="1">
      <alignment horizontal="center" vertical="center"/>
    </xf>
    <xf numFmtId="0" fontId="203" fillId="2" borderId="35" xfId="2" applyFont="1" applyFill="1" applyBorder="1" applyAlignment="1">
      <alignment horizontal="center" vertical="center"/>
    </xf>
    <xf numFmtId="0" fontId="225" fillId="2" borderId="0" xfId="17" applyFill="1" applyBorder="1" applyAlignment="1">
      <alignment horizontal="left" vertical="center"/>
    </xf>
    <xf numFmtId="0" fontId="225" fillId="2" borderId="12" xfId="17" applyFill="1" applyBorder="1" applyAlignment="1">
      <alignment horizontal="left" vertical="center"/>
    </xf>
    <xf numFmtId="0" fontId="202" fillId="2" borderId="13" xfId="14" applyFont="1" applyFill="1" applyBorder="1" applyAlignment="1">
      <alignment horizontal="center" vertical="center" wrapText="1"/>
    </xf>
    <xf numFmtId="0" fontId="202" fillId="2" borderId="0" xfId="14" applyFont="1" applyFill="1" applyBorder="1" applyAlignment="1">
      <alignment horizontal="center" vertical="center" wrapText="1"/>
    </xf>
    <xf numFmtId="0" fontId="202" fillId="2" borderId="12" xfId="14" applyFont="1" applyFill="1" applyBorder="1" applyAlignment="1">
      <alignment horizontal="center" vertical="center" wrapText="1"/>
    </xf>
    <xf numFmtId="0" fontId="167" fillId="2" borderId="7" xfId="2" applyFont="1" applyFill="1" applyBorder="1" applyAlignment="1">
      <alignment horizontal="center" vertical="center"/>
    </xf>
    <xf numFmtId="0" fontId="137" fillId="2" borderId="0" xfId="2" applyFont="1" applyFill="1" applyAlignment="1">
      <alignment horizontal="center" vertical="center" wrapText="1"/>
    </xf>
    <xf numFmtId="0" fontId="137" fillId="2" borderId="96" xfId="2" applyFont="1" applyFill="1" applyBorder="1" applyAlignment="1">
      <alignment horizontal="center" vertical="center" wrapText="1"/>
    </xf>
    <xf numFmtId="0" fontId="163" fillId="2" borderId="0" xfId="1" applyFont="1" applyFill="1" applyAlignment="1">
      <alignment horizontal="left" vertical="center" wrapText="1"/>
    </xf>
    <xf numFmtId="0" fontId="126" fillId="2" borderId="97" xfId="1" applyFont="1" applyFill="1" applyBorder="1" applyAlignment="1">
      <alignment horizontal="center" vertical="center" wrapText="1"/>
    </xf>
    <xf numFmtId="197" fontId="167" fillId="33" borderId="0" xfId="2" applyNumberFormat="1" applyFont="1" applyFill="1" applyAlignment="1">
      <alignment horizontal="center" vertical="center"/>
    </xf>
    <xf numFmtId="165" fontId="179" fillId="14" borderId="0" xfId="2" applyNumberFormat="1" applyFont="1" applyFill="1" applyAlignment="1">
      <alignment horizontal="center" vertical="center"/>
    </xf>
    <xf numFmtId="165" fontId="178" fillId="14" borderId="0" xfId="2" applyNumberFormat="1" applyFont="1" applyFill="1" applyAlignment="1">
      <alignment horizontal="center" vertical="center"/>
    </xf>
    <xf numFmtId="0" fontId="176" fillId="5" borderId="0" xfId="2" applyFont="1" applyFill="1" applyAlignment="1">
      <alignment horizontal="center" vertical="center"/>
    </xf>
    <xf numFmtId="2" fontId="78" fillId="34" borderId="0" xfId="2" applyNumberFormat="1" applyFont="1" applyFill="1" applyAlignment="1" applyProtection="1">
      <alignment horizontal="left" vertical="center" wrapText="1"/>
      <protection locked="0"/>
    </xf>
    <xf numFmtId="165" fontId="138" fillId="5" borderId="0" xfId="2" applyNumberFormat="1" applyFont="1" applyFill="1" applyAlignment="1">
      <alignment horizontal="center" vertical="center"/>
    </xf>
    <xf numFmtId="0" fontId="181" fillId="2" borderId="7" xfId="2" applyFont="1" applyFill="1" applyBorder="1" applyAlignment="1">
      <alignment horizontal="center" vertical="center"/>
    </xf>
    <xf numFmtId="0" fontId="156" fillId="2" borderId="0" xfId="2" applyFont="1" applyFill="1" applyAlignment="1">
      <alignment horizontal="right" vertical="center"/>
    </xf>
    <xf numFmtId="0" fontId="167" fillId="33" borderId="0" xfId="2" applyFont="1" applyFill="1" applyAlignment="1">
      <alignment horizontal="center" vertical="center"/>
    </xf>
    <xf numFmtId="198" fontId="167" fillId="33" borderId="0" xfId="5" applyNumberFormat="1" applyFont="1" applyFill="1" applyAlignment="1">
      <alignment horizontal="center" vertical="center"/>
    </xf>
    <xf numFmtId="198" fontId="167" fillId="33" borderId="0" xfId="2" applyNumberFormat="1" applyFont="1" applyFill="1" applyAlignment="1">
      <alignment horizontal="center" vertical="center"/>
    </xf>
    <xf numFmtId="0" fontId="183" fillId="14" borderId="0" xfId="2" applyFont="1" applyFill="1" applyAlignment="1">
      <alignment horizontal="center" vertical="center"/>
    </xf>
    <xf numFmtId="198" fontId="178" fillId="14" borderId="0" xfId="5" applyNumberFormat="1" applyFont="1" applyFill="1" applyAlignment="1">
      <alignment horizontal="center" vertical="center"/>
    </xf>
    <xf numFmtId="198" fontId="178" fillId="14" borderId="0" xfId="2" applyNumberFormat="1" applyFont="1" applyFill="1" applyAlignment="1">
      <alignment horizontal="center" vertical="center"/>
    </xf>
    <xf numFmtId="197" fontId="178" fillId="14" borderId="0" xfId="2" applyNumberFormat="1" applyFont="1" applyFill="1" applyAlignment="1">
      <alignment horizontal="center" vertical="center"/>
    </xf>
    <xf numFmtId="0" fontId="186" fillId="2" borderId="0" xfId="5" applyFont="1" applyFill="1" applyAlignment="1">
      <alignment horizontal="center" vertical="center" wrapText="1"/>
    </xf>
    <xf numFmtId="2" fontId="175" fillId="34" borderId="0" xfId="2" applyNumberFormat="1" applyFont="1" applyFill="1" applyAlignment="1" applyProtection="1">
      <alignment horizontal="center" vertical="center" wrapText="1"/>
      <protection locked="0"/>
    </xf>
    <xf numFmtId="0" fontId="126" fillId="2" borderId="13" xfId="1" applyFont="1" applyFill="1" applyBorder="1" applyAlignment="1">
      <alignment horizontal="center" vertical="center" wrapText="1"/>
    </xf>
    <xf numFmtId="0" fontId="126" fillId="2" borderId="0" xfId="1" applyFont="1" applyFill="1" applyAlignment="1">
      <alignment horizontal="center" vertical="center" wrapText="1"/>
    </xf>
    <xf numFmtId="0" fontId="126" fillId="2" borderId="12" xfId="1" applyFont="1" applyFill="1" applyBorder="1" applyAlignment="1">
      <alignment horizontal="center" vertical="center" wrapText="1"/>
    </xf>
    <xf numFmtId="0" fontId="90" fillId="24" borderId="36" xfId="1" applyFont="1" applyFill="1" applyBorder="1" applyAlignment="1">
      <alignment horizontal="center" vertical="center" wrapText="1"/>
    </xf>
    <xf numFmtId="0" fontId="90" fillId="24" borderId="35" xfId="1" applyFont="1" applyFill="1" applyBorder="1" applyAlignment="1">
      <alignment horizontal="center" vertical="center" wrapText="1"/>
    </xf>
    <xf numFmtId="0" fontId="90" fillId="24" borderId="0" xfId="1" applyFont="1" applyFill="1" applyAlignment="1">
      <alignment horizontal="center" vertical="center" wrapText="1"/>
    </xf>
    <xf numFmtId="0" fontId="90" fillId="24" borderId="12" xfId="1" applyFont="1" applyFill="1" applyBorder="1" applyAlignment="1">
      <alignment horizontal="center" vertical="center" wrapText="1"/>
    </xf>
    <xf numFmtId="0" fontId="191" fillId="2" borderId="0" xfId="1" applyFont="1" applyFill="1" applyAlignment="1">
      <alignment horizontal="center" vertical="center" wrapText="1"/>
    </xf>
    <xf numFmtId="0" fontId="183" fillId="14" borderId="0" xfId="1" applyFont="1" applyFill="1" applyAlignment="1">
      <alignment horizontal="center" vertical="center" wrapText="1"/>
    </xf>
    <xf numFmtId="0" fontId="190" fillId="2" borderId="0" xfId="1" applyFont="1" applyFill="1" applyAlignment="1">
      <alignment horizontal="center" vertical="center" wrapText="1"/>
    </xf>
    <xf numFmtId="0" fontId="190" fillId="2" borderId="2" xfId="1" applyFont="1" applyFill="1" applyBorder="1" applyAlignment="1">
      <alignment horizontal="center" vertical="center" wrapText="1"/>
    </xf>
    <xf numFmtId="0" fontId="189" fillId="2" borderId="7" xfId="2" applyFont="1" applyFill="1" applyBorder="1" applyAlignment="1">
      <alignment horizontal="center" vertical="center"/>
    </xf>
    <xf numFmtId="0" fontId="188" fillId="2" borderId="0" xfId="5" applyFont="1" applyFill="1" applyAlignment="1">
      <alignment horizontal="center" vertical="center" wrapText="1"/>
    </xf>
    <xf numFmtId="0" fontId="187" fillId="2" borderId="0" xfId="5" applyFont="1" applyFill="1" applyAlignment="1">
      <alignment horizontal="center" vertical="center" wrapText="1"/>
    </xf>
    <xf numFmtId="0" fontId="189" fillId="2" borderId="13" xfId="2" applyFont="1" applyFill="1" applyBorder="1" applyAlignment="1">
      <alignment horizontal="center" vertical="center"/>
    </xf>
    <xf numFmtId="0" fontId="189" fillId="2" borderId="0" xfId="2" applyFont="1" applyFill="1" applyAlignment="1">
      <alignment horizontal="center" vertical="center"/>
    </xf>
    <xf numFmtId="0" fontId="189" fillId="2" borderId="12" xfId="2" applyFont="1" applyFill="1" applyBorder="1" applyAlignment="1">
      <alignment horizontal="center" vertical="center"/>
    </xf>
    <xf numFmtId="0" fontId="197" fillId="2" borderId="0" xfId="5" applyFont="1" applyFill="1" applyAlignment="1">
      <alignment horizontal="center" vertical="center" wrapText="1"/>
    </xf>
    <xf numFmtId="0" fontId="196" fillId="8" borderId="0" xfId="2" applyFont="1" applyFill="1" applyAlignment="1">
      <alignment horizontal="center" vertical="center" wrapText="1"/>
    </xf>
    <xf numFmtId="165" fontId="166" fillId="5" borderId="0" xfId="2" applyNumberFormat="1" applyFont="1" applyFill="1" applyAlignment="1">
      <alignment horizontal="center" vertical="center"/>
    </xf>
    <xf numFmtId="0" fontId="9" fillId="2" borderId="13" xfId="1" applyFont="1" applyFill="1" applyBorder="1" applyAlignment="1">
      <alignment horizontal="right" vertical="center"/>
    </xf>
    <xf numFmtId="0" fontId="9" fillId="2" borderId="0" xfId="1" applyFont="1" applyFill="1" applyAlignment="1">
      <alignment horizontal="right" vertical="center"/>
    </xf>
    <xf numFmtId="0" fontId="9" fillId="2" borderId="19" xfId="1" applyFont="1" applyFill="1" applyBorder="1" applyAlignment="1">
      <alignment horizontal="right" vertical="center"/>
    </xf>
    <xf numFmtId="0" fontId="9" fillId="2" borderId="18" xfId="1" applyFont="1" applyFill="1" applyBorder="1" applyAlignment="1">
      <alignment horizontal="right" vertical="center"/>
    </xf>
    <xf numFmtId="0" fontId="194" fillId="0" borderId="13" xfId="2" applyFont="1" applyBorder="1" applyAlignment="1">
      <alignment horizontal="center" vertical="center"/>
    </xf>
    <xf numFmtId="0" fontId="194" fillId="0" borderId="0" xfId="2" applyFont="1" applyAlignment="1">
      <alignment horizontal="center" vertical="center"/>
    </xf>
    <xf numFmtId="0" fontId="194" fillId="0" borderId="12" xfId="2" applyFont="1" applyBorder="1" applyAlignment="1">
      <alignment horizontal="center" vertical="center"/>
    </xf>
    <xf numFmtId="0" fontId="193" fillId="2" borderId="0" xfId="2" applyFont="1" applyFill="1" applyAlignment="1">
      <alignment horizontal="left" vertical="center" wrapText="1"/>
    </xf>
    <xf numFmtId="0" fontId="193" fillId="2" borderId="12" xfId="2" applyFont="1" applyFill="1" applyBorder="1" applyAlignment="1">
      <alignment horizontal="left" vertical="center" wrapText="1"/>
    </xf>
    <xf numFmtId="0" fontId="192" fillId="2" borderId="13" xfId="2" applyFont="1" applyFill="1" applyBorder="1" applyAlignment="1">
      <alignment horizontal="center" vertical="center"/>
    </xf>
    <xf numFmtId="0" fontId="101" fillId="2" borderId="0" xfId="2" applyFont="1" applyFill="1" applyAlignment="1">
      <alignment horizontal="left" vertical="center" wrapText="1"/>
    </xf>
    <xf numFmtId="0" fontId="101" fillId="2" borderId="12" xfId="2" applyFont="1" applyFill="1" applyBorder="1" applyAlignment="1">
      <alignment horizontal="left" vertical="center" wrapText="1"/>
    </xf>
    <xf numFmtId="0" fontId="126" fillId="0" borderId="13" xfId="1" applyFont="1" applyBorder="1" applyAlignment="1">
      <alignment horizontal="center" wrapText="1"/>
    </xf>
    <xf numFmtId="0" fontId="126" fillId="0" borderId="0" xfId="1" applyFont="1" applyAlignment="1">
      <alignment horizontal="center" wrapText="1"/>
    </xf>
    <xf numFmtId="0" fontId="126" fillId="0" borderId="12" xfId="1" applyFont="1" applyBorder="1" applyAlignment="1">
      <alignment horizontal="center" wrapText="1"/>
    </xf>
    <xf numFmtId="0" fontId="11" fillId="2" borderId="16" xfId="1" applyFont="1" applyFill="1" applyBorder="1" applyAlignment="1">
      <alignment horizontal="center" vertical="center"/>
    </xf>
    <xf numFmtId="0" fontId="11" fillId="2" borderId="15" xfId="1" applyFont="1" applyFill="1" applyBorder="1" applyAlignment="1">
      <alignment horizontal="center" vertical="center"/>
    </xf>
    <xf numFmtId="165" fontId="138" fillId="8" borderId="0" xfId="5" applyNumberFormat="1" applyFont="1" applyFill="1" applyAlignment="1">
      <alignment horizontal="center" vertical="center"/>
    </xf>
    <xf numFmtId="195" fontId="171" fillId="3" borderId="12" xfId="2" applyNumberFormat="1" applyFont="1" applyFill="1" applyBorder="1" applyAlignment="1">
      <alignment horizontal="center" vertical="center"/>
    </xf>
    <xf numFmtId="0" fontId="189" fillId="2" borderId="99" xfId="2" applyFont="1" applyFill="1" applyBorder="1" applyAlignment="1">
      <alignment horizontal="center" vertical="center"/>
    </xf>
    <xf numFmtId="0" fontId="189" fillId="2" borderId="98" xfId="2" applyFont="1" applyFill="1" applyBorder="1" applyAlignment="1">
      <alignment horizontal="center" vertical="center"/>
    </xf>
    <xf numFmtId="0" fontId="192" fillId="35" borderId="13" xfId="2" applyFont="1" applyFill="1" applyBorder="1" applyAlignment="1">
      <alignment horizontal="center" vertical="center"/>
    </xf>
    <xf numFmtId="0" fontId="138" fillId="35" borderId="0" xfId="2" applyFont="1" applyFill="1" applyAlignment="1">
      <alignment horizontal="center" vertical="center"/>
    </xf>
    <xf numFmtId="199" fontId="138" fillId="35" borderId="0" xfId="2" applyNumberFormat="1" applyFont="1" applyFill="1" applyAlignment="1">
      <alignment horizontal="center" vertical="center"/>
    </xf>
    <xf numFmtId="165" fontId="190" fillId="14" borderId="0" xfId="5" applyNumberFormat="1" applyFont="1" applyFill="1" applyAlignment="1">
      <alignment horizontal="center" vertical="center"/>
    </xf>
    <xf numFmtId="195" fontId="166" fillId="3" borderId="12" xfId="2" applyNumberFormat="1" applyFont="1" applyFill="1" applyBorder="1" applyAlignment="1">
      <alignment horizontal="center" vertical="center"/>
    </xf>
    <xf numFmtId="0" fontId="168" fillId="14" borderId="13" xfId="2" applyFont="1" applyFill="1" applyBorder="1" applyAlignment="1">
      <alignment horizontal="center" vertical="center"/>
    </xf>
    <xf numFmtId="199" fontId="178" fillId="14" borderId="0" xfId="2" applyNumberFormat="1" applyFont="1" applyFill="1" applyAlignment="1">
      <alignment horizontal="center" vertical="center"/>
    </xf>
    <xf numFmtId="0" fontId="9" fillId="2" borderId="13" xfId="1" applyFont="1" applyFill="1" applyBorder="1" applyAlignment="1">
      <alignment horizontal="center" vertical="center"/>
    </xf>
    <xf numFmtId="0" fontId="9" fillId="2" borderId="0" xfId="1" applyFont="1" applyFill="1" applyAlignment="1">
      <alignment horizontal="center" vertical="center"/>
    </xf>
    <xf numFmtId="0" fontId="9" fillId="2" borderId="12" xfId="1" applyFont="1" applyFill="1" applyBorder="1" applyAlignment="1">
      <alignment horizontal="center" vertical="center"/>
    </xf>
    <xf numFmtId="0" fontId="9" fillId="2" borderId="11" xfId="1" applyFont="1" applyFill="1" applyBorder="1" applyAlignment="1">
      <alignment horizontal="center" vertical="center"/>
    </xf>
    <xf numFmtId="0" fontId="9" fillId="2" borderId="10" xfId="1" applyFont="1" applyFill="1" applyBorder="1" applyAlignment="1">
      <alignment horizontal="center" vertical="center"/>
    </xf>
    <xf numFmtId="0" fontId="9" fillId="2" borderId="9" xfId="1" applyFont="1" applyFill="1" applyBorder="1" applyAlignment="1">
      <alignment horizontal="center" vertical="center"/>
    </xf>
    <xf numFmtId="0" fontId="101" fillId="2" borderId="13" xfId="5" applyFont="1" applyFill="1" applyBorder="1" applyAlignment="1">
      <alignment horizontal="center" vertical="center" wrapText="1"/>
    </xf>
    <xf numFmtId="0" fontId="101" fillId="2" borderId="12" xfId="5" applyFont="1" applyFill="1" applyBorder="1" applyAlignment="1">
      <alignment horizontal="center" vertical="center" wrapText="1"/>
    </xf>
    <xf numFmtId="3" fontId="207" fillId="14" borderId="101" xfId="5" applyNumberFormat="1" applyFont="1" applyFill="1" applyBorder="1" applyAlignment="1">
      <alignment horizontal="center" vertical="center"/>
    </xf>
    <xf numFmtId="3" fontId="207" fillId="14" borderId="2" xfId="5" applyNumberFormat="1" applyFont="1" applyFill="1" applyBorder="1" applyAlignment="1">
      <alignment horizontal="center" vertical="center"/>
    </xf>
    <xf numFmtId="3" fontId="207" fillId="14" borderId="100" xfId="5" applyNumberFormat="1" applyFont="1" applyFill="1" applyBorder="1" applyAlignment="1">
      <alignment horizontal="center" vertical="center"/>
    </xf>
    <xf numFmtId="0" fontId="201" fillId="2" borderId="7" xfId="14" applyFont="1" applyFill="1" applyBorder="1" applyAlignment="1">
      <alignment horizontal="left" vertical="center"/>
    </xf>
    <xf numFmtId="0" fontId="201" fillId="2" borderId="98" xfId="14" applyFont="1" applyFill="1" applyBorder="1" applyAlignment="1">
      <alignment horizontal="left" vertical="center"/>
    </xf>
    <xf numFmtId="0" fontId="198" fillId="24" borderId="13" xfId="5" applyFont="1" applyFill="1" applyBorder="1" applyAlignment="1">
      <alignment horizontal="center" vertical="center" wrapText="1"/>
    </xf>
    <xf numFmtId="0" fontId="198" fillId="24" borderId="0" xfId="5" applyFont="1" applyFill="1" applyAlignment="1">
      <alignment horizontal="center" vertical="center" wrapText="1"/>
    </xf>
    <xf numFmtId="0" fontId="78" fillId="2" borderId="0" xfId="5" applyFont="1" applyFill="1" applyAlignment="1">
      <alignment horizontal="center" vertical="top" wrapText="1"/>
    </xf>
    <xf numFmtId="0" fontId="197" fillId="2" borderId="0" xfId="2" applyFont="1" applyFill="1" applyAlignment="1">
      <alignment horizontal="center" vertical="top" wrapText="1"/>
    </xf>
    <xf numFmtId="0" fontId="101" fillId="2" borderId="0" xfId="5" applyFont="1" applyFill="1" applyAlignment="1">
      <alignment horizontal="center" vertical="top" wrapText="1"/>
    </xf>
    <xf numFmtId="0" fontId="78" fillId="2" borderId="12" xfId="5" applyFont="1" applyFill="1" applyBorder="1" applyAlignment="1">
      <alignment horizontal="center" vertical="top" wrapText="1"/>
    </xf>
    <xf numFmtId="0" fontId="178" fillId="14" borderId="13" xfId="2" applyFont="1" applyFill="1" applyBorder="1" applyAlignment="1">
      <alignment horizontal="center" vertical="center"/>
    </xf>
    <xf numFmtId="165" fontId="101" fillId="5" borderId="0" xfId="5" applyNumberFormat="1" applyFont="1" applyFill="1" applyAlignment="1">
      <alignment horizontal="center" vertical="center"/>
    </xf>
    <xf numFmtId="165" fontId="101" fillId="5" borderId="12" xfId="5" applyNumberFormat="1" applyFont="1" applyFill="1" applyBorder="1" applyAlignment="1">
      <alignment horizontal="center" vertical="center"/>
    </xf>
    <xf numFmtId="0" fontId="197" fillId="2" borderId="12" xfId="2" applyFont="1" applyFill="1" applyBorder="1" applyAlignment="1">
      <alignment horizontal="center" vertical="top" wrapText="1"/>
    </xf>
    <xf numFmtId="0" fontId="78" fillId="2" borderId="13" xfId="5" applyFont="1" applyFill="1" applyBorder="1" applyAlignment="1">
      <alignment horizontal="center" vertical="top" wrapText="1"/>
    </xf>
    <xf numFmtId="165" fontId="178" fillId="14" borderId="0" xfId="5" applyNumberFormat="1" applyFont="1" applyFill="1" applyAlignment="1">
      <alignment horizontal="center" vertical="center"/>
    </xf>
    <xf numFmtId="0" fontId="78" fillId="5" borderId="0" xfId="2" applyFont="1" applyFill="1" applyAlignment="1">
      <alignment horizontal="center" vertical="center"/>
    </xf>
    <xf numFmtId="195" fontId="193" fillId="5" borderId="0" xfId="2" applyNumberFormat="1" applyFont="1" applyFill="1" applyAlignment="1">
      <alignment horizontal="center" vertical="center"/>
    </xf>
    <xf numFmtId="165" fontId="193" fillId="5" borderId="12" xfId="5" applyNumberFormat="1" applyFont="1" applyFill="1" applyBorder="1" applyAlignment="1">
      <alignment horizontal="center" vertical="center"/>
    </xf>
    <xf numFmtId="0" fontId="138" fillId="2" borderId="13" xfId="5" applyFont="1" applyFill="1" applyBorder="1" applyAlignment="1">
      <alignment horizontal="center" vertical="center"/>
    </xf>
    <xf numFmtId="0" fontId="138" fillId="2" borderId="0" xfId="5" applyFont="1" applyFill="1" applyAlignment="1">
      <alignment horizontal="center" vertical="center"/>
    </xf>
    <xf numFmtId="0" fontId="138" fillId="2" borderId="12" xfId="5" applyFont="1" applyFill="1" applyBorder="1" applyAlignment="1">
      <alignment horizontal="center" vertical="center"/>
    </xf>
    <xf numFmtId="195" fontId="78" fillId="5" borderId="0" xfId="2" applyNumberFormat="1" applyFont="1" applyFill="1" applyAlignment="1">
      <alignment horizontal="center" vertical="center"/>
    </xf>
    <xf numFmtId="2" fontId="169" fillId="5" borderId="12" xfId="2" applyNumberFormat="1" applyFont="1" applyFill="1" applyBorder="1" applyAlignment="1">
      <alignment horizontal="center" vertical="center"/>
    </xf>
    <xf numFmtId="0" fontId="78" fillId="2" borderId="13" xfId="5" applyFont="1" applyFill="1" applyBorder="1" applyAlignment="1">
      <alignment horizontal="center" vertical="center" wrapText="1"/>
    </xf>
    <xf numFmtId="0" fontId="89" fillId="2" borderId="0" xfId="2" applyFont="1" applyFill="1" applyAlignment="1">
      <alignment horizontal="center" vertical="center" wrapText="1"/>
    </xf>
    <xf numFmtId="0" fontId="101" fillId="2" borderId="0" xfId="2" applyFont="1" applyFill="1" applyAlignment="1">
      <alignment horizontal="center" vertical="center" wrapText="1"/>
    </xf>
    <xf numFmtId="0" fontId="78" fillId="2" borderId="12" xfId="5" applyFont="1" applyFill="1" applyBorder="1" applyAlignment="1">
      <alignment horizontal="center" vertical="center" wrapText="1"/>
    </xf>
    <xf numFmtId="165" fontId="209" fillId="5" borderId="0" xfId="5" applyNumberFormat="1" applyFont="1" applyFill="1" applyAlignment="1">
      <alignment horizontal="center" vertical="center"/>
    </xf>
    <xf numFmtId="0" fontId="138" fillId="5" borderId="12" xfId="5" applyFont="1" applyFill="1" applyBorder="1" applyAlignment="1">
      <alignment horizontal="center" vertical="center"/>
    </xf>
    <xf numFmtId="0" fontId="9" fillId="2" borderId="13" xfId="1" applyFont="1" applyFill="1" applyBorder="1" applyAlignment="1">
      <alignment horizontal="center" vertical="center" wrapText="1"/>
    </xf>
    <xf numFmtId="0" fontId="9" fillId="2" borderId="0" xfId="1" applyFont="1" applyFill="1" applyAlignment="1">
      <alignment horizontal="center" vertical="center" wrapText="1"/>
    </xf>
    <xf numFmtId="0" fontId="9" fillId="2" borderId="12" xfId="1" applyFont="1" applyFill="1" applyBorder="1" applyAlignment="1">
      <alignment horizontal="center" vertical="center" wrapText="1"/>
    </xf>
    <xf numFmtId="0" fontId="9" fillId="2" borderId="11" xfId="1" applyFont="1" applyFill="1" applyBorder="1" applyAlignment="1">
      <alignment horizontal="center" vertical="center" wrapText="1"/>
    </xf>
    <xf numFmtId="0" fontId="9" fillId="2" borderId="10" xfId="1" applyFont="1" applyFill="1" applyBorder="1" applyAlignment="1">
      <alignment horizontal="center" vertical="center" wrapText="1"/>
    </xf>
    <xf numFmtId="0" fontId="9" fillId="2" borderId="9" xfId="1" applyFont="1" applyFill="1" applyBorder="1" applyAlignment="1">
      <alignment horizontal="center" vertical="center" wrapText="1"/>
    </xf>
    <xf numFmtId="0" fontId="198" fillId="24" borderId="37" xfId="5" applyFont="1" applyFill="1" applyBorder="1" applyAlignment="1">
      <alignment horizontal="center" vertical="center"/>
    </xf>
    <xf numFmtId="0" fontId="198" fillId="24" borderId="36" xfId="5" applyFont="1" applyFill="1" applyBorder="1" applyAlignment="1">
      <alignment horizontal="center" vertical="center"/>
    </xf>
    <xf numFmtId="0" fontId="198" fillId="24" borderId="35" xfId="5" applyFont="1" applyFill="1" applyBorder="1" applyAlignment="1">
      <alignment horizontal="center" vertical="center"/>
    </xf>
    <xf numFmtId="0" fontId="198" fillId="24" borderId="13" xfId="5" applyFont="1" applyFill="1" applyBorder="1" applyAlignment="1">
      <alignment horizontal="center" vertical="center"/>
    </xf>
    <xf numFmtId="0" fontId="198" fillId="24" borderId="0" xfId="5" applyFont="1" applyFill="1" applyAlignment="1">
      <alignment horizontal="center" vertical="center"/>
    </xf>
    <xf numFmtId="0" fontId="198" fillId="24" borderId="12" xfId="5" applyFont="1" applyFill="1" applyBorder="1" applyAlignment="1">
      <alignment horizontal="center" vertical="center"/>
    </xf>
    <xf numFmtId="0" fontId="198" fillId="24" borderId="37" xfId="2" applyFont="1" applyFill="1" applyBorder="1" applyAlignment="1" applyProtection="1">
      <alignment horizontal="center" vertical="center"/>
      <protection hidden="1"/>
    </xf>
    <xf numFmtId="0" fontId="198" fillId="24" borderId="36" xfId="2" applyFont="1" applyFill="1" applyBorder="1" applyAlignment="1" applyProtection="1">
      <alignment horizontal="center" vertical="center"/>
      <protection hidden="1"/>
    </xf>
    <xf numFmtId="0" fontId="198" fillId="24" borderId="35" xfId="2" applyFont="1" applyFill="1" applyBorder="1" applyAlignment="1" applyProtection="1">
      <alignment horizontal="center" vertical="center"/>
      <protection hidden="1"/>
    </xf>
    <xf numFmtId="0" fontId="138" fillId="5" borderId="13" xfId="5" applyFont="1" applyFill="1" applyBorder="1" applyAlignment="1">
      <alignment horizontal="center" vertical="center" wrapText="1"/>
    </xf>
    <xf numFmtId="165" fontId="210" fillId="14" borderId="0" xfId="5" applyNumberFormat="1" applyFont="1" applyFill="1" applyAlignment="1">
      <alignment horizontal="center" vertical="center"/>
    </xf>
    <xf numFmtId="187" fontId="138" fillId="5" borderId="0" xfId="5" applyNumberFormat="1" applyFont="1" applyFill="1" applyAlignment="1">
      <alignment horizontal="right" vertical="center"/>
    </xf>
    <xf numFmtId="3" fontId="209" fillId="5" borderId="0" xfId="5" applyNumberFormat="1" applyFont="1" applyFill="1" applyAlignment="1">
      <alignment horizontal="center" vertical="center"/>
    </xf>
    <xf numFmtId="0" fontId="138" fillId="5" borderId="0" xfId="5" applyFont="1" applyFill="1" applyAlignment="1">
      <alignment horizontal="right" vertical="center"/>
    </xf>
    <xf numFmtId="3" fontId="210" fillId="13" borderId="0" xfId="5" applyNumberFormat="1" applyFont="1" applyFill="1" applyAlignment="1">
      <alignment horizontal="center" vertical="center"/>
    </xf>
    <xf numFmtId="0" fontId="90" fillId="24" borderId="13" xfId="5" applyFont="1" applyFill="1" applyBorder="1" applyAlignment="1">
      <alignment horizontal="center" vertical="center"/>
    </xf>
    <xf numFmtId="0" fontId="90" fillId="24" borderId="0" xfId="5" applyFont="1" applyFill="1" applyAlignment="1">
      <alignment horizontal="center" vertical="center"/>
    </xf>
    <xf numFmtId="0" fontId="90" fillId="24" borderId="12" xfId="5" applyFont="1" applyFill="1" applyBorder="1" applyAlignment="1">
      <alignment horizontal="center" vertical="center"/>
    </xf>
    <xf numFmtId="0" fontId="112" fillId="2" borderId="99" xfId="2" applyFont="1" applyFill="1" applyBorder="1" applyAlignment="1">
      <alignment horizontal="center" vertical="center" wrapText="1"/>
    </xf>
    <xf numFmtId="0" fontId="112" fillId="2" borderId="7" xfId="2" applyFont="1" applyFill="1" applyBorder="1" applyAlignment="1">
      <alignment horizontal="center" vertical="center" wrapText="1"/>
    </xf>
    <xf numFmtId="0" fontId="112" fillId="2" borderId="98" xfId="2" applyFont="1" applyFill="1" applyBorder="1" applyAlignment="1">
      <alignment horizontal="center" vertical="center" wrapText="1"/>
    </xf>
    <xf numFmtId="0" fontId="206" fillId="2" borderId="13" xfId="2" applyFont="1" applyFill="1" applyBorder="1" applyAlignment="1">
      <alignment horizontal="center" vertical="center" wrapText="1"/>
    </xf>
    <xf numFmtId="0" fontId="206" fillId="2" borderId="0" xfId="2" applyFont="1" applyFill="1" applyAlignment="1">
      <alignment horizontal="center" vertical="center" wrapText="1"/>
    </xf>
    <xf numFmtId="0" fontId="206" fillId="2" borderId="12" xfId="2" applyFont="1" applyFill="1" applyBorder="1" applyAlignment="1">
      <alignment horizontal="center" vertical="center" wrapText="1"/>
    </xf>
    <xf numFmtId="195" fontId="101" fillId="3" borderId="0" xfId="2" applyNumberFormat="1" applyFont="1" applyFill="1" applyAlignment="1">
      <alignment horizontal="center" vertical="center"/>
    </xf>
    <xf numFmtId="195" fontId="101" fillId="3" borderId="12" xfId="2" applyNumberFormat="1" applyFont="1" applyFill="1" applyBorder="1" applyAlignment="1">
      <alignment horizontal="center" vertical="center"/>
    </xf>
    <xf numFmtId="202" fontId="78" fillId="5" borderId="2" xfId="2" applyNumberFormat="1" applyFont="1" applyFill="1" applyBorder="1" applyAlignment="1">
      <alignment horizontal="center" vertical="center"/>
    </xf>
    <xf numFmtId="202" fontId="78" fillId="5" borderId="100" xfId="2" applyNumberFormat="1" applyFont="1" applyFill="1" applyBorder="1" applyAlignment="1">
      <alignment horizontal="center" vertical="center"/>
    </xf>
    <xf numFmtId="202" fontId="78" fillId="3" borderId="0" xfId="2" applyNumberFormat="1" applyFont="1" applyFill="1" applyAlignment="1">
      <alignment horizontal="center" vertical="center"/>
    </xf>
    <xf numFmtId="202" fontId="78" fillId="3" borderId="12" xfId="2" applyNumberFormat="1" applyFont="1" applyFill="1" applyBorder="1" applyAlignment="1">
      <alignment horizontal="center" vertical="center"/>
    </xf>
    <xf numFmtId="0" fontId="249" fillId="13" borderId="0" xfId="2" applyFont="1" applyFill="1" applyAlignment="1">
      <alignment horizontal="center" vertical="center"/>
    </xf>
    <xf numFmtId="195" fontId="78" fillId="5" borderId="12" xfId="2" applyNumberFormat="1" applyFont="1" applyFill="1" applyBorder="1" applyAlignment="1">
      <alignment horizontal="center" vertical="center"/>
    </xf>
    <xf numFmtId="0" fontId="87" fillId="26" borderId="12" xfId="2" applyFont="1" applyFill="1" applyBorder="1" applyAlignment="1">
      <alignment horizontal="center" vertical="center" textRotation="90"/>
    </xf>
    <xf numFmtId="0" fontId="87" fillId="26" borderId="9" xfId="2" applyFont="1" applyFill="1" applyBorder="1" applyAlignment="1">
      <alignment horizontal="center" vertical="center" textRotation="90"/>
    </xf>
    <xf numFmtId="0" fontId="127" fillId="26" borderId="9" xfId="2" applyFont="1" applyFill="1" applyBorder="1" applyAlignment="1">
      <alignment horizontal="center" vertical="center" textRotation="90" wrapText="1"/>
    </xf>
    <xf numFmtId="0" fontId="156" fillId="2" borderId="0" xfId="5" applyFont="1" applyFill="1" applyAlignment="1">
      <alignment horizontal="center" vertical="center" wrapText="1"/>
    </xf>
    <xf numFmtId="202" fontId="78" fillId="5" borderId="0" xfId="2" applyNumberFormat="1" applyFont="1" applyFill="1" applyAlignment="1">
      <alignment horizontal="center" vertical="center"/>
    </xf>
    <xf numFmtId="202" fontId="78" fillId="5" borderId="12" xfId="2" applyNumberFormat="1" applyFont="1" applyFill="1" applyBorder="1" applyAlignment="1">
      <alignment horizontal="center" vertical="center"/>
    </xf>
    <xf numFmtId="0" fontId="114" fillId="14" borderId="13" xfId="2" applyFont="1" applyFill="1" applyBorder="1" applyAlignment="1">
      <alignment horizontal="center" vertical="center"/>
    </xf>
    <xf numFmtId="199" fontId="114" fillId="14" borderId="0" xfId="2" applyNumberFormat="1" applyFont="1" applyFill="1" applyAlignment="1">
      <alignment horizontal="center" vertical="center"/>
    </xf>
    <xf numFmtId="195" fontId="101" fillId="5" borderId="0" xfId="2" applyNumberFormat="1" applyFont="1" applyFill="1" applyAlignment="1">
      <alignment horizontal="center" vertical="center"/>
    </xf>
    <xf numFmtId="195" fontId="101" fillId="5" borderId="12" xfId="2" applyNumberFormat="1" applyFont="1" applyFill="1" applyBorder="1" applyAlignment="1">
      <alignment horizontal="center" vertical="center"/>
    </xf>
    <xf numFmtId="0" fontId="78" fillId="2" borderId="13" xfId="5" applyFont="1" applyFill="1" applyBorder="1" applyAlignment="1">
      <alignment horizontal="center" vertical="center"/>
    </xf>
    <xf numFmtId="0" fontId="78" fillId="2" borderId="0" xfId="5" applyFont="1" applyFill="1" applyAlignment="1">
      <alignment horizontal="center" vertical="center"/>
    </xf>
    <xf numFmtId="0" fontId="78" fillId="2" borderId="12" xfId="5" applyFont="1" applyFill="1" applyBorder="1" applyAlignment="1">
      <alignment horizontal="center" vertical="center"/>
    </xf>
    <xf numFmtId="0" fontId="90" fillId="24" borderId="37" xfId="2" applyFont="1" applyFill="1" applyBorder="1" applyAlignment="1">
      <alignment horizontal="center" vertical="center" wrapText="1"/>
    </xf>
    <xf numFmtId="0" fontId="90" fillId="24" borderId="36" xfId="2" applyFont="1" applyFill="1" applyBorder="1" applyAlignment="1">
      <alignment horizontal="center" vertical="center" wrapText="1"/>
    </xf>
    <xf numFmtId="0" fontId="90" fillId="24" borderId="35" xfId="2" applyFont="1" applyFill="1" applyBorder="1" applyAlignment="1">
      <alignment horizontal="center" vertical="center" wrapText="1"/>
    </xf>
    <xf numFmtId="0" fontId="90" fillId="24" borderId="28" xfId="2" applyFont="1" applyFill="1" applyBorder="1" applyAlignment="1">
      <alignment horizontal="center" vertical="center" wrapText="1"/>
    </xf>
    <xf numFmtId="0" fontId="90" fillId="24" borderId="27" xfId="2" applyFont="1" applyFill="1" applyBorder="1" applyAlignment="1">
      <alignment horizontal="center" vertical="center" wrapText="1"/>
    </xf>
    <xf numFmtId="0" fontId="90" fillId="24" borderId="26" xfId="2" applyFont="1" applyFill="1" applyBorder="1" applyAlignment="1">
      <alignment horizontal="center" vertical="center" wrapText="1"/>
    </xf>
    <xf numFmtId="0" fontId="117" fillId="2" borderId="0" xfId="3" applyFont="1" applyFill="1" applyAlignment="1">
      <alignment horizontal="left"/>
    </xf>
    <xf numFmtId="0" fontId="90" fillId="24" borderId="37" xfId="5" applyFont="1" applyFill="1" applyBorder="1" applyAlignment="1">
      <alignment horizontal="center" vertical="center" wrapText="1"/>
    </xf>
    <xf numFmtId="0" fontId="90" fillId="24" borderId="36" xfId="5" applyFont="1" applyFill="1" applyBorder="1" applyAlignment="1">
      <alignment horizontal="center" vertical="center" wrapText="1"/>
    </xf>
    <xf numFmtId="0" fontId="90" fillId="24" borderId="35" xfId="5" applyFont="1" applyFill="1" applyBorder="1" applyAlignment="1">
      <alignment horizontal="center" vertical="center" wrapText="1"/>
    </xf>
    <xf numFmtId="0" fontId="90" fillId="24" borderId="13" xfId="5" applyFont="1" applyFill="1" applyBorder="1" applyAlignment="1">
      <alignment horizontal="center" vertical="center" wrapText="1"/>
    </xf>
    <xf numFmtId="0" fontId="90" fillId="24" borderId="0" xfId="5" applyFont="1" applyFill="1" applyAlignment="1">
      <alignment horizontal="center" vertical="center" wrapText="1"/>
    </xf>
    <xf numFmtId="0" fontId="90" fillId="24" borderId="12" xfId="5" applyFont="1" applyFill="1" applyBorder="1" applyAlignment="1">
      <alignment horizontal="center" vertical="center" wrapText="1"/>
    </xf>
    <xf numFmtId="0" fontId="215" fillId="24" borderId="37" xfId="2" applyFont="1" applyFill="1" applyBorder="1" applyAlignment="1">
      <alignment horizontal="center"/>
    </xf>
    <xf numFmtId="0" fontId="215" fillId="24" borderId="36" xfId="2" applyFont="1" applyFill="1" applyBorder="1" applyAlignment="1">
      <alignment horizontal="center"/>
    </xf>
    <xf numFmtId="0" fontId="215" fillId="24" borderId="35" xfId="2" applyFont="1" applyFill="1" applyBorder="1" applyAlignment="1">
      <alignment horizontal="center"/>
    </xf>
    <xf numFmtId="0" fontId="154" fillId="8" borderId="115" xfId="10" applyFont="1" applyFill="1" applyBorder="1" applyAlignment="1" applyProtection="1">
      <alignment horizontal="center" vertical="center" wrapText="1"/>
      <protection locked="0"/>
    </xf>
    <xf numFmtId="0" fontId="154" fillId="8" borderId="113" xfId="10" applyFont="1" applyFill="1" applyBorder="1" applyAlignment="1" applyProtection="1">
      <alignment horizontal="center" vertical="center" wrapText="1"/>
      <protection locked="0"/>
    </xf>
    <xf numFmtId="0" fontId="154" fillId="8" borderId="116" xfId="10" applyFont="1" applyFill="1" applyBorder="1" applyAlignment="1" applyProtection="1">
      <alignment horizontal="center" vertical="center" wrapText="1"/>
      <protection locked="0"/>
    </xf>
    <xf numFmtId="0" fontId="127" fillId="26" borderId="41" xfId="2" applyFont="1" applyFill="1" applyBorder="1" applyAlignment="1">
      <alignment horizontal="center" vertical="center" textRotation="90" wrapText="1"/>
    </xf>
    <xf numFmtId="0" fontId="112" fillId="2" borderId="49" xfId="2" applyFont="1" applyFill="1" applyBorder="1" applyAlignment="1">
      <alignment horizontal="center" vertical="center" wrapText="1"/>
    </xf>
    <xf numFmtId="0" fontId="112" fillId="2" borderId="48" xfId="2" applyFont="1" applyFill="1" applyBorder="1" applyAlignment="1">
      <alignment horizontal="center" vertical="center" wrapText="1"/>
    </xf>
    <xf numFmtId="0" fontId="112" fillId="2" borderId="47" xfId="2" applyFont="1" applyFill="1" applyBorder="1" applyAlignment="1">
      <alignment horizontal="center" vertical="center" wrapText="1"/>
    </xf>
    <xf numFmtId="0" fontId="10" fillId="32" borderId="37" xfId="1" applyFont="1" applyFill="1" applyBorder="1" applyAlignment="1">
      <alignment horizontal="center" vertical="center" wrapText="1"/>
    </xf>
    <xf numFmtId="0" fontId="10" fillId="32" borderId="36" xfId="1" applyFont="1" applyFill="1" applyBorder="1" applyAlignment="1">
      <alignment horizontal="center" vertical="center" wrapText="1"/>
    </xf>
    <xf numFmtId="0" fontId="10" fillId="32" borderId="35" xfId="1" applyFont="1" applyFill="1" applyBorder="1" applyAlignment="1">
      <alignment horizontal="center" vertical="center" wrapText="1"/>
    </xf>
    <xf numFmtId="0" fontId="10" fillId="32" borderId="13" xfId="1" applyFont="1" applyFill="1" applyBorder="1" applyAlignment="1">
      <alignment horizontal="center" vertical="center" wrapText="1"/>
    </xf>
    <xf numFmtId="0" fontId="10" fillId="32" borderId="0" xfId="1" applyFont="1" applyFill="1" applyAlignment="1">
      <alignment horizontal="center" vertical="center" wrapText="1"/>
    </xf>
    <xf numFmtId="0" fontId="10" fillId="32" borderId="12" xfId="1" applyFont="1" applyFill="1" applyBorder="1" applyAlignment="1">
      <alignment horizontal="center" vertical="center" wrapText="1"/>
    </xf>
    <xf numFmtId="0" fontId="10" fillId="32" borderId="11" xfId="1" applyFont="1" applyFill="1" applyBorder="1" applyAlignment="1">
      <alignment horizontal="center" vertical="center" wrapText="1"/>
    </xf>
    <xf numFmtId="0" fontId="10" fillId="32" borderId="10" xfId="1" applyFont="1" applyFill="1" applyBorder="1" applyAlignment="1">
      <alignment horizontal="center" vertical="center" wrapText="1"/>
    </xf>
    <xf numFmtId="0" fontId="10" fillId="32" borderId="9" xfId="1" applyFont="1" applyFill="1" applyBorder="1" applyAlignment="1">
      <alignment horizontal="center" vertical="center" wrapText="1"/>
    </xf>
    <xf numFmtId="0" fontId="94" fillId="0" borderId="64" xfId="1" applyFont="1" applyBorder="1" applyAlignment="1">
      <alignment horizontal="center" vertical="center"/>
    </xf>
    <xf numFmtId="0" fontId="94" fillId="0" borderId="48" xfId="1" applyFont="1" applyBorder="1" applyAlignment="1">
      <alignment horizontal="center" vertical="center"/>
    </xf>
    <xf numFmtId="0" fontId="94" fillId="0" borderId="70" xfId="1" applyFont="1" applyBorder="1" applyAlignment="1">
      <alignment horizontal="center" vertical="center"/>
    </xf>
    <xf numFmtId="0" fontId="39" fillId="2" borderId="13" xfId="2" applyFont="1" applyFill="1" applyBorder="1" applyAlignment="1" applyProtection="1">
      <alignment horizontal="center" vertical="center"/>
      <protection hidden="1"/>
    </xf>
    <xf numFmtId="0" fontId="39" fillId="2" borderId="0" xfId="2" applyFont="1" applyFill="1" applyAlignment="1" applyProtection="1">
      <alignment horizontal="center" vertical="center"/>
      <protection hidden="1"/>
    </xf>
    <xf numFmtId="0" fontId="39" fillId="2" borderId="12" xfId="2" applyFont="1" applyFill="1" applyBorder="1" applyAlignment="1" applyProtection="1">
      <alignment horizontal="center" vertical="center"/>
      <protection hidden="1"/>
    </xf>
    <xf numFmtId="49" fontId="12" fillId="2" borderId="94" xfId="1" applyNumberFormat="1" applyFill="1" applyBorder="1" applyAlignment="1">
      <alignment horizontal="center" vertical="center"/>
    </xf>
    <xf numFmtId="49" fontId="12" fillId="2" borderId="93" xfId="1" applyNumberFormat="1" applyFill="1" applyBorder="1" applyAlignment="1">
      <alignment horizontal="center" vertical="center"/>
    </xf>
    <xf numFmtId="49" fontId="12" fillId="2" borderId="92" xfId="1" applyNumberFormat="1" applyFill="1" applyBorder="1" applyAlignment="1">
      <alignment horizontal="center" vertical="center"/>
    </xf>
    <xf numFmtId="49" fontId="114" fillId="0" borderId="13" xfId="1" applyNumberFormat="1" applyFont="1" applyBorder="1" applyAlignment="1">
      <alignment horizontal="center" vertical="center" wrapText="1"/>
    </xf>
    <xf numFmtId="49" fontId="114" fillId="0" borderId="52" xfId="1" applyNumberFormat="1" applyFont="1" applyBorder="1" applyAlignment="1">
      <alignment horizontal="center" vertical="center" wrapText="1"/>
    </xf>
    <xf numFmtId="49" fontId="114" fillId="0" borderId="0" xfId="1" applyNumberFormat="1" applyFont="1" applyAlignment="1">
      <alignment horizontal="center" vertical="center" wrapText="1"/>
    </xf>
    <xf numFmtId="49" fontId="114" fillId="0" borderId="51" xfId="1" applyNumberFormat="1" applyFont="1" applyBorder="1" applyAlignment="1">
      <alignment horizontal="center" vertical="center" wrapText="1"/>
    </xf>
    <xf numFmtId="49" fontId="114" fillId="0" borderId="12" xfId="1" applyNumberFormat="1" applyFont="1" applyBorder="1" applyAlignment="1">
      <alignment horizontal="center" vertical="center" wrapText="1"/>
    </xf>
    <xf numFmtId="49" fontId="114" fillId="0" borderId="50" xfId="1" applyNumberFormat="1" applyFont="1" applyBorder="1" applyAlignment="1">
      <alignment horizontal="center" vertical="center" wrapText="1"/>
    </xf>
    <xf numFmtId="49" fontId="155" fillId="0" borderId="13" xfId="13" applyNumberFormat="1" applyFont="1" applyBorder="1" applyAlignment="1">
      <alignment horizontal="center" vertical="center"/>
    </xf>
    <xf numFmtId="49" fontId="155" fillId="0" borderId="0" xfId="13" applyNumberFormat="1" applyFont="1" applyBorder="1" applyAlignment="1">
      <alignment horizontal="center" vertical="center"/>
    </xf>
    <xf numFmtId="49" fontId="155" fillId="0" borderId="12" xfId="13" applyNumberFormat="1" applyFont="1" applyBorder="1" applyAlignment="1">
      <alignment horizontal="center" vertical="center"/>
    </xf>
    <xf numFmtId="49" fontId="155" fillId="0" borderId="64" xfId="13" applyNumberFormat="1" applyFont="1" applyBorder="1" applyAlignment="1">
      <alignment horizontal="center" vertical="center"/>
    </xf>
    <xf numFmtId="49" fontId="155" fillId="0" borderId="48" xfId="13" applyNumberFormat="1" applyFont="1" applyBorder="1" applyAlignment="1">
      <alignment horizontal="center" vertical="center"/>
    </xf>
    <xf numFmtId="49" fontId="155" fillId="0" borderId="70" xfId="13" applyNumberFormat="1" applyFont="1" applyBorder="1" applyAlignment="1">
      <alignment horizontal="center" vertical="center"/>
    </xf>
    <xf numFmtId="0" fontId="112" fillId="2" borderId="13" xfId="2" applyFont="1" applyFill="1" applyBorder="1" applyAlignment="1">
      <alignment horizontal="center" vertical="center" wrapText="1"/>
    </xf>
    <xf numFmtId="0" fontId="112" fillId="2" borderId="0" xfId="2" applyFont="1" applyFill="1" applyAlignment="1">
      <alignment horizontal="center" vertical="center" wrapText="1"/>
    </xf>
    <xf numFmtId="0" fontId="112" fillId="2" borderId="12" xfId="2" applyFont="1" applyFill="1" applyBorder="1" applyAlignment="1">
      <alignment horizontal="center" vertical="center" wrapText="1"/>
    </xf>
    <xf numFmtId="0" fontId="112" fillId="2" borderId="11" xfId="2" applyFont="1" applyFill="1" applyBorder="1" applyAlignment="1">
      <alignment horizontal="center" vertical="center" wrapText="1"/>
    </xf>
    <xf numFmtId="0" fontId="112" fillId="2" borderId="10" xfId="2" applyFont="1" applyFill="1" applyBorder="1" applyAlignment="1">
      <alignment horizontal="center" vertical="center" wrapText="1"/>
    </xf>
    <xf numFmtId="0" fontId="112" fillId="2" borderId="9" xfId="2" applyFont="1" applyFill="1" applyBorder="1" applyAlignment="1">
      <alignment horizontal="center" vertical="center" wrapText="1"/>
    </xf>
    <xf numFmtId="49" fontId="72" fillId="24" borderId="37" xfId="2" applyNumberFormat="1" applyFont="1" applyFill="1" applyBorder="1" applyAlignment="1">
      <alignment horizontal="center" vertical="center"/>
    </xf>
    <xf numFmtId="49" fontId="72" fillId="24" borderId="36" xfId="2" applyNumberFormat="1" applyFont="1" applyFill="1" applyBorder="1" applyAlignment="1">
      <alignment horizontal="center" vertical="center"/>
    </xf>
    <xf numFmtId="49" fontId="72" fillId="24" borderId="35" xfId="2" applyNumberFormat="1" applyFont="1" applyFill="1" applyBorder="1" applyAlignment="1">
      <alignment horizontal="center" vertical="center"/>
    </xf>
    <xf numFmtId="0" fontId="14" fillId="2" borderId="68" xfId="2" applyFont="1" applyFill="1" applyBorder="1" applyAlignment="1" applyProtection="1">
      <alignment horizontal="center" vertical="center"/>
      <protection hidden="1"/>
    </xf>
    <xf numFmtId="0" fontId="14" fillId="2" borderId="96" xfId="2" applyFont="1" applyFill="1" applyBorder="1" applyAlignment="1" applyProtection="1">
      <alignment horizontal="center" vertical="center"/>
      <protection hidden="1"/>
    </xf>
    <xf numFmtId="0" fontId="39" fillId="2" borderId="96" xfId="2" applyFont="1" applyFill="1" applyBorder="1" applyAlignment="1" applyProtection="1">
      <alignment horizontal="center" vertical="center"/>
      <protection hidden="1"/>
    </xf>
    <xf numFmtId="0" fontId="39" fillId="2" borderId="95" xfId="2" applyFont="1" applyFill="1" applyBorder="1" applyAlignment="1" applyProtection="1">
      <alignment horizontal="center" vertical="center"/>
      <protection hidden="1"/>
    </xf>
    <xf numFmtId="194" fontId="100" fillId="13" borderId="13" xfId="2" applyNumberFormat="1" applyFont="1" applyFill="1" applyBorder="1" applyAlignment="1" applyProtection="1">
      <alignment horizontal="center" vertical="center"/>
      <protection hidden="1"/>
    </xf>
    <xf numFmtId="166" fontId="34" fillId="5" borderId="0" xfId="2" applyNumberFormat="1" applyFont="1" applyFill="1" applyAlignment="1" applyProtection="1">
      <alignment horizontal="center" vertical="center"/>
      <protection hidden="1"/>
    </xf>
    <xf numFmtId="193" fontId="100" fillId="13" borderId="13" xfId="2" applyNumberFormat="1" applyFont="1" applyFill="1" applyBorder="1" applyAlignment="1" applyProtection="1">
      <alignment horizontal="center" vertical="center"/>
      <protection hidden="1"/>
    </xf>
    <xf numFmtId="0" fontId="286" fillId="2" borderId="0" xfId="3" applyFont="1" applyFill="1" applyAlignment="1">
      <alignment horizontal="left" vertical="center"/>
    </xf>
    <xf numFmtId="0" fontId="156" fillId="2" borderId="64" xfId="2" applyFont="1" applyFill="1" applyBorder="1" applyAlignment="1">
      <alignment horizontal="center" vertical="center" wrapText="1"/>
    </xf>
    <xf numFmtId="0" fontId="156" fillId="2" borderId="129" xfId="2" applyFont="1" applyFill="1" applyBorder="1" applyAlignment="1">
      <alignment horizontal="center" vertical="center" wrapText="1"/>
    </xf>
    <xf numFmtId="0" fontId="156" fillId="2" borderId="130" xfId="2" applyFont="1" applyFill="1" applyBorder="1" applyAlignment="1">
      <alignment horizontal="center" vertical="center" wrapText="1"/>
    </xf>
    <xf numFmtId="0" fontId="78" fillId="2" borderId="67" xfId="2" applyFont="1" applyFill="1" applyBorder="1" applyAlignment="1">
      <alignment horizontal="center" vertical="center"/>
    </xf>
    <xf numFmtId="0" fontId="303" fillId="2" borderId="66" xfId="2" applyFont="1" applyFill="1" applyBorder="1" applyAlignment="1">
      <alignment horizontal="right" vertical="center"/>
    </xf>
    <xf numFmtId="0" fontId="108" fillId="2" borderId="97" xfId="2" applyFont="1" applyFill="1" applyBorder="1" applyAlignment="1">
      <alignment horizontal="center" vertical="center"/>
    </xf>
    <xf numFmtId="0" fontId="108" fillId="2" borderId="96" xfId="2" applyFont="1" applyFill="1" applyBorder="1" applyAlignment="1">
      <alignment horizontal="center" vertical="center"/>
    </xf>
    <xf numFmtId="211" fontId="39" fillId="2" borderId="66" xfId="21" applyNumberFormat="1" applyFont="1" applyFill="1" applyBorder="1" applyAlignment="1" applyProtection="1">
      <alignment horizontal="center" vertical="center" wrapText="1"/>
      <protection locked="0"/>
    </xf>
    <xf numFmtId="188" fontId="39" fillId="2" borderId="65" xfId="21" applyNumberFormat="1" applyFont="1" applyFill="1" applyBorder="1" applyAlignment="1" applyProtection="1">
      <alignment horizontal="center" vertical="center" wrapText="1"/>
      <protection locked="0"/>
    </xf>
    <xf numFmtId="188" fontId="14" fillId="33" borderId="12" xfId="21" applyNumberFormat="1" applyFont="1" applyFill="1" applyBorder="1" applyAlignment="1" applyProtection="1">
      <alignment horizontal="center" vertical="center" wrapText="1"/>
      <protection locked="0"/>
    </xf>
    <xf numFmtId="0" fontId="78" fillId="2" borderId="94" xfId="2" applyFont="1" applyFill="1" applyBorder="1" applyAlignment="1">
      <alignment horizontal="center" vertical="center"/>
    </xf>
    <xf numFmtId="0" fontId="138" fillId="2" borderId="93" xfId="1" applyFont="1" applyFill="1" applyBorder="1" applyAlignment="1">
      <alignment horizontal="right" vertical="center"/>
    </xf>
    <xf numFmtId="0" fontId="138" fillId="2" borderId="66" xfId="1" applyFont="1" applyFill="1" applyBorder="1" applyAlignment="1">
      <alignment horizontal="right" vertical="center"/>
    </xf>
    <xf numFmtId="211" fontId="34" fillId="2" borderId="93" xfId="21" applyNumberFormat="1" applyFont="1" applyFill="1" applyBorder="1" applyAlignment="1" applyProtection="1">
      <alignment horizontal="center" vertical="center" wrapText="1"/>
      <protection locked="0"/>
    </xf>
    <xf numFmtId="211" fontId="34" fillId="2" borderId="66" xfId="21" applyNumberFormat="1" applyFont="1" applyFill="1" applyBorder="1" applyAlignment="1" applyProtection="1">
      <alignment horizontal="center" vertical="center" wrapText="1"/>
      <protection locked="0"/>
    </xf>
    <xf numFmtId="188" fontId="34" fillId="2" borderId="92" xfId="21" applyNumberFormat="1" applyFont="1" applyFill="1" applyBorder="1" applyAlignment="1" applyProtection="1">
      <alignment horizontal="center" vertical="center" wrapText="1"/>
      <protection locked="0"/>
    </xf>
    <xf numFmtId="188" fontId="34" fillId="2" borderId="65" xfId="21" applyNumberFormat="1" applyFont="1" applyFill="1" applyBorder="1" applyAlignment="1" applyProtection="1">
      <alignment horizontal="center" vertical="center" wrapText="1"/>
      <protection locked="0"/>
    </xf>
    <xf numFmtId="0" fontId="126" fillId="2" borderId="22" xfId="1" applyFont="1" applyFill="1" applyBorder="1" applyAlignment="1">
      <alignment horizontal="center" vertical="center" wrapText="1"/>
    </xf>
    <xf numFmtId="0" fontId="285" fillId="13" borderId="97" xfId="1" applyFont="1" applyFill="1" applyBorder="1" applyAlignment="1">
      <alignment horizontal="center" vertical="center"/>
    </xf>
    <xf numFmtId="0" fontId="285" fillId="13" borderId="20" xfId="1" applyFont="1" applyFill="1" applyBorder="1" applyAlignment="1">
      <alignment horizontal="center" vertical="center"/>
    </xf>
    <xf numFmtId="0" fontId="285" fillId="13" borderId="0" xfId="1" applyFont="1" applyFill="1" applyAlignment="1">
      <alignment horizontal="center" vertical="center"/>
    </xf>
    <xf numFmtId="0" fontId="285" fillId="13" borderId="12" xfId="1" applyFont="1" applyFill="1" applyBorder="1" applyAlignment="1">
      <alignment horizontal="center" vertical="center"/>
    </xf>
    <xf numFmtId="0" fontId="126" fillId="2" borderId="22" xfId="1" applyFont="1" applyFill="1" applyBorder="1" applyAlignment="1">
      <alignment horizontal="center" vertical="center"/>
    </xf>
    <xf numFmtId="0" fontId="126" fillId="2" borderId="68" xfId="1" applyFont="1" applyFill="1" applyBorder="1" applyAlignment="1">
      <alignment horizontal="center" vertical="center"/>
    </xf>
    <xf numFmtId="0" fontId="300" fillId="33" borderId="13" xfId="2" applyFont="1" applyFill="1" applyBorder="1" applyAlignment="1">
      <alignment horizontal="center" vertical="center"/>
    </xf>
    <xf numFmtId="0" fontId="300" fillId="33" borderId="68" xfId="2" applyFont="1" applyFill="1" applyBorder="1" applyAlignment="1">
      <alignment horizontal="center" vertical="center"/>
    </xf>
    <xf numFmtId="182" fontId="299" fillId="13" borderId="0" xfId="21" applyNumberFormat="1" applyFont="1" applyFill="1" applyAlignment="1" applyProtection="1">
      <alignment horizontal="center" vertical="center" wrapText="1"/>
      <protection locked="0"/>
    </xf>
    <xf numFmtId="182" fontId="299" fillId="13" borderId="96" xfId="21" applyNumberFormat="1" applyFont="1" applyFill="1" applyBorder="1" applyAlignment="1" applyProtection="1">
      <alignment horizontal="center" vertical="center" wrapText="1"/>
      <protection locked="0"/>
    </xf>
    <xf numFmtId="211" fontId="84" fillId="17" borderId="0" xfId="21" applyNumberFormat="1" applyFont="1" applyFill="1" applyAlignment="1" applyProtection="1">
      <alignment horizontal="center" vertical="center" wrapText="1"/>
      <protection locked="0"/>
    </xf>
    <xf numFmtId="211" fontId="84" fillId="17" borderId="96" xfId="21" applyNumberFormat="1" applyFont="1" applyFill="1" applyBorder="1" applyAlignment="1" applyProtection="1">
      <alignment horizontal="center" vertical="center" wrapText="1"/>
      <protection locked="0"/>
    </xf>
    <xf numFmtId="188" fontId="14" fillId="33" borderId="95" xfId="21" applyNumberFormat="1" applyFont="1" applyFill="1" applyBorder="1" applyAlignment="1" applyProtection="1">
      <alignment horizontal="center" vertical="center" wrapText="1"/>
      <protection locked="0"/>
    </xf>
    <xf numFmtId="0" fontId="78" fillId="2" borderId="22" xfId="2" applyFont="1" applyFill="1" applyBorder="1" applyAlignment="1">
      <alignment horizontal="center" vertical="center"/>
    </xf>
    <xf numFmtId="0" fontId="108" fillId="2" borderId="66" xfId="2" quotePrefix="1" applyFont="1" applyFill="1" applyBorder="1" applyAlignment="1">
      <alignment horizontal="center" vertical="center"/>
    </xf>
    <xf numFmtId="0" fontId="108" fillId="2" borderId="97" xfId="2" quotePrefix="1" applyFont="1" applyFill="1" applyBorder="1" applyAlignment="1">
      <alignment horizontal="center" vertical="center"/>
    </xf>
    <xf numFmtId="211" fontId="39" fillId="2" borderId="97" xfId="21" applyNumberFormat="1" applyFont="1" applyFill="1" applyBorder="1" applyAlignment="1" applyProtection="1">
      <alignment horizontal="center" vertical="center" wrapText="1"/>
      <protection locked="0"/>
    </xf>
    <xf numFmtId="188" fontId="39" fillId="2" borderId="20" xfId="21" applyNumberFormat="1" applyFont="1" applyFill="1" applyBorder="1" applyAlignment="1" applyProtection="1">
      <alignment horizontal="center" vertical="center" wrapText="1"/>
      <protection locked="0"/>
    </xf>
    <xf numFmtId="0" fontId="266" fillId="33" borderId="13" xfId="2" applyFont="1" applyFill="1" applyBorder="1" applyAlignment="1">
      <alignment horizontal="center" vertical="center"/>
    </xf>
    <xf numFmtId="182" fontId="100" fillId="13" borderId="0" xfId="21" applyNumberFormat="1" applyFont="1" applyFill="1" applyAlignment="1" applyProtection="1">
      <alignment horizontal="center" vertical="center" wrapText="1"/>
      <protection locked="0"/>
    </xf>
    <xf numFmtId="211" fontId="100" fillId="17" borderId="0" xfId="21" applyNumberFormat="1" applyFont="1" applyFill="1" applyAlignment="1" applyProtection="1">
      <alignment horizontal="center" vertical="center" wrapText="1"/>
      <protection locked="0"/>
    </xf>
    <xf numFmtId="0" fontId="285" fillId="13" borderId="96" xfId="1" applyFont="1" applyFill="1" applyBorder="1" applyAlignment="1">
      <alignment horizontal="center" vertical="center"/>
    </xf>
    <xf numFmtId="0" fontId="285" fillId="13" borderId="95" xfId="1" applyFont="1" applyFill="1" applyBorder="1" applyAlignment="1">
      <alignment horizontal="center" vertical="center"/>
    </xf>
    <xf numFmtId="0" fontId="69" fillId="18" borderId="22" xfId="4" applyFont="1" applyFill="1" applyBorder="1" applyAlignment="1">
      <alignment horizontal="center" vertical="center"/>
    </xf>
    <xf numFmtId="0" fontId="69" fillId="18" borderId="97" xfId="4" applyFont="1" applyFill="1" applyBorder="1" applyAlignment="1">
      <alignment horizontal="center" vertical="center"/>
    </xf>
    <xf numFmtId="0" fontId="69" fillId="18" borderId="28" xfId="4" applyFont="1" applyFill="1" applyBorder="1" applyAlignment="1">
      <alignment horizontal="center" vertical="center"/>
    </xf>
    <xf numFmtId="0" fontId="69" fillId="18" borderId="27" xfId="4" applyFont="1" applyFill="1" applyBorder="1" applyAlignment="1">
      <alignment horizontal="center" vertical="center"/>
    </xf>
    <xf numFmtId="189" fontId="62" fillId="17" borderId="97" xfId="21" applyNumberFormat="1" applyFont="1" applyFill="1" applyBorder="1" applyAlignment="1" applyProtection="1">
      <alignment horizontal="center" vertical="center" wrapText="1"/>
      <protection locked="0"/>
    </xf>
    <xf numFmtId="189" fontId="62" fillId="17" borderId="27" xfId="21" applyNumberFormat="1" applyFont="1" applyFill="1" applyBorder="1" applyAlignment="1" applyProtection="1">
      <alignment horizontal="center" vertical="center" wrapText="1"/>
      <protection locked="0"/>
    </xf>
    <xf numFmtId="179" fontId="34" fillId="33" borderId="149" xfId="21" applyNumberFormat="1" applyFont="1" applyFill="1" applyBorder="1" applyAlignment="1" applyProtection="1">
      <alignment horizontal="center" vertical="center" wrapText="1"/>
      <protection locked="0"/>
    </xf>
    <xf numFmtId="179" fontId="34" fillId="33" borderId="26" xfId="21" applyNumberFormat="1" applyFont="1" applyFill="1" applyBorder="1" applyAlignment="1" applyProtection="1">
      <alignment horizontal="center" vertical="center" wrapText="1"/>
      <protection locked="0"/>
    </xf>
    <xf numFmtId="0" fontId="284" fillId="0" borderId="22" xfId="1" applyFont="1" applyBorder="1" applyAlignment="1">
      <alignment horizontal="center" vertical="center"/>
    </xf>
    <xf numFmtId="0" fontId="284" fillId="0" borderId="68" xfId="1" applyFont="1" applyBorder="1" applyAlignment="1">
      <alignment horizontal="center" vertical="center"/>
    </xf>
    <xf numFmtId="182" fontId="34" fillId="2" borderId="97" xfId="4" applyNumberFormat="1" applyFont="1" applyFill="1" applyBorder="1" applyAlignment="1">
      <alignment horizontal="left" vertical="center"/>
    </xf>
    <xf numFmtId="182" fontId="34" fillId="2" borderId="0" xfId="4" applyNumberFormat="1" applyFont="1" applyFill="1" applyAlignment="1">
      <alignment horizontal="left" vertical="center"/>
    </xf>
    <xf numFmtId="0" fontId="15" fillId="2" borderId="97" xfId="4" applyFont="1" applyFill="1" applyBorder="1" applyAlignment="1">
      <alignment horizontal="right" vertical="center"/>
    </xf>
    <xf numFmtId="0" fontId="15" fillId="2" borderId="96" xfId="4" applyFont="1" applyFill="1" applyBorder="1" applyAlignment="1">
      <alignment horizontal="right" vertical="center"/>
    </xf>
    <xf numFmtId="9" fontId="15" fillId="2" borderId="20" xfId="1" applyNumberFormat="1" applyFont="1" applyFill="1" applyBorder="1" applyAlignment="1">
      <alignment horizontal="center" vertical="center"/>
    </xf>
    <xf numFmtId="9" fontId="15" fillId="2" borderId="95" xfId="1" applyNumberFormat="1" applyFont="1" applyFill="1" applyBorder="1" applyAlignment="1">
      <alignment horizontal="center" vertical="center"/>
    </xf>
    <xf numFmtId="0" fontId="9" fillId="2" borderId="13" xfId="1" applyFont="1" applyFill="1" applyBorder="1" applyAlignment="1">
      <alignment horizontal="center"/>
    </xf>
    <xf numFmtId="0" fontId="9" fillId="2" borderId="12" xfId="1" applyFont="1" applyFill="1" applyBorder="1" applyAlignment="1">
      <alignment horizontal="center"/>
    </xf>
    <xf numFmtId="0" fontId="216" fillId="2" borderId="0" xfId="3" applyFont="1" applyFill="1" applyAlignment="1">
      <alignment horizontal="left" vertical="center"/>
    </xf>
    <xf numFmtId="0" fontId="118" fillId="0" borderId="0" xfId="3" applyFont="1" applyAlignment="1">
      <alignment horizontal="center" vertical="center"/>
    </xf>
    <xf numFmtId="0" fontId="34" fillId="8" borderId="37" xfId="0" applyFont="1" applyFill="1" applyBorder="1" applyAlignment="1">
      <alignment horizontal="center"/>
    </xf>
    <xf numFmtId="0" fontId="34" fillId="8" borderId="36" xfId="0" applyFont="1" applyFill="1" applyBorder="1" applyAlignment="1">
      <alignment horizontal="center"/>
    </xf>
    <xf numFmtId="0" fontId="34" fillId="8" borderId="35" xfId="0" applyFont="1" applyFill="1" applyBorder="1" applyAlignment="1">
      <alignment horizontal="center"/>
    </xf>
    <xf numFmtId="0" fontId="49" fillId="8" borderId="37" xfId="4" applyFont="1" applyFill="1" applyBorder="1" applyAlignment="1" applyProtection="1">
      <alignment horizontal="right" vertical="center"/>
      <protection locked="0"/>
    </xf>
    <xf numFmtId="0" fontId="49" fillId="8" borderId="36" xfId="4" applyFont="1" applyFill="1" applyBorder="1" applyAlignment="1" applyProtection="1">
      <alignment horizontal="right" vertical="center"/>
      <protection locked="0"/>
    </xf>
    <xf numFmtId="0" fontId="49" fillId="8" borderId="35" xfId="4" applyFont="1" applyFill="1" applyBorder="1" applyAlignment="1" applyProtection="1">
      <alignment horizontal="right" vertical="center"/>
      <protection locked="0"/>
    </xf>
    <xf numFmtId="0" fontId="12" fillId="2" borderId="63" xfId="1" applyFill="1" applyBorder="1" applyAlignment="1">
      <alignment horizontal="center"/>
    </xf>
    <xf numFmtId="0" fontId="12" fillId="2" borderId="62" xfId="1" applyFill="1" applyBorder="1" applyAlignment="1">
      <alignment horizontal="center"/>
    </xf>
    <xf numFmtId="0" fontId="39" fillId="2" borderId="37" xfId="1" applyFont="1" applyFill="1" applyBorder="1" applyAlignment="1">
      <alignment horizontal="center" wrapText="1"/>
    </xf>
    <xf numFmtId="0" fontId="39" fillId="2" borderId="35" xfId="1" applyFont="1" applyFill="1" applyBorder="1" applyAlignment="1">
      <alignment horizontal="center" wrapText="1"/>
    </xf>
    <xf numFmtId="0" fontId="39" fillId="2" borderId="13" xfId="1" applyFont="1" applyFill="1" applyBorder="1" applyAlignment="1">
      <alignment horizontal="center" wrapText="1"/>
    </xf>
    <xf numFmtId="0" fontId="39" fillId="2" borderId="12" xfId="1" applyFont="1" applyFill="1" applyBorder="1" applyAlignment="1">
      <alignment horizontal="center" wrapText="1"/>
    </xf>
    <xf numFmtId="0" fontId="171" fillId="26" borderId="12" xfId="2" applyFont="1" applyFill="1" applyBorder="1" applyAlignment="1">
      <alignment horizontal="center" vertical="center" textRotation="90"/>
    </xf>
    <xf numFmtId="0" fontId="171" fillId="26" borderId="12" xfId="2" applyFont="1" applyFill="1" applyBorder="1" applyAlignment="1">
      <alignment horizontal="center" vertical="center" textRotation="90" wrapText="1"/>
    </xf>
    <xf numFmtId="0" fontId="101" fillId="2" borderId="37" xfId="1" applyFont="1" applyFill="1" applyBorder="1" applyAlignment="1">
      <alignment horizontal="center" vertical="center"/>
    </xf>
    <xf numFmtId="0" fontId="101" fillId="2" borderId="35" xfId="1" applyFont="1" applyFill="1" applyBorder="1" applyAlignment="1">
      <alignment horizontal="center" vertical="center"/>
    </xf>
    <xf numFmtId="0" fontId="94" fillId="2" borderId="37" xfId="1" applyFont="1" applyFill="1" applyBorder="1" applyAlignment="1">
      <alignment horizontal="center" vertical="center" wrapText="1"/>
    </xf>
    <xf numFmtId="0" fontId="94" fillId="2" borderId="35" xfId="1" applyFont="1" applyFill="1" applyBorder="1" applyAlignment="1">
      <alignment horizontal="center" vertical="center" wrapText="1"/>
    </xf>
    <xf numFmtId="0" fontId="94" fillId="2" borderId="13" xfId="1" applyFont="1" applyFill="1" applyBorder="1" applyAlignment="1">
      <alignment horizontal="center" vertical="center" wrapText="1"/>
    </xf>
    <xf numFmtId="0" fontId="94" fillId="2" borderId="12" xfId="1" applyFont="1" applyFill="1" applyBorder="1" applyAlignment="1">
      <alignment horizontal="center" vertical="center" wrapText="1"/>
    </xf>
    <xf numFmtId="0" fontId="116" fillId="2" borderId="13" xfId="1" applyFont="1" applyFill="1" applyBorder="1" applyAlignment="1">
      <alignment horizontal="center" vertical="center"/>
    </xf>
    <xf numFmtId="0" fontId="116" fillId="2" borderId="12" xfId="1" applyFont="1" applyFill="1" applyBorder="1" applyAlignment="1">
      <alignment horizontal="center" vertical="center"/>
    </xf>
    <xf numFmtId="0" fontId="94" fillId="2" borderId="16" xfId="1" applyFont="1" applyFill="1" applyBorder="1" applyAlignment="1">
      <alignment horizontal="center" vertical="center"/>
    </xf>
    <xf numFmtId="0" fontId="94" fillId="2" borderId="14" xfId="1" applyFont="1" applyFill="1" applyBorder="1" applyAlignment="1">
      <alignment horizontal="center" vertical="center"/>
    </xf>
    <xf numFmtId="0" fontId="12" fillId="2" borderId="13" xfId="1" applyFill="1" applyBorder="1" applyAlignment="1">
      <alignment horizontal="center"/>
    </xf>
    <xf numFmtId="0" fontId="12" fillId="2" borderId="12" xfId="1" applyFill="1" applyBorder="1" applyAlignment="1">
      <alignment horizontal="center"/>
    </xf>
    <xf numFmtId="0" fontId="11" fillId="0" borderId="63" xfId="1" applyFont="1" applyBorder="1" applyAlignment="1">
      <alignment horizontal="center"/>
    </xf>
    <xf numFmtId="0" fontId="11" fillId="0" borderId="62" xfId="1" applyFont="1" applyBorder="1" applyAlignment="1">
      <alignment horizontal="center"/>
    </xf>
    <xf numFmtId="0" fontId="94" fillId="2" borderId="16" xfId="1" applyFont="1" applyFill="1" applyBorder="1" applyAlignment="1">
      <alignment horizontal="center"/>
    </xf>
    <xf numFmtId="0" fontId="94" fillId="2" borderId="14" xfId="1" applyFont="1" applyFill="1" applyBorder="1" applyAlignment="1">
      <alignment horizontal="center"/>
    </xf>
    <xf numFmtId="0" fontId="68" fillId="24" borderId="13" xfId="1" applyFont="1" applyFill="1" applyBorder="1" applyAlignment="1">
      <alignment horizontal="center" vertical="center"/>
    </xf>
    <xf numFmtId="0" fontId="68" fillId="24" borderId="0" xfId="1" applyFont="1" applyFill="1" applyAlignment="1">
      <alignment horizontal="center" vertical="center"/>
    </xf>
    <xf numFmtId="0" fontId="68" fillId="24" borderId="64" xfId="1" applyFont="1" applyFill="1" applyBorder="1" applyAlignment="1">
      <alignment horizontal="center" vertical="center"/>
    </xf>
    <xf numFmtId="0" fontId="68" fillId="24" borderId="48" xfId="1" applyFont="1" applyFill="1" applyBorder="1" applyAlignment="1">
      <alignment horizontal="center" vertical="center"/>
    </xf>
    <xf numFmtId="170" fontId="138" fillId="33" borderId="211" xfId="1" applyNumberFormat="1" applyFont="1" applyFill="1" applyBorder="1" applyAlignment="1" applyProtection="1">
      <alignment horizontal="center" vertical="center"/>
      <protection locked="0"/>
    </xf>
    <xf numFmtId="170" fontId="138" fillId="33" borderId="166" xfId="1" applyNumberFormat="1" applyFont="1" applyFill="1" applyBorder="1" applyAlignment="1" applyProtection="1">
      <alignment horizontal="center" vertical="center"/>
      <protection locked="0"/>
    </xf>
    <xf numFmtId="0" fontId="333" fillId="68" borderId="0" xfId="1" applyFont="1" applyFill="1" applyAlignment="1">
      <alignment horizontal="center" vertical="center"/>
    </xf>
    <xf numFmtId="0" fontId="343" fillId="71" borderId="207" xfId="1" applyFont="1" applyFill="1" applyBorder="1" applyAlignment="1">
      <alignment horizontal="center" wrapText="1"/>
    </xf>
    <xf numFmtId="0" fontId="219" fillId="39" borderId="42" xfId="1" applyFont="1" applyFill="1" applyBorder="1" applyAlignment="1">
      <alignment horizontal="center" vertical="center"/>
    </xf>
    <xf numFmtId="0" fontId="219" fillId="39" borderId="0" xfId="1" applyFont="1" applyFill="1" applyAlignment="1">
      <alignment horizontal="center" vertical="center"/>
    </xf>
    <xf numFmtId="0" fontId="219" fillId="39" borderId="209" xfId="1" applyFont="1" applyFill="1" applyBorder="1" applyAlignment="1">
      <alignment horizontal="center" vertical="center"/>
    </xf>
    <xf numFmtId="0" fontId="219" fillId="39" borderId="129" xfId="1" applyFont="1" applyFill="1" applyBorder="1" applyAlignment="1">
      <alignment horizontal="center" vertical="center"/>
    </xf>
    <xf numFmtId="0" fontId="138" fillId="69" borderId="129" xfId="1" applyFont="1" applyFill="1" applyBorder="1" applyAlignment="1">
      <alignment horizontal="center" vertical="center"/>
    </xf>
    <xf numFmtId="0" fontId="138" fillId="69" borderId="0" xfId="1" applyFont="1" applyFill="1" applyAlignment="1">
      <alignment horizontal="center" vertical="center"/>
    </xf>
    <xf numFmtId="14" fontId="137" fillId="0" borderId="129" xfId="1" applyNumberFormat="1" applyFont="1" applyBorder="1" applyAlignment="1">
      <alignment horizontal="center" vertical="center"/>
    </xf>
    <xf numFmtId="14" fontId="137" fillId="0" borderId="206" xfId="1" applyNumberFormat="1" applyFont="1" applyBorder="1" applyAlignment="1">
      <alignment horizontal="center" vertical="center"/>
    </xf>
    <xf numFmtId="14" fontId="137" fillId="0" borderId="0" xfId="1" applyNumberFormat="1" applyFont="1" applyAlignment="1">
      <alignment horizontal="center" vertical="center"/>
    </xf>
    <xf numFmtId="14" fontId="137" fillId="0" borderId="207" xfId="1" applyNumberFormat="1" applyFont="1" applyBorder="1" applyAlignment="1">
      <alignment horizontal="center" vertical="center"/>
    </xf>
    <xf numFmtId="0" fontId="335" fillId="13" borderId="40" xfId="1" applyFont="1" applyFill="1" applyBorder="1" applyAlignment="1">
      <alignment horizontal="center" vertical="center" wrapText="1"/>
    </xf>
    <xf numFmtId="0" fontId="335" fillId="13" borderId="27" xfId="1" applyFont="1" applyFill="1" applyBorder="1" applyAlignment="1">
      <alignment horizontal="center" vertical="center" wrapText="1"/>
    </xf>
    <xf numFmtId="0" fontId="335" fillId="13" borderId="39" xfId="1" applyFont="1" applyFill="1" applyBorder="1" applyAlignment="1">
      <alignment horizontal="center" vertical="center" wrapText="1"/>
    </xf>
    <xf numFmtId="0" fontId="209" fillId="33" borderId="209" xfId="1" applyFont="1" applyFill="1" applyBorder="1" applyAlignment="1">
      <alignment horizontal="center" vertical="center"/>
    </xf>
    <xf numFmtId="0" fontId="209" fillId="33" borderId="129" xfId="1" applyFont="1" applyFill="1" applyBorder="1" applyAlignment="1">
      <alignment horizontal="center" vertical="center"/>
    </xf>
    <xf numFmtId="0" fontId="209" fillId="33" borderId="206" xfId="1" applyFont="1" applyFill="1" applyBorder="1" applyAlignment="1">
      <alignment horizontal="center" vertical="center"/>
    </xf>
    <xf numFmtId="0" fontId="209" fillId="33" borderId="40" xfId="1" applyFont="1" applyFill="1" applyBorder="1" applyAlignment="1">
      <alignment horizontal="center" vertical="center"/>
    </xf>
    <xf numFmtId="0" fontId="209" fillId="33" borderId="27" xfId="1" applyFont="1" applyFill="1" applyBorder="1" applyAlignment="1">
      <alignment horizontal="center" vertical="center"/>
    </xf>
    <xf numFmtId="0" fontId="209" fillId="33" borderId="39" xfId="1" applyFont="1" applyFill="1" applyBorder="1" applyAlignment="1">
      <alignment horizontal="center" vertical="center"/>
    </xf>
    <xf numFmtId="0" fontId="209" fillId="33" borderId="209" xfId="1" applyFont="1" applyFill="1" applyBorder="1" applyAlignment="1">
      <alignment horizontal="left" vertical="center"/>
    </xf>
    <xf numFmtId="0" fontId="209" fillId="33" borderId="129" xfId="1" applyFont="1" applyFill="1" applyBorder="1" applyAlignment="1">
      <alignment horizontal="left" vertical="center"/>
    </xf>
    <xf numFmtId="0" fontId="209" fillId="33" borderId="206" xfId="1" applyFont="1" applyFill="1" applyBorder="1" applyAlignment="1">
      <alignment horizontal="left" vertical="center"/>
    </xf>
    <xf numFmtId="0" fontId="116" fillId="4" borderId="165" xfId="1" applyFont="1" applyFill="1" applyBorder="1" applyAlignment="1">
      <alignment horizontal="center" vertical="center" wrapText="1"/>
    </xf>
    <xf numFmtId="0" fontId="116" fillId="4" borderId="211" xfId="1" applyFont="1" applyFill="1" applyBorder="1" applyAlignment="1">
      <alignment horizontal="center" vertical="center" wrapText="1"/>
    </xf>
    <xf numFmtId="0" fontId="116" fillId="4" borderId="216" xfId="1" applyFont="1" applyFill="1" applyBorder="1" applyAlignment="1">
      <alignment horizontal="center" vertical="center" wrapText="1"/>
    </xf>
    <xf numFmtId="0" fontId="116" fillId="4" borderId="217" xfId="1" applyFont="1" applyFill="1" applyBorder="1" applyAlignment="1">
      <alignment horizontal="center" vertical="center" wrapText="1"/>
    </xf>
    <xf numFmtId="0" fontId="338" fillId="9" borderId="132" xfId="1" applyFont="1" applyFill="1" applyBorder="1" applyAlignment="1">
      <alignment horizontal="center" vertical="center"/>
    </xf>
    <xf numFmtId="0" fontId="338" fillId="9" borderId="208" xfId="1" applyFont="1" applyFill="1" applyBorder="1" applyAlignment="1">
      <alignment horizontal="center" vertical="center"/>
    </xf>
    <xf numFmtId="174" fontId="338" fillId="9" borderId="211" xfId="1" applyNumberFormat="1" applyFont="1" applyFill="1" applyBorder="1" applyAlignment="1">
      <alignment horizontal="center" vertical="center"/>
    </xf>
    <xf numFmtId="174" fontId="338" fillId="9" borderId="166" xfId="1" applyNumberFormat="1" applyFont="1" applyFill="1" applyBorder="1" applyAlignment="1">
      <alignment horizontal="center" vertical="center"/>
    </xf>
    <xf numFmtId="179" fontId="323" fillId="9" borderId="211" xfId="1" applyNumberFormat="1" applyFont="1" applyFill="1" applyBorder="1" applyAlignment="1" applyProtection="1">
      <alignment horizontal="center" vertical="center"/>
      <protection locked="0"/>
    </xf>
    <xf numFmtId="179" fontId="323" fillId="9" borderId="166" xfId="1" applyNumberFormat="1" applyFont="1" applyFill="1" applyBorder="1" applyAlignment="1" applyProtection="1">
      <alignment horizontal="center" vertical="center"/>
      <protection locked="0"/>
    </xf>
    <xf numFmtId="165" fontId="138" fillId="2" borderId="213" xfId="1" applyNumberFormat="1" applyFont="1" applyFill="1" applyBorder="1" applyAlignment="1" applyProtection="1">
      <alignment horizontal="center" vertical="center"/>
      <protection locked="0"/>
    </xf>
    <xf numFmtId="165" fontId="138" fillId="2" borderId="56" xfId="1" applyNumberFormat="1" applyFont="1" applyFill="1" applyBorder="1" applyAlignment="1" applyProtection="1">
      <alignment horizontal="center" vertical="center"/>
      <protection locked="0"/>
    </xf>
    <xf numFmtId="165" fontId="138" fillId="2" borderId="202" xfId="1" applyNumberFormat="1" applyFont="1" applyFill="1" applyBorder="1" applyAlignment="1" applyProtection="1">
      <alignment horizontal="center" vertical="center"/>
      <protection locked="0"/>
    </xf>
    <xf numFmtId="165" fontId="138" fillId="2" borderId="201" xfId="1" applyNumberFormat="1" applyFont="1" applyFill="1" applyBorder="1" applyAlignment="1" applyProtection="1">
      <alignment horizontal="center" vertical="center"/>
      <protection locked="0"/>
    </xf>
    <xf numFmtId="217" fontId="322" fillId="9" borderId="211" xfId="6" applyNumberFormat="1" applyFont="1" applyFill="1" applyBorder="1" applyAlignment="1" applyProtection="1">
      <alignment horizontal="center" vertical="center"/>
      <protection locked="0"/>
    </xf>
    <xf numFmtId="217" fontId="322" fillId="9" borderId="166" xfId="6" applyNumberFormat="1" applyFont="1" applyFill="1" applyBorder="1" applyAlignment="1" applyProtection="1">
      <alignment horizontal="center" vertical="center"/>
      <protection locked="0"/>
    </xf>
    <xf numFmtId="165" fontId="166" fillId="33" borderId="211" xfId="6" applyNumberFormat="1" applyFont="1" applyFill="1" applyBorder="1" applyAlignment="1" applyProtection="1">
      <alignment horizontal="center" vertical="center"/>
      <protection locked="0"/>
    </xf>
    <xf numFmtId="165" fontId="166" fillId="33" borderId="166" xfId="6" applyNumberFormat="1" applyFont="1" applyFill="1" applyBorder="1" applyAlignment="1" applyProtection="1">
      <alignment horizontal="center" vertical="center"/>
      <protection locked="0"/>
    </xf>
    <xf numFmtId="172" fontId="138" fillId="33" borderId="217" xfId="1" applyNumberFormat="1" applyFont="1" applyFill="1" applyBorder="1" applyAlignment="1">
      <alignment horizontal="center" vertical="center"/>
    </xf>
    <xf numFmtId="172" fontId="138" fillId="33" borderId="218" xfId="1" applyNumberFormat="1" applyFont="1" applyFill="1" applyBorder="1" applyAlignment="1">
      <alignment horizontal="center" vertical="center"/>
    </xf>
    <xf numFmtId="0" fontId="116" fillId="0" borderId="215" xfId="1" applyFont="1" applyBorder="1" applyAlignment="1">
      <alignment horizontal="center" vertical="center"/>
    </xf>
    <xf numFmtId="0" fontId="116" fillId="0" borderId="132" xfId="1" applyFont="1" applyBorder="1" applyAlignment="1">
      <alignment horizontal="center" vertical="center"/>
    </xf>
    <xf numFmtId="0" fontId="336" fillId="4" borderId="165" xfId="1" applyFont="1" applyFill="1" applyBorder="1" applyAlignment="1">
      <alignment horizontal="center" vertical="center" wrapText="1"/>
    </xf>
    <xf numFmtId="0" fontId="336" fillId="4" borderId="211" xfId="1" applyFont="1" applyFill="1" applyBorder="1" applyAlignment="1">
      <alignment horizontal="center" vertical="center" wrapText="1"/>
    </xf>
    <xf numFmtId="0" fontId="337" fillId="4" borderId="165" xfId="1" applyFont="1" applyFill="1" applyBorder="1" applyAlignment="1">
      <alignment horizontal="center" vertical="center" wrapText="1"/>
    </xf>
    <xf numFmtId="0" fontId="337" fillId="4" borderId="211" xfId="1" applyFont="1" applyFill="1" applyBorder="1" applyAlignment="1">
      <alignment horizontal="center" vertical="center" wrapText="1"/>
    </xf>
    <xf numFmtId="0" fontId="116" fillId="4" borderId="200" xfId="1" applyFont="1" applyFill="1" applyBorder="1" applyAlignment="1">
      <alignment horizontal="center" vertical="center" wrapText="1"/>
    </xf>
    <xf numFmtId="0" fontId="116" fillId="4" borderId="146" xfId="1" applyFont="1" applyFill="1" applyBorder="1" applyAlignment="1">
      <alignment horizontal="center" vertical="center" wrapText="1"/>
    </xf>
    <xf numFmtId="0" fontId="116" fillId="4" borderId="213" xfId="1" applyFont="1" applyFill="1" applyBorder="1" applyAlignment="1">
      <alignment horizontal="center" vertical="center" wrapText="1"/>
    </xf>
    <xf numFmtId="0" fontId="116" fillId="4" borderId="56" xfId="1" applyFont="1" applyFill="1" applyBorder="1" applyAlignment="1">
      <alignment horizontal="center" vertical="center" wrapText="1"/>
    </xf>
    <xf numFmtId="0" fontId="309" fillId="4" borderId="165" xfId="1" applyFont="1" applyFill="1" applyBorder="1" applyAlignment="1">
      <alignment horizontal="center" vertical="center" wrapText="1"/>
    </xf>
    <xf numFmtId="0" fontId="309" fillId="4" borderId="211" xfId="1" applyFont="1" applyFill="1" applyBorder="1" applyAlignment="1">
      <alignment horizontal="center" vertical="center" wrapText="1"/>
    </xf>
    <xf numFmtId="219" fontId="138" fillId="33" borderId="213" xfId="6" applyNumberFormat="1" applyFont="1" applyFill="1" applyBorder="1" applyAlignment="1" applyProtection="1">
      <alignment horizontal="center" vertical="center"/>
      <protection locked="0"/>
    </xf>
    <xf numFmtId="219" fontId="138" fillId="33" borderId="202" xfId="6" applyNumberFormat="1" applyFont="1" applyFill="1" applyBorder="1" applyAlignment="1" applyProtection="1">
      <alignment horizontal="center" vertical="center"/>
      <protection locked="0"/>
    </xf>
    <xf numFmtId="0" fontId="171" fillId="39" borderId="207" xfId="2" applyFont="1" applyFill="1" applyBorder="1" applyAlignment="1">
      <alignment horizontal="center" vertical="center" textRotation="90" wrapText="1"/>
    </xf>
    <xf numFmtId="0" fontId="116" fillId="33" borderId="132" xfId="1" applyFont="1" applyFill="1" applyBorder="1" applyAlignment="1">
      <alignment horizontal="center" vertical="center"/>
    </xf>
    <xf numFmtId="218" fontId="57" fillId="33" borderId="211" xfId="1" applyNumberFormat="1" applyFont="1" applyFill="1" applyBorder="1" applyAlignment="1">
      <alignment horizontal="center" vertical="center" wrapText="1"/>
    </xf>
    <xf numFmtId="0" fontId="110" fillId="33" borderId="211" xfId="6" applyFont="1" applyFill="1" applyBorder="1" applyAlignment="1" applyProtection="1">
      <alignment horizontal="center" vertical="center" wrapText="1"/>
      <protection locked="0"/>
    </xf>
    <xf numFmtId="0" fontId="101" fillId="33" borderId="200" xfId="6" applyFont="1" applyFill="1" applyBorder="1" applyAlignment="1" applyProtection="1">
      <alignment horizontal="center" vertical="center" wrapText="1"/>
      <protection locked="0"/>
    </xf>
    <xf numFmtId="0" fontId="101" fillId="33" borderId="97" xfId="6" applyFont="1" applyFill="1" applyBorder="1" applyAlignment="1" applyProtection="1">
      <alignment horizontal="center" vertical="center" wrapText="1"/>
      <protection locked="0"/>
    </xf>
    <xf numFmtId="0" fontId="101" fillId="33" borderId="146" xfId="6" applyFont="1" applyFill="1" applyBorder="1" applyAlignment="1" applyProtection="1">
      <alignment horizontal="center" vertical="center" wrapText="1"/>
      <protection locked="0"/>
    </xf>
    <xf numFmtId="0" fontId="101" fillId="33" borderId="213" xfId="6" applyFont="1" applyFill="1" applyBorder="1" applyAlignment="1" applyProtection="1">
      <alignment horizontal="center" vertical="center" wrapText="1"/>
      <protection locked="0"/>
    </xf>
    <xf numFmtId="0" fontId="101" fillId="33" borderId="0" xfId="6" applyFont="1" applyFill="1" applyAlignment="1" applyProtection="1">
      <alignment horizontal="center" vertical="center" wrapText="1"/>
      <protection locked="0"/>
    </xf>
    <xf numFmtId="0" fontId="101" fillId="33" borderId="56" xfId="6" applyFont="1" applyFill="1" applyBorder="1" applyAlignment="1" applyProtection="1">
      <alignment horizontal="center" vertical="center" wrapText="1"/>
      <protection locked="0"/>
    </xf>
    <xf numFmtId="215" fontId="138" fillId="33" borderId="0" xfId="1" applyNumberFormat="1" applyFont="1" applyFill="1" applyAlignment="1">
      <alignment horizontal="center" vertical="center"/>
    </xf>
    <xf numFmtId="215" fontId="138" fillId="33" borderId="27" xfId="1" applyNumberFormat="1" applyFont="1" applyFill="1" applyBorder="1" applyAlignment="1">
      <alignment horizontal="center" vertical="center"/>
    </xf>
    <xf numFmtId="1" fontId="166" fillId="33" borderId="56" xfId="6" applyNumberFormat="1" applyFont="1" applyFill="1" applyBorder="1" applyAlignment="1" applyProtection="1">
      <alignment horizontal="center" vertical="center"/>
      <protection locked="0"/>
    </xf>
    <xf numFmtId="1" fontId="166" fillId="33" borderId="201" xfId="6" applyNumberFormat="1" applyFont="1" applyFill="1" applyBorder="1" applyAlignment="1" applyProtection="1">
      <alignment horizontal="center" vertical="center"/>
      <protection locked="0"/>
    </xf>
    <xf numFmtId="0" fontId="171" fillId="39" borderId="0" xfId="2" applyFont="1" applyFill="1" applyAlignment="1">
      <alignment horizontal="center" vertical="center" textRotation="90" wrapText="1"/>
    </xf>
    <xf numFmtId="0" fontId="116" fillId="0" borderId="132" xfId="1" applyFont="1" applyBorder="1" applyAlignment="1">
      <alignment horizontal="center" vertical="center" textRotation="91"/>
    </xf>
    <xf numFmtId="218" fontId="57" fillId="0" borderId="211" xfId="1" applyNumberFormat="1" applyFont="1" applyBorder="1" applyAlignment="1">
      <alignment horizontal="center" vertical="center" wrapText="1"/>
    </xf>
    <xf numFmtId="0" fontId="339" fillId="0" borderId="211" xfId="6" applyFont="1" applyBorder="1" applyAlignment="1" applyProtection="1">
      <alignment horizontal="center" vertical="center" wrapText="1"/>
      <protection locked="0"/>
    </xf>
    <xf numFmtId="0" fontId="193" fillId="33" borderId="211" xfId="6" applyFont="1" applyFill="1" applyBorder="1" applyAlignment="1" applyProtection="1">
      <alignment horizontal="center" vertical="center" wrapText="1"/>
      <protection locked="0"/>
    </xf>
    <xf numFmtId="0" fontId="197" fillId="33" borderId="211" xfId="1" applyFont="1" applyFill="1" applyBorder="1" applyAlignment="1">
      <alignment horizontal="center" vertical="center" wrapText="1"/>
    </xf>
    <xf numFmtId="0" fontId="340" fillId="33" borderId="213" xfId="6" applyFont="1" applyFill="1" applyBorder="1" applyAlignment="1" applyProtection="1">
      <alignment horizontal="center" vertical="center" wrapText="1"/>
      <protection locked="0"/>
    </xf>
    <xf numFmtId="0" fontId="340" fillId="33" borderId="0" xfId="6" applyFont="1" applyFill="1" applyAlignment="1" applyProtection="1">
      <alignment horizontal="center" vertical="center" wrapText="1"/>
      <protection locked="0"/>
    </xf>
    <xf numFmtId="0" fontId="340" fillId="33" borderId="56" xfId="6" applyFont="1" applyFill="1" applyBorder="1" applyAlignment="1" applyProtection="1">
      <alignment horizontal="center" vertical="center" wrapText="1"/>
      <protection locked="0"/>
    </xf>
    <xf numFmtId="0" fontId="116" fillId="33" borderId="211" xfId="1" applyFont="1" applyFill="1" applyBorder="1" applyAlignment="1">
      <alignment horizontal="center" vertical="center" wrapText="1"/>
    </xf>
    <xf numFmtId="0" fontId="197" fillId="33" borderId="213" xfId="6" applyFont="1" applyFill="1" applyBorder="1" applyAlignment="1" applyProtection="1">
      <alignment horizontal="center" vertical="center" wrapText="1"/>
      <protection locked="0"/>
    </xf>
    <xf numFmtId="0" fontId="197" fillId="33" borderId="0" xfId="6" applyFont="1" applyFill="1" applyAlignment="1" applyProtection="1">
      <alignment horizontal="center" vertical="center" wrapText="1"/>
      <protection locked="0"/>
    </xf>
    <xf numFmtId="0" fontId="197" fillId="33" borderId="207" xfId="6" applyFont="1" applyFill="1" applyBorder="1" applyAlignment="1" applyProtection="1">
      <alignment horizontal="center" vertical="center" wrapText="1"/>
      <protection locked="0"/>
    </xf>
    <xf numFmtId="0" fontId="341" fillId="9" borderId="211" xfId="1" applyFont="1" applyFill="1" applyBorder="1" applyAlignment="1">
      <alignment horizontal="center" vertical="center" wrapText="1"/>
    </xf>
    <xf numFmtId="0" fontId="341" fillId="9" borderId="166" xfId="1" applyFont="1" applyFill="1" applyBorder="1" applyAlignment="1">
      <alignment horizontal="center" vertical="center" wrapText="1"/>
    </xf>
    <xf numFmtId="165" fontId="322" fillId="64" borderId="211" xfId="6" applyNumberFormat="1" applyFont="1" applyFill="1" applyBorder="1" applyAlignment="1" applyProtection="1">
      <alignment horizontal="center" vertical="center"/>
      <protection locked="0"/>
    </xf>
    <xf numFmtId="165" fontId="322" fillId="64" borderId="166" xfId="6" applyNumberFormat="1" applyFont="1" applyFill="1" applyBorder="1" applyAlignment="1" applyProtection="1">
      <alignment horizontal="center" vertical="center"/>
      <protection locked="0"/>
    </xf>
    <xf numFmtId="0" fontId="322" fillId="64" borderId="211" xfId="6" applyFont="1" applyFill="1" applyBorder="1" applyAlignment="1" applyProtection="1">
      <alignment horizontal="center" vertical="center"/>
      <protection locked="0"/>
    </xf>
    <xf numFmtId="181" fontId="322" fillId="64" borderId="211" xfId="6" applyNumberFormat="1" applyFont="1" applyFill="1" applyBorder="1" applyAlignment="1" applyProtection="1">
      <alignment horizontal="center" vertical="center"/>
      <protection locked="0"/>
    </xf>
    <xf numFmtId="1" fontId="138" fillId="33" borderId="213" xfId="6" applyNumberFormat="1" applyFont="1" applyFill="1" applyBorder="1" applyAlignment="1" applyProtection="1">
      <alignment horizontal="center" vertical="center"/>
      <protection locked="0"/>
    </xf>
    <xf numFmtId="219" fontId="138" fillId="33" borderId="0" xfId="6" applyNumberFormat="1" applyFont="1" applyFill="1" applyAlignment="1" applyProtection="1">
      <alignment horizontal="center" vertical="center"/>
      <protection locked="0"/>
    </xf>
    <xf numFmtId="1" fontId="78" fillId="33" borderId="207" xfId="6" applyNumberFormat="1" applyFont="1" applyFill="1" applyBorder="1" applyAlignment="1" applyProtection="1">
      <alignment horizontal="center" vertical="center"/>
      <protection locked="0"/>
    </xf>
    <xf numFmtId="1" fontId="78" fillId="33" borderId="39" xfId="6" applyNumberFormat="1" applyFont="1" applyFill="1" applyBorder="1" applyAlignment="1" applyProtection="1">
      <alignment horizontal="center" vertical="center"/>
      <protection locked="0"/>
    </xf>
    <xf numFmtId="0" fontId="193" fillId="33" borderId="129" xfId="1" applyFont="1" applyFill="1" applyBorder="1" applyAlignment="1">
      <alignment horizontal="center" vertical="center"/>
    </xf>
    <xf numFmtId="172" fontId="138" fillId="33" borderId="211" xfId="1" applyNumberFormat="1" applyFont="1" applyFill="1" applyBorder="1" applyAlignment="1">
      <alignment horizontal="center" vertical="center"/>
    </xf>
    <xf numFmtId="172" fontId="138" fillId="33" borderId="166" xfId="1" applyNumberFormat="1" applyFont="1" applyFill="1" applyBorder="1" applyAlignment="1">
      <alignment horizontal="center" vertical="center"/>
    </xf>
    <xf numFmtId="214" fontId="138" fillId="33" borderId="27" xfId="1" applyNumberFormat="1" applyFont="1" applyFill="1" applyBorder="1" applyAlignment="1">
      <alignment horizontal="center" vertical="center"/>
    </xf>
    <xf numFmtId="165" fontId="138" fillId="67" borderId="211" xfId="6" applyNumberFormat="1" applyFont="1" applyFill="1" applyBorder="1" applyAlignment="1" applyProtection="1">
      <alignment horizontal="center" vertical="center"/>
      <protection locked="0"/>
    </xf>
    <xf numFmtId="167" fontId="138" fillId="33" borderId="207" xfId="1" applyNumberFormat="1" applyFont="1" applyFill="1" applyBorder="1" applyAlignment="1">
      <alignment horizontal="center" vertical="center"/>
    </xf>
    <xf numFmtId="0" fontId="339" fillId="0" borderId="165" xfId="6" applyFont="1" applyBorder="1" applyAlignment="1" applyProtection="1">
      <alignment horizontal="center" vertical="center" wrapText="1"/>
      <protection locked="0"/>
    </xf>
    <xf numFmtId="0" fontId="116" fillId="33" borderId="165" xfId="1" applyFont="1" applyFill="1" applyBorder="1" applyAlignment="1">
      <alignment horizontal="center" vertical="center" wrapText="1"/>
    </xf>
    <xf numFmtId="0" fontId="116" fillId="33" borderId="211" xfId="6" applyFont="1" applyFill="1" applyBorder="1" applyAlignment="1" applyProtection="1">
      <alignment horizontal="center" vertical="center" wrapText="1"/>
      <protection locked="0"/>
    </xf>
    <xf numFmtId="0" fontId="193" fillId="33" borderId="207" xfId="1" applyFont="1" applyFill="1" applyBorder="1" applyAlignment="1">
      <alignment horizontal="center" vertical="center" wrapText="1"/>
    </xf>
    <xf numFmtId="0" fontId="116" fillId="33" borderId="215" xfId="1" applyFont="1" applyFill="1" applyBorder="1" applyAlignment="1">
      <alignment horizontal="center" vertical="center"/>
    </xf>
    <xf numFmtId="0" fontId="309" fillId="33" borderId="165" xfId="1" applyFont="1" applyFill="1" applyBorder="1" applyAlignment="1">
      <alignment horizontal="center" vertical="center" wrapText="1"/>
    </xf>
    <xf numFmtId="0" fontId="309" fillId="33" borderId="211" xfId="1" applyFont="1" applyFill="1" applyBorder="1" applyAlignment="1">
      <alignment horizontal="center" vertical="center" wrapText="1"/>
    </xf>
    <xf numFmtId="0" fontId="337" fillId="33" borderId="165" xfId="1" applyFont="1" applyFill="1" applyBorder="1" applyAlignment="1">
      <alignment horizontal="center" vertical="center" wrapText="1"/>
    </xf>
    <xf numFmtId="0" fontId="337" fillId="33" borderId="211" xfId="1" applyFont="1" applyFill="1" applyBorder="1" applyAlignment="1">
      <alignment horizontal="center" vertical="center" wrapText="1"/>
    </xf>
    <xf numFmtId="0" fontId="116" fillId="33" borderId="200" xfId="1" applyFont="1" applyFill="1" applyBorder="1" applyAlignment="1">
      <alignment horizontal="center" vertical="center" wrapText="1"/>
    </xf>
    <xf numFmtId="0" fontId="116" fillId="33" borderId="213" xfId="1" applyFont="1" applyFill="1" applyBorder="1" applyAlignment="1">
      <alignment horizontal="center" vertical="center" wrapText="1"/>
    </xf>
    <xf numFmtId="0" fontId="138" fillId="33" borderId="217" xfId="1" applyFont="1" applyFill="1" applyBorder="1" applyAlignment="1">
      <alignment horizontal="center" vertical="center"/>
    </xf>
    <xf numFmtId="0" fontId="138" fillId="33" borderId="218" xfId="1" applyFont="1" applyFill="1" applyBorder="1" applyAlignment="1">
      <alignment horizontal="center" vertical="center"/>
    </xf>
    <xf numFmtId="0" fontId="337" fillId="4" borderId="200" xfId="1" applyFont="1" applyFill="1" applyBorder="1" applyAlignment="1">
      <alignment horizontal="center" vertical="center" wrapText="1"/>
    </xf>
    <xf numFmtId="0" fontId="337" fillId="4" borderId="97" xfId="1" applyFont="1" applyFill="1" applyBorder="1" applyAlignment="1">
      <alignment horizontal="center" vertical="center" wrapText="1"/>
    </xf>
    <xf numFmtId="0" fontId="337" fillId="4" borderId="213" xfId="1" applyFont="1" applyFill="1" applyBorder="1" applyAlignment="1">
      <alignment horizontal="center" vertical="center" wrapText="1"/>
    </xf>
    <xf numFmtId="0" fontId="337" fillId="4" borderId="0" xfId="1" applyFont="1" applyFill="1" applyAlignment="1">
      <alignment horizontal="center" vertical="center" wrapText="1"/>
    </xf>
    <xf numFmtId="0" fontId="337" fillId="4" borderId="202" xfId="1" applyFont="1" applyFill="1" applyBorder="1" applyAlignment="1">
      <alignment horizontal="center" vertical="center" wrapText="1"/>
    </xf>
    <xf numFmtId="0" fontId="337" fillId="4" borderId="27" xfId="1" applyFont="1" applyFill="1" applyBorder="1" applyAlignment="1">
      <alignment horizontal="center" vertical="center" wrapText="1"/>
    </xf>
    <xf numFmtId="174" fontId="323" fillId="9" borderId="154" xfId="1" applyNumberFormat="1" applyFont="1" applyFill="1" applyBorder="1" applyAlignment="1">
      <alignment horizontal="center" vertical="center" wrapText="1"/>
    </xf>
    <xf numFmtId="174" fontId="323" fillId="9" borderId="207" xfId="1" applyNumberFormat="1" applyFont="1" applyFill="1" applyBorder="1" applyAlignment="1">
      <alignment horizontal="center" vertical="center" wrapText="1"/>
    </xf>
    <xf numFmtId="174" fontId="323" fillId="9" borderId="39" xfId="1" applyNumberFormat="1" applyFont="1" applyFill="1" applyBorder="1" applyAlignment="1">
      <alignment horizontal="center" vertical="center" wrapText="1"/>
    </xf>
    <xf numFmtId="169" fontId="166" fillId="2" borderId="56" xfId="1" applyNumberFormat="1" applyFont="1" applyFill="1" applyBorder="1" applyAlignment="1">
      <alignment horizontal="center" vertical="center"/>
    </xf>
    <xf numFmtId="169" fontId="166" fillId="2" borderId="201" xfId="1" applyNumberFormat="1" applyFont="1" applyFill="1" applyBorder="1" applyAlignment="1">
      <alignment horizontal="center" vertical="center"/>
    </xf>
    <xf numFmtId="169" fontId="166" fillId="0" borderId="0" xfId="1" applyNumberFormat="1" applyFont="1" applyAlignment="1">
      <alignment horizontal="center" vertical="center"/>
    </xf>
    <xf numFmtId="169" fontId="166" fillId="0" borderId="27" xfId="1" applyNumberFormat="1" applyFont="1" applyBorder="1" applyAlignment="1">
      <alignment horizontal="center" vertical="center"/>
    </xf>
    <xf numFmtId="169" fontId="166" fillId="2" borderId="207" xfId="1" applyNumberFormat="1" applyFont="1" applyFill="1" applyBorder="1" applyAlignment="1">
      <alignment horizontal="center" vertical="center"/>
    </xf>
    <xf numFmtId="169" fontId="166" fillId="2" borderId="39" xfId="1" applyNumberFormat="1" applyFont="1" applyFill="1" applyBorder="1" applyAlignment="1">
      <alignment horizontal="center" vertical="center"/>
    </xf>
    <xf numFmtId="0" fontId="189" fillId="17" borderId="203" xfId="1" applyFont="1" applyFill="1" applyBorder="1" applyAlignment="1">
      <alignment horizontal="center" vertical="center"/>
    </xf>
    <xf numFmtId="0" fontId="189" fillId="17" borderId="129" xfId="1" applyFont="1" applyFill="1" applyBorder="1" applyAlignment="1">
      <alignment horizontal="center" vertical="center"/>
    </xf>
    <xf numFmtId="0" fontId="189" fillId="17" borderId="210" xfId="1" applyFont="1" applyFill="1" applyBorder="1" applyAlignment="1">
      <alignment horizontal="center" vertical="center"/>
    </xf>
    <xf numFmtId="0" fontId="193" fillId="4" borderId="97" xfId="1" applyFont="1" applyFill="1" applyBorder="1" applyAlignment="1">
      <alignment horizontal="center" vertical="center" wrapText="1"/>
    </xf>
    <xf numFmtId="0" fontId="193" fillId="4" borderId="154" xfId="1" applyFont="1" applyFill="1" applyBorder="1" applyAlignment="1">
      <alignment horizontal="center" vertical="center" wrapText="1"/>
    </xf>
    <xf numFmtId="0" fontId="193" fillId="4" borderId="0" xfId="1" applyFont="1" applyFill="1" applyAlignment="1">
      <alignment horizontal="center" vertical="center" wrapText="1"/>
    </xf>
    <xf numFmtId="0" fontId="193" fillId="4" borderId="207" xfId="1" applyFont="1" applyFill="1" applyBorder="1" applyAlignment="1">
      <alignment horizontal="center" vertical="center" wrapText="1"/>
    </xf>
    <xf numFmtId="169" fontId="166" fillId="4" borderId="213" xfId="1" applyNumberFormat="1" applyFont="1" applyFill="1" applyBorder="1" applyAlignment="1">
      <alignment horizontal="center" vertical="center"/>
    </xf>
    <xf numFmtId="169" fontId="166" fillId="4" borderId="202" xfId="1" applyNumberFormat="1" applyFont="1" applyFill="1" applyBorder="1" applyAlignment="1">
      <alignment horizontal="center" vertical="center"/>
    </xf>
    <xf numFmtId="167" fontId="138" fillId="0" borderId="211" xfId="6" applyNumberFormat="1" applyFont="1" applyBorder="1" applyAlignment="1" applyProtection="1">
      <alignment horizontal="center" vertical="center"/>
      <protection locked="0"/>
    </xf>
    <xf numFmtId="167" fontId="138" fillId="0" borderId="166" xfId="6" applyNumberFormat="1" applyFont="1" applyBorder="1" applyAlignment="1" applyProtection="1">
      <alignment horizontal="center" vertical="center"/>
      <protection locked="0"/>
    </xf>
    <xf numFmtId="169" fontId="138" fillId="0" borderId="213" xfId="1" applyNumberFormat="1" applyFont="1" applyBorder="1" applyAlignment="1">
      <alignment horizontal="center" vertical="center"/>
    </xf>
    <xf numFmtId="169" fontId="138" fillId="0" borderId="202" xfId="1" applyNumberFormat="1" applyFont="1" applyBorder="1" applyAlignment="1">
      <alignment horizontal="center" vertical="center"/>
    </xf>
    <xf numFmtId="0" fontId="604" fillId="96" borderId="0" xfId="49" applyFont="1" applyAlignment="1">
      <alignment horizontal="center"/>
    </xf>
    <xf numFmtId="0" fontId="604" fillId="96" borderId="476" xfId="49" applyFont="1" applyBorder="1" applyAlignment="1">
      <alignment horizontal="center"/>
    </xf>
    <xf numFmtId="0" fontId="34" fillId="168" borderId="151" xfId="25" applyFont="1" applyFill="1" applyBorder="1" applyAlignment="1">
      <alignment horizontal="center" vertical="center"/>
    </xf>
    <xf numFmtId="0" fontId="34" fillId="168" borderId="152" xfId="25" applyFont="1" applyFill="1" applyBorder="1" applyAlignment="1">
      <alignment horizontal="center" vertical="center"/>
    </xf>
    <xf numFmtId="0" fontId="34" fillId="168" borderId="153" xfId="25" applyFont="1" applyFill="1" applyBorder="1" applyAlignment="1">
      <alignment horizontal="center" vertical="center"/>
    </xf>
    <xf numFmtId="0" fontId="617" fillId="129" borderId="37" xfId="25" applyFont="1" applyFill="1" applyBorder="1" applyAlignment="1">
      <alignment horizontal="center" vertical="center"/>
    </xf>
    <xf numFmtId="0" fontId="617" fillId="129" borderId="36" xfId="25" applyFont="1" applyFill="1" applyBorder="1" applyAlignment="1">
      <alignment horizontal="center" vertical="center"/>
    </xf>
    <xf numFmtId="0" fontId="617" fillId="129" borderId="35" xfId="25" applyFont="1" applyFill="1" applyBorder="1" applyAlignment="1">
      <alignment horizontal="center" vertical="center"/>
    </xf>
    <xf numFmtId="0" fontId="49" fillId="8" borderId="0" xfId="2" applyFont="1" applyFill="1" applyAlignment="1">
      <alignment horizontal="left" vertical="center"/>
    </xf>
    <xf numFmtId="0" fontId="296" fillId="2" borderId="0" xfId="22" applyFont="1" applyFill="1" applyAlignment="1">
      <alignment horizontal="center" vertical="top"/>
    </xf>
    <xf numFmtId="2" fontId="103" fillId="4" borderId="124" xfId="21" applyNumberFormat="1" applyFont="1" applyFill="1" applyBorder="1" applyAlignment="1">
      <alignment horizontal="center" vertical="center"/>
    </xf>
    <xf numFmtId="2" fontId="103" fillId="4" borderId="97" xfId="21" applyNumberFormat="1" applyFont="1" applyFill="1" applyBorder="1" applyAlignment="1">
      <alignment horizontal="center" vertical="center"/>
    </xf>
    <xf numFmtId="2" fontId="103" fillId="4" borderId="123" xfId="21" applyNumberFormat="1" applyFont="1" applyFill="1" applyBorder="1" applyAlignment="1">
      <alignment horizontal="center" vertical="center"/>
    </xf>
    <xf numFmtId="0" fontId="36" fillId="2" borderId="0" xfId="22" applyFont="1" applyFill="1" applyAlignment="1">
      <alignment horizontal="center" vertical="top"/>
    </xf>
    <xf numFmtId="0" fontId="361" fillId="2" borderId="599" xfId="1" applyFont="1" applyFill="1" applyBorder="1" applyAlignment="1" applyProtection="1">
      <alignment horizontal="center" vertical="center"/>
      <protection locked="0"/>
    </xf>
    <xf numFmtId="207" fontId="386" fillId="59" borderId="0" xfId="2" applyNumberFormat="1" applyFont="1" applyFill="1" applyAlignment="1">
      <alignment horizontal="center" vertical="center"/>
    </xf>
    <xf numFmtId="207" fontId="397" fillId="59" borderId="0" xfId="2" applyNumberFormat="1" applyFont="1" applyFill="1" applyAlignment="1">
      <alignment horizontal="center" vertical="center"/>
    </xf>
    <xf numFmtId="0" fontId="9" fillId="2" borderId="13" xfId="0" applyFont="1" applyFill="1" applyBorder="1" applyAlignment="1">
      <alignment horizontal="center"/>
    </xf>
    <xf numFmtId="0" fontId="9" fillId="2" borderId="0" xfId="0" applyFont="1" applyFill="1" applyAlignment="1">
      <alignment horizontal="center"/>
    </xf>
    <xf numFmtId="0" fontId="9" fillId="2" borderId="12" xfId="0" applyFont="1" applyFill="1" applyBorder="1" applyAlignment="1">
      <alignment horizontal="center"/>
    </xf>
    <xf numFmtId="0" fontId="225" fillId="0" borderId="0" xfId="17" applyAlignment="1">
      <alignment horizontal="left" vertical="center"/>
    </xf>
    <xf numFmtId="0" fontId="225" fillId="0" borderId="12" xfId="17" applyBorder="1" applyAlignment="1">
      <alignment horizontal="left" vertical="center"/>
    </xf>
    <xf numFmtId="0" fontId="225" fillId="2" borderId="0" xfId="17" applyFill="1" applyAlignment="1">
      <alignment horizontal="left"/>
    </xf>
    <xf numFmtId="0" fontId="225" fillId="2" borderId="12" xfId="17" applyFill="1" applyBorder="1" applyAlignment="1">
      <alignment horizontal="left"/>
    </xf>
    <xf numFmtId="0" fontId="9" fillId="2" borderId="11" xfId="0" applyFont="1" applyFill="1" applyBorder="1" applyAlignment="1">
      <alignment horizontal="left"/>
    </xf>
    <xf numFmtId="0" fontId="9" fillId="2" borderId="10" xfId="0" applyFont="1" applyFill="1" applyBorder="1" applyAlignment="1">
      <alignment horizontal="left"/>
    </xf>
    <xf numFmtId="0" fontId="9" fillId="2" borderId="9" xfId="0" applyFont="1" applyFill="1" applyBorder="1" applyAlignment="1">
      <alignment horizontal="left"/>
    </xf>
    <xf numFmtId="0" fontId="0" fillId="2" borderId="0" xfId="0" applyFill="1" applyAlignment="1">
      <alignment horizontal="center" vertical="center" wrapText="1"/>
    </xf>
    <xf numFmtId="0" fontId="0" fillId="2" borderId="12" xfId="0" applyFill="1" applyBorder="1" applyAlignment="1">
      <alignment horizontal="center" wrapText="1"/>
    </xf>
    <xf numFmtId="0" fontId="101" fillId="13" borderId="220" xfId="0" applyFont="1" applyFill="1" applyBorder="1" applyAlignment="1">
      <alignment horizontal="center" vertical="center"/>
    </xf>
    <xf numFmtId="0" fontId="101" fillId="13" borderId="238" xfId="0" applyFont="1" applyFill="1" applyBorder="1" applyAlignment="1">
      <alignment horizontal="center" vertical="center"/>
    </xf>
    <xf numFmtId="0" fontId="101" fillId="13" borderId="239" xfId="0" applyFont="1" applyFill="1" applyBorder="1" applyAlignment="1">
      <alignment horizontal="center" vertical="center"/>
    </xf>
    <xf numFmtId="0" fontId="10" fillId="30" borderId="13" xfId="12" applyFont="1" applyFill="1" applyBorder="1" applyAlignment="1" applyProtection="1">
      <alignment horizontal="center" vertical="center"/>
      <protection hidden="1"/>
    </xf>
    <xf numFmtId="0" fontId="225" fillId="2" borderId="145" xfId="17" applyFill="1" applyBorder="1" applyAlignment="1">
      <alignment horizontal="left"/>
    </xf>
    <xf numFmtId="0" fontId="225" fillId="2" borderId="95" xfId="17" applyFill="1" applyBorder="1" applyAlignment="1">
      <alignment horizontal="left"/>
    </xf>
    <xf numFmtId="0" fontId="11" fillId="39" borderId="37" xfId="0" applyFont="1" applyFill="1" applyBorder="1" applyAlignment="1">
      <alignment horizontal="center" vertical="center"/>
    </xf>
    <xf numFmtId="0" fontId="11" fillId="39" borderId="36" xfId="0" applyFont="1" applyFill="1" applyBorder="1" applyAlignment="1">
      <alignment horizontal="center" vertical="center"/>
    </xf>
    <xf numFmtId="0" fontId="11" fillId="39" borderId="35" xfId="0" applyFont="1" applyFill="1" applyBorder="1" applyAlignment="1">
      <alignment horizontal="center" vertical="center"/>
    </xf>
    <xf numFmtId="0" fontId="11" fillId="2" borderId="13" xfId="0" applyFont="1" applyFill="1" applyBorder="1" applyAlignment="1">
      <alignment horizontal="center"/>
    </xf>
    <xf numFmtId="0" fontId="11" fillId="2" borderId="0" xfId="0" applyFont="1" applyFill="1" applyAlignment="1">
      <alignment horizontal="center"/>
    </xf>
    <xf numFmtId="0" fontId="11" fillId="2" borderId="12" xfId="0" applyFont="1" applyFill="1" applyBorder="1" applyAlignment="1">
      <alignment horizontal="center"/>
    </xf>
    <xf numFmtId="0" fontId="0" fillId="2" borderId="13" xfId="0" applyFill="1" applyBorder="1" applyAlignment="1">
      <alignment horizontal="center" wrapText="1"/>
    </xf>
    <xf numFmtId="0" fontId="205" fillId="2" borderId="0" xfId="0" applyFont="1" applyFill="1" applyAlignment="1">
      <alignment horizontal="center" wrapText="1"/>
    </xf>
    <xf numFmtId="174" fontId="189" fillId="13" borderId="13" xfId="0" applyNumberFormat="1" applyFont="1" applyFill="1" applyBorder="1" applyAlignment="1">
      <alignment horizontal="center" vertical="center"/>
    </xf>
    <xf numFmtId="171" fontId="121" fillId="13" borderId="0" xfId="1" applyNumberFormat="1" applyFont="1" applyFill="1" applyAlignment="1" applyProtection="1">
      <alignment horizontal="center" vertical="center"/>
      <protection locked="0"/>
    </xf>
    <xf numFmtId="0" fontId="11" fillId="2" borderId="203" xfId="0" applyFont="1" applyFill="1" applyBorder="1" applyAlignment="1">
      <alignment horizontal="center"/>
    </xf>
    <xf numFmtId="0" fontId="11" fillId="2" borderId="325" xfId="0" applyFont="1" applyFill="1" applyBorder="1" applyAlignment="1">
      <alignment horizontal="center"/>
    </xf>
    <xf numFmtId="0" fontId="11" fillId="2" borderId="326" xfId="0" applyFont="1" applyFill="1" applyBorder="1" applyAlignment="1">
      <alignment horizontal="center"/>
    </xf>
    <xf numFmtId="0" fontId="11" fillId="39" borderId="103" xfId="0" applyFont="1" applyFill="1" applyBorder="1" applyAlignment="1">
      <alignment horizontal="center" vertical="center" wrapText="1"/>
    </xf>
    <xf numFmtId="0" fontId="11" fillId="39" borderId="336" xfId="0" applyFont="1" applyFill="1" applyBorder="1" applyAlignment="1">
      <alignment horizontal="center" vertical="center" wrapText="1"/>
    </xf>
    <xf numFmtId="220" fontId="189" fillId="13" borderId="330" xfId="1" applyNumberFormat="1" applyFont="1" applyFill="1" applyBorder="1" applyAlignment="1" applyProtection="1">
      <alignment horizontal="center" vertical="center"/>
      <protection locked="0"/>
    </xf>
    <xf numFmtId="0" fontId="137" fillId="82" borderId="337" xfId="0" applyFont="1" applyFill="1" applyBorder="1" applyAlignment="1">
      <alignment horizontal="center" vertical="center"/>
    </xf>
    <xf numFmtId="0" fontId="137" fillId="82" borderId="338" xfId="0" applyFont="1" applyFill="1" applyBorder="1" applyAlignment="1">
      <alignment horizontal="center" vertical="center"/>
    </xf>
    <xf numFmtId="0" fontId="137" fillId="82" borderId="339" xfId="0" applyFont="1" applyFill="1" applyBorder="1" applyAlignment="1">
      <alignment horizontal="center" vertical="center"/>
    </xf>
    <xf numFmtId="0" fontId="137" fillId="82" borderId="340" xfId="0" applyFont="1" applyFill="1" applyBorder="1" applyAlignment="1">
      <alignment horizontal="center" vertical="center"/>
    </xf>
    <xf numFmtId="0" fontId="137" fillId="82" borderId="165" xfId="0" applyFont="1" applyFill="1" applyBorder="1" applyAlignment="1">
      <alignment horizontal="center" vertical="center"/>
    </xf>
    <xf numFmtId="0" fontId="137" fillId="82" borderId="216" xfId="0" applyFont="1" applyFill="1" applyBorder="1" applyAlignment="1">
      <alignment horizontal="center" vertical="center"/>
    </xf>
    <xf numFmtId="0" fontId="11" fillId="81" borderId="335" xfId="0" applyFont="1" applyFill="1" applyBorder="1" applyAlignment="1">
      <alignment horizontal="center" vertical="center" wrapText="1"/>
    </xf>
    <xf numFmtId="0" fontId="11" fillId="81" borderId="336" xfId="0" applyFont="1" applyFill="1" applyBorder="1" applyAlignment="1">
      <alignment horizontal="center" vertical="center" wrapText="1"/>
    </xf>
    <xf numFmtId="223" fontId="138" fillId="8" borderId="13" xfId="1" applyNumberFormat="1" applyFont="1" applyFill="1" applyBorder="1" applyAlignment="1" applyProtection="1">
      <alignment horizontal="center" vertical="center"/>
      <protection locked="0"/>
    </xf>
    <xf numFmtId="223" fontId="138" fillId="8" borderId="12" xfId="1" applyNumberFormat="1" applyFont="1" applyFill="1" applyBorder="1" applyAlignment="1" applyProtection="1">
      <alignment horizontal="center" vertical="center"/>
      <protection locked="0"/>
    </xf>
    <xf numFmtId="223" fontId="138" fillId="8" borderId="11" xfId="1" applyNumberFormat="1" applyFont="1" applyFill="1" applyBorder="1" applyAlignment="1" applyProtection="1">
      <alignment horizontal="center" vertical="center"/>
      <protection locked="0"/>
    </xf>
    <xf numFmtId="223" fontId="138" fillId="8" borderId="9" xfId="1" applyNumberFormat="1" applyFont="1" applyFill="1" applyBorder="1" applyAlignment="1" applyProtection="1">
      <alignment horizontal="center" vertical="center"/>
      <protection locked="0"/>
    </xf>
    <xf numFmtId="0" fontId="11" fillId="8" borderId="327" xfId="0" applyFont="1" applyFill="1" applyBorder="1" applyAlignment="1">
      <alignment horizontal="center" vertical="center"/>
    </xf>
    <xf numFmtId="0" fontId="11" fillId="8" borderId="325" xfId="0" applyFont="1" applyFill="1" applyBorder="1" applyAlignment="1">
      <alignment horizontal="center" vertical="center"/>
    </xf>
    <xf numFmtId="0" fontId="11" fillId="8" borderId="332" xfId="0" applyFont="1" applyFill="1" applyBorder="1" applyAlignment="1">
      <alignment horizontal="center" vertical="center"/>
    </xf>
    <xf numFmtId="0" fontId="11" fillId="8" borderId="316" xfId="0" applyFont="1" applyFill="1" applyBorder="1" applyAlignment="1">
      <alignment horizontal="center" vertical="center"/>
    </xf>
    <xf numFmtId="0" fontId="11" fillId="8" borderId="0" xfId="0" applyFont="1" applyFill="1" applyAlignment="1">
      <alignment horizontal="center" vertical="center"/>
    </xf>
    <xf numFmtId="0" fontId="11" fillId="8" borderId="41" xfId="0" applyFont="1" applyFill="1" applyBorder="1" applyAlignment="1">
      <alignment horizontal="center" vertical="center"/>
    </xf>
    <xf numFmtId="0" fontId="11" fillId="39" borderId="334" xfId="0" applyFont="1" applyFill="1" applyBorder="1" applyAlignment="1">
      <alignment horizontal="center" vertical="center" wrapText="1"/>
    </xf>
    <xf numFmtId="0" fontId="94" fillId="2" borderId="8" xfId="0" applyFont="1" applyFill="1" applyBorder="1" applyAlignment="1">
      <alignment horizontal="center" vertical="center" wrapText="1"/>
    </xf>
    <xf numFmtId="0" fontId="94" fillId="2" borderId="3" xfId="0" applyFont="1" applyFill="1" applyBorder="1" applyAlignment="1">
      <alignment horizontal="center" vertical="center" wrapText="1"/>
    </xf>
    <xf numFmtId="223" fontId="121" fillId="13" borderId="6" xfId="1" applyNumberFormat="1" applyFont="1" applyFill="1" applyBorder="1" applyAlignment="1" applyProtection="1">
      <alignment horizontal="center" vertical="center"/>
      <protection locked="0"/>
    </xf>
    <xf numFmtId="223" fontId="121" fillId="13" borderId="1" xfId="1" applyNumberFormat="1" applyFont="1" applyFill="1" applyBorder="1" applyAlignment="1" applyProtection="1">
      <alignment horizontal="center" vertical="center"/>
      <protection locked="0"/>
    </xf>
    <xf numFmtId="0" fontId="0" fillId="2" borderId="0" xfId="0" applyFill="1" applyAlignment="1">
      <alignment horizontal="center"/>
    </xf>
    <xf numFmtId="0" fontId="101" fillId="8" borderId="37" xfId="2" applyFont="1" applyFill="1" applyBorder="1" applyAlignment="1">
      <alignment horizontal="center" vertical="center" wrapText="1"/>
    </xf>
    <xf numFmtId="0" fontId="101" fillId="8" borderId="35" xfId="2" applyFont="1" applyFill="1" applyBorder="1" applyAlignment="1">
      <alignment horizontal="center" vertical="center" wrapText="1"/>
    </xf>
    <xf numFmtId="0" fontId="101" fillId="8" borderId="13" xfId="2" applyFont="1" applyFill="1" applyBorder="1" applyAlignment="1">
      <alignment horizontal="center" vertical="center" wrapText="1"/>
    </xf>
    <xf numFmtId="0" fontId="101" fillId="8" borderId="12" xfId="2" applyFont="1" applyFill="1" applyBorder="1" applyAlignment="1">
      <alignment horizontal="center" vertical="center" wrapText="1"/>
    </xf>
    <xf numFmtId="0" fontId="101" fillId="53" borderId="8" xfId="2" applyFont="1" applyFill="1" applyBorder="1" applyAlignment="1">
      <alignment horizontal="center" vertical="center" wrapText="1"/>
    </xf>
    <xf numFmtId="0" fontId="101" fillId="53" borderId="6" xfId="2" applyFont="1" applyFill="1" applyBorder="1" applyAlignment="1">
      <alignment horizontal="center" vertical="center" wrapText="1"/>
    </xf>
    <xf numFmtId="0" fontId="101" fillId="53" borderId="5" xfId="2" applyFont="1" applyFill="1" applyBorder="1" applyAlignment="1">
      <alignment horizontal="center" vertical="center" wrapText="1"/>
    </xf>
    <xf numFmtId="0" fontId="101" fillId="53" borderId="4" xfId="2" applyFont="1" applyFill="1" applyBorder="1" applyAlignment="1">
      <alignment horizontal="center" vertical="center" wrapText="1"/>
    </xf>
    <xf numFmtId="0" fontId="101" fillId="53" borderId="37" xfId="2" applyFont="1" applyFill="1" applyBorder="1" applyAlignment="1">
      <alignment horizontal="center" vertical="center" wrapText="1"/>
    </xf>
    <xf numFmtId="0" fontId="101" fillId="53" borderId="35" xfId="2" applyFont="1" applyFill="1" applyBorder="1" applyAlignment="1">
      <alignment horizontal="center" vertical="center" wrapText="1"/>
    </xf>
    <xf numFmtId="0" fontId="101" fillId="53" borderId="13" xfId="2" applyFont="1" applyFill="1" applyBorder="1" applyAlignment="1">
      <alignment horizontal="center" vertical="center" wrapText="1"/>
    </xf>
    <xf numFmtId="0" fontId="101" fillId="53" borderId="12" xfId="2" applyFont="1" applyFill="1" applyBorder="1" applyAlignment="1">
      <alignment horizontal="center" vertical="center" wrapText="1"/>
    </xf>
    <xf numFmtId="0" fontId="189" fillId="2" borderId="329" xfId="2" applyFont="1" applyFill="1" applyBorder="1" applyAlignment="1" applyProtection="1">
      <alignment horizontal="right" vertical="center" wrapText="1"/>
      <protection hidden="1"/>
    </xf>
    <xf numFmtId="0" fontId="189" fillId="2" borderId="331" xfId="2" applyFont="1" applyFill="1" applyBorder="1" applyAlignment="1" applyProtection="1">
      <alignment horizontal="right" vertical="center" wrapText="1"/>
      <protection hidden="1"/>
    </xf>
    <xf numFmtId="223" fontId="101" fillId="2" borderId="12" xfId="1" applyNumberFormat="1" applyFont="1" applyFill="1" applyBorder="1" applyAlignment="1" applyProtection="1">
      <alignment horizontal="center" vertical="center"/>
      <protection locked="0"/>
    </xf>
    <xf numFmtId="223" fontId="138" fillId="53" borderId="13" xfId="1" applyNumberFormat="1" applyFont="1" applyFill="1" applyBorder="1" applyAlignment="1" applyProtection="1">
      <alignment horizontal="center" vertical="center"/>
      <protection locked="0"/>
    </xf>
    <xf numFmtId="223" fontId="138" fillId="53" borderId="12" xfId="1" applyNumberFormat="1" applyFont="1" applyFill="1" applyBorder="1" applyAlignment="1" applyProtection="1">
      <alignment horizontal="center" vertical="center"/>
      <protection locked="0"/>
    </xf>
    <xf numFmtId="223" fontId="138" fillId="53" borderId="11" xfId="1" applyNumberFormat="1" applyFont="1" applyFill="1" applyBorder="1" applyAlignment="1" applyProtection="1">
      <alignment horizontal="center" vertical="center"/>
      <protection locked="0"/>
    </xf>
    <xf numFmtId="223" fontId="138" fillId="53" borderId="9" xfId="1" applyNumberFormat="1" applyFont="1" applyFill="1" applyBorder="1" applyAlignment="1" applyProtection="1">
      <alignment horizontal="center" vertical="center"/>
      <protection locked="0"/>
    </xf>
    <xf numFmtId="0" fontId="10" fillId="72" borderId="8" xfId="2" applyFont="1" applyFill="1" applyBorder="1" applyAlignment="1">
      <alignment horizontal="center" vertical="center" wrapText="1"/>
    </xf>
    <xf numFmtId="0" fontId="10" fillId="72" borderId="6" xfId="2" applyFont="1" applyFill="1" applyBorder="1" applyAlignment="1">
      <alignment horizontal="center" vertical="center" wrapText="1"/>
    </xf>
    <xf numFmtId="0" fontId="10" fillId="72" borderId="5" xfId="2" applyFont="1" applyFill="1" applyBorder="1" applyAlignment="1">
      <alignment horizontal="center" vertical="center" wrapText="1"/>
    </xf>
    <xf numFmtId="0" fontId="10" fillId="72" borderId="4" xfId="2" applyFont="1" applyFill="1" applyBorder="1" applyAlignment="1">
      <alignment horizontal="center" vertical="center" wrapText="1"/>
    </xf>
    <xf numFmtId="220" fontId="183" fillId="13" borderId="5" xfId="1" applyNumberFormat="1" applyFont="1" applyFill="1" applyBorder="1" applyAlignment="1" applyProtection="1">
      <alignment horizontal="center" vertical="center"/>
      <protection locked="0"/>
    </xf>
    <xf numFmtId="220" fontId="183" fillId="13" borderId="4" xfId="1" applyNumberFormat="1" applyFont="1" applyFill="1" applyBorder="1" applyAlignment="1" applyProtection="1">
      <alignment horizontal="center" vertical="center"/>
      <protection locked="0"/>
    </xf>
    <xf numFmtId="220" fontId="183" fillId="13" borderId="3" xfId="1" applyNumberFormat="1" applyFont="1" applyFill="1" applyBorder="1" applyAlignment="1" applyProtection="1">
      <alignment horizontal="center" vertical="center"/>
      <protection locked="0"/>
    </xf>
    <xf numFmtId="220" fontId="183" fillId="13" borderId="1" xfId="1" applyNumberFormat="1" applyFont="1" applyFill="1" applyBorder="1" applyAlignment="1" applyProtection="1">
      <alignment horizontal="center" vertical="center"/>
      <protection locked="0"/>
    </xf>
    <xf numFmtId="0" fontId="101" fillId="2" borderId="5"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8" xfId="0" applyFont="1" applyFill="1" applyBorder="1" applyAlignment="1">
      <alignment horizontal="center" vertical="center"/>
    </xf>
    <xf numFmtId="0" fontId="11" fillId="2" borderId="3" xfId="0" applyFont="1" applyFill="1" applyBorder="1" applyAlignment="1">
      <alignment horizontal="center" vertical="center"/>
    </xf>
    <xf numFmtId="0" fontId="10" fillId="71" borderId="0" xfId="0" applyFont="1" applyFill="1" applyAlignment="1">
      <alignment horizontal="center" vertical="center"/>
    </xf>
    <xf numFmtId="0" fontId="327" fillId="39" borderId="0" xfId="1" applyFont="1" applyFill="1" applyAlignment="1">
      <alignment horizontal="left" vertical="center"/>
    </xf>
    <xf numFmtId="0" fontId="198" fillId="72" borderId="37" xfId="4" applyFont="1" applyFill="1" applyBorder="1" applyAlignment="1" applyProtection="1">
      <alignment horizontal="center" vertical="center"/>
      <protection locked="0"/>
    </xf>
    <xf numFmtId="0" fontId="198" fillId="72" borderId="36" xfId="4" applyFont="1" applyFill="1" applyBorder="1" applyAlignment="1" applyProtection="1">
      <alignment horizontal="center" vertical="center"/>
      <protection locked="0"/>
    </xf>
    <xf numFmtId="0" fontId="198" fillId="72" borderId="35" xfId="4" applyFont="1" applyFill="1" applyBorder="1" applyAlignment="1" applyProtection="1">
      <alignment horizontal="center" vertical="center"/>
      <protection locked="0"/>
    </xf>
    <xf numFmtId="0" fontId="0" fillId="2" borderId="97" xfId="0" applyFill="1" applyBorder="1" applyAlignment="1">
      <alignment horizontal="center"/>
    </xf>
    <xf numFmtId="0" fontId="0" fillId="2" borderId="149" xfId="0" applyFill="1" applyBorder="1" applyAlignment="1">
      <alignment horizontal="center"/>
    </xf>
    <xf numFmtId="0" fontId="0" fillId="2" borderId="12" xfId="0" applyFill="1" applyBorder="1" applyAlignment="1">
      <alignment horizontal="center"/>
    </xf>
    <xf numFmtId="0" fontId="10" fillId="8" borderId="37" xfId="2" applyFont="1" applyFill="1" applyBorder="1" applyAlignment="1">
      <alignment horizontal="center" vertical="center" wrapText="1"/>
    </xf>
    <xf numFmtId="0" fontId="10" fillId="8" borderId="35" xfId="2" applyFont="1" applyFill="1" applyBorder="1" applyAlignment="1">
      <alignment horizontal="center" vertical="center" wrapText="1"/>
    </xf>
    <xf numFmtId="0" fontId="10" fillId="8" borderId="13" xfId="2" applyFont="1" applyFill="1" applyBorder="1" applyAlignment="1">
      <alignment horizontal="center" vertical="center" wrapText="1"/>
    </xf>
    <xf numFmtId="0" fontId="10" fillId="8" borderId="12" xfId="2" applyFont="1" applyFill="1" applyBorder="1" applyAlignment="1">
      <alignment horizontal="center" vertical="center" wrapText="1"/>
    </xf>
    <xf numFmtId="0" fontId="189" fillId="17" borderId="220" xfId="2" applyFont="1" applyFill="1" applyBorder="1" applyAlignment="1">
      <alignment horizontal="center" vertical="center" wrapText="1"/>
    </xf>
    <xf numFmtId="0" fontId="189" fillId="17" borderId="238" xfId="2" applyFont="1" applyFill="1" applyBorder="1" applyAlignment="1">
      <alignment horizontal="center" vertical="center" wrapText="1"/>
    </xf>
    <xf numFmtId="0" fontId="189" fillId="17" borderId="239" xfId="2" applyFont="1" applyFill="1" applyBorder="1" applyAlignment="1">
      <alignment horizontal="center" vertical="center" wrapText="1"/>
    </xf>
    <xf numFmtId="0" fontId="0" fillId="2" borderId="13" xfId="0" applyFill="1" applyBorder="1" applyAlignment="1">
      <alignment horizontal="center"/>
    </xf>
    <xf numFmtId="0" fontId="101" fillId="2" borderId="36" xfId="0" applyFont="1" applyFill="1" applyBorder="1" applyAlignment="1">
      <alignment horizontal="center"/>
    </xf>
    <xf numFmtId="0" fontId="78" fillId="2" borderId="37" xfId="0" applyFont="1" applyFill="1" applyBorder="1" applyAlignment="1">
      <alignment horizontal="right"/>
    </xf>
    <xf numFmtId="0" fontId="78" fillId="2" borderId="36" xfId="0" applyFont="1" applyFill="1" applyBorder="1" applyAlignment="1">
      <alignment horizontal="right"/>
    </xf>
    <xf numFmtId="0" fontId="101" fillId="17" borderId="13" xfId="2" applyFont="1" applyFill="1" applyBorder="1" applyAlignment="1">
      <alignment horizontal="center" vertical="center" wrapText="1"/>
    </xf>
    <xf numFmtId="0" fontId="101" fillId="17" borderId="0" xfId="2" applyFont="1" applyFill="1" applyAlignment="1">
      <alignment horizontal="center" vertical="center" wrapText="1"/>
    </xf>
    <xf numFmtId="0" fontId="101" fillId="17" borderId="12" xfId="2" applyFont="1" applyFill="1" applyBorder="1" applyAlignment="1">
      <alignment horizontal="center" vertical="center" wrapText="1"/>
    </xf>
    <xf numFmtId="0" fontId="209" fillId="39" borderId="37" xfId="4" applyFont="1" applyFill="1" applyBorder="1" applyAlignment="1" applyProtection="1">
      <alignment horizontal="center" vertical="center"/>
      <protection locked="0"/>
    </xf>
    <xf numFmtId="0" fontId="209" fillId="39" borderId="36" xfId="4" applyFont="1" applyFill="1" applyBorder="1" applyAlignment="1" applyProtection="1">
      <alignment horizontal="center" vertical="center"/>
      <protection locked="0"/>
    </xf>
    <xf numFmtId="0" fontId="209" fillId="39" borderId="35" xfId="4" applyFont="1" applyFill="1" applyBorder="1" applyAlignment="1" applyProtection="1">
      <alignment horizontal="center" vertical="center"/>
      <protection locked="0"/>
    </xf>
    <xf numFmtId="0" fontId="0" fillId="5" borderId="13" xfId="0" applyFill="1" applyBorder="1" applyAlignment="1">
      <alignment horizontal="center"/>
    </xf>
    <xf numFmtId="0" fontId="0" fillId="5" borderId="0" xfId="0" applyFill="1" applyAlignment="1">
      <alignment horizontal="center"/>
    </xf>
    <xf numFmtId="0" fontId="0" fillId="5" borderId="12" xfId="0" applyFill="1" applyBorder="1" applyAlignment="1">
      <alignment horizontal="center"/>
    </xf>
    <xf numFmtId="0" fontId="327" fillId="39" borderId="0" xfId="1" applyFont="1" applyFill="1" applyAlignment="1">
      <alignment horizontal="center" vertical="center"/>
    </xf>
    <xf numFmtId="0" fontId="101" fillId="17" borderId="220" xfId="2" applyFont="1" applyFill="1" applyBorder="1" applyAlignment="1">
      <alignment horizontal="center" vertical="center" wrapText="1"/>
    </xf>
    <xf numFmtId="0" fontId="101" fillId="17" borderId="238" xfId="2" applyFont="1" applyFill="1" applyBorder="1" applyAlignment="1">
      <alignment horizontal="center" vertical="center" wrapText="1"/>
    </xf>
    <xf numFmtId="0" fontId="101" fillId="17" borderId="239" xfId="2" applyFont="1" applyFill="1" applyBorder="1" applyAlignment="1">
      <alignment horizontal="center" vertical="center" wrapText="1"/>
    </xf>
    <xf numFmtId="0" fontId="198" fillId="49" borderId="37" xfId="4" applyFont="1" applyFill="1" applyBorder="1" applyAlignment="1" applyProtection="1">
      <alignment horizontal="center" vertical="center"/>
      <protection locked="0"/>
    </xf>
    <xf numFmtId="0" fontId="198" fillId="49" borderId="36" xfId="4" applyFont="1" applyFill="1" applyBorder="1" applyAlignment="1" applyProtection="1">
      <alignment horizontal="center" vertical="center"/>
      <protection locked="0"/>
    </xf>
    <xf numFmtId="0" fontId="198" fillId="49" borderId="35" xfId="4" applyFont="1" applyFill="1" applyBorder="1" applyAlignment="1" applyProtection="1">
      <alignment horizontal="center" vertical="center"/>
      <protection locked="0"/>
    </xf>
    <xf numFmtId="0" fontId="353" fillId="49" borderId="0" xfId="1" applyFont="1" applyFill="1" applyAlignment="1">
      <alignment horizontal="left" vertical="center"/>
    </xf>
    <xf numFmtId="0" fontId="121" fillId="2" borderId="37" xfId="0" applyFont="1" applyFill="1" applyBorder="1" applyAlignment="1">
      <alignment horizontal="right"/>
    </xf>
    <xf numFmtId="0" fontId="121" fillId="2" borderId="36" xfId="0" applyFont="1" applyFill="1" applyBorder="1" applyAlignment="1">
      <alignment horizontal="right"/>
    </xf>
    <xf numFmtId="0" fontId="371" fillId="2" borderId="36" xfId="0" applyFont="1" applyFill="1" applyBorder="1" applyAlignment="1">
      <alignment horizontal="right"/>
    </xf>
    <xf numFmtId="0" fontId="353" fillId="40" borderId="0" xfId="1" applyFont="1" applyFill="1" applyAlignment="1">
      <alignment horizontal="left" vertical="center"/>
    </xf>
    <xf numFmtId="0" fontId="198" fillId="40" borderId="37" xfId="4" applyFont="1" applyFill="1" applyBorder="1" applyAlignment="1" applyProtection="1">
      <alignment horizontal="center" vertical="center"/>
      <protection locked="0"/>
    </xf>
    <xf numFmtId="0" fontId="198" fillId="40" borderId="36" xfId="4" applyFont="1" applyFill="1" applyBorder="1" applyAlignment="1" applyProtection="1">
      <alignment horizontal="center" vertical="center"/>
      <protection locked="0"/>
    </xf>
    <xf numFmtId="0" fontId="198" fillId="40" borderId="35" xfId="4" applyFont="1" applyFill="1" applyBorder="1" applyAlignment="1" applyProtection="1">
      <alignment horizontal="center" vertical="center"/>
      <protection locked="0"/>
    </xf>
    <xf numFmtId="0" fontId="198" fillId="40" borderId="13" xfId="4" applyFont="1" applyFill="1" applyBorder="1" applyAlignment="1" applyProtection="1">
      <alignment horizontal="center" vertical="center"/>
      <protection locked="0"/>
    </xf>
    <xf numFmtId="0" fontId="198" fillId="40" borderId="0" xfId="4" applyFont="1" applyFill="1" applyAlignment="1" applyProtection="1">
      <alignment horizontal="center" vertical="center"/>
      <protection locked="0"/>
    </xf>
    <xf numFmtId="0" fontId="189" fillId="17" borderId="13" xfId="2" applyFont="1" applyFill="1" applyBorder="1" applyAlignment="1">
      <alignment horizontal="center" vertical="center" wrapText="1"/>
    </xf>
    <xf numFmtId="0" fontId="189" fillId="17" borderId="0" xfId="2" applyFont="1" applyFill="1" applyAlignment="1">
      <alignment horizontal="center" vertical="center" wrapText="1"/>
    </xf>
    <xf numFmtId="0" fontId="189" fillId="17" borderId="12" xfId="2" applyFont="1" applyFill="1" applyBorder="1" applyAlignment="1">
      <alignment horizontal="center" vertical="center" wrapText="1"/>
    </xf>
    <xf numFmtId="0" fontId="0" fillId="2" borderId="203" xfId="0" applyFill="1" applyBorder="1" applyAlignment="1">
      <alignment horizontal="center"/>
    </xf>
    <xf numFmtId="0" fontId="0" fillId="2" borderId="221" xfId="0" applyFill="1" applyBorder="1" applyAlignment="1">
      <alignment horizontal="center"/>
    </xf>
    <xf numFmtId="0" fontId="0" fillId="2" borderId="210" xfId="0" applyFill="1" applyBorder="1" applyAlignment="1">
      <alignment horizontal="center"/>
    </xf>
    <xf numFmtId="0" fontId="225" fillId="0" borderId="104" xfId="17" applyBorder="1" applyAlignment="1">
      <alignment horizontal="left" vertical="center"/>
    </xf>
    <xf numFmtId="0" fontId="225" fillId="2" borderId="104" xfId="17" applyFill="1" applyBorder="1" applyAlignment="1">
      <alignment horizontal="left" vertical="center"/>
    </xf>
    <xf numFmtId="0" fontId="327" fillId="72" borderId="0" xfId="1" applyFont="1" applyFill="1" applyAlignment="1">
      <alignment horizontal="center" vertical="center"/>
    </xf>
    <xf numFmtId="186" fontId="183" fillId="17" borderId="42" xfId="0" applyNumberFormat="1" applyFont="1" applyFill="1" applyBorder="1" applyAlignment="1">
      <alignment horizontal="center"/>
    </xf>
    <xf numFmtId="186" fontId="183" fillId="17" borderId="207" xfId="0" applyNumberFormat="1" applyFont="1" applyFill="1" applyBorder="1" applyAlignment="1">
      <alignment horizontal="center"/>
    </xf>
    <xf numFmtId="186" fontId="278" fillId="17" borderId="42" xfId="0" applyNumberFormat="1" applyFont="1" applyFill="1" applyBorder="1" applyAlignment="1">
      <alignment horizontal="center"/>
    </xf>
    <xf numFmtId="186" fontId="278" fillId="17" borderId="207" xfId="0" applyNumberFormat="1" applyFont="1" applyFill="1" applyBorder="1" applyAlignment="1">
      <alignment horizontal="center"/>
    </xf>
    <xf numFmtId="168" fontId="278" fillId="17" borderId="42" xfId="0" applyNumberFormat="1" applyFont="1" applyFill="1" applyBorder="1" applyAlignment="1">
      <alignment horizontal="center"/>
    </xf>
    <xf numFmtId="168" fontId="278" fillId="17" borderId="207" xfId="0" applyNumberFormat="1" applyFont="1" applyFill="1" applyBorder="1" applyAlignment="1">
      <alignment horizontal="center"/>
    </xf>
    <xf numFmtId="186" fontId="278" fillId="17" borderId="224" xfId="0" applyNumberFormat="1" applyFont="1" applyFill="1" applyBorder="1" applyAlignment="1">
      <alignment horizontal="center"/>
    </xf>
    <xf numFmtId="174" fontId="360" fillId="2" borderId="42" xfId="0" applyNumberFormat="1" applyFont="1" applyFill="1" applyBorder="1" applyAlignment="1">
      <alignment horizontal="center" vertical="center"/>
    </xf>
    <xf numFmtId="174" fontId="360" fillId="2" borderId="207" xfId="0" applyNumberFormat="1" applyFont="1" applyFill="1" applyBorder="1" applyAlignment="1">
      <alignment horizontal="center" vertical="center"/>
    </xf>
    <xf numFmtId="0" fontId="101" fillId="17" borderId="234" xfId="2" applyFont="1" applyFill="1" applyBorder="1" applyAlignment="1">
      <alignment horizontal="center" vertical="center" wrapText="1"/>
    </xf>
    <xf numFmtId="0" fontId="101" fillId="17" borderId="27" xfId="2" applyFont="1" applyFill="1" applyBorder="1" applyAlignment="1">
      <alignment horizontal="center" vertical="center" wrapText="1"/>
    </xf>
    <xf numFmtId="0" fontId="209" fillId="5" borderId="42" xfId="4" applyFont="1" applyFill="1" applyBorder="1" applyAlignment="1" applyProtection="1">
      <alignment horizontal="center" vertical="center"/>
      <protection locked="0"/>
    </xf>
    <xf numFmtId="0" fontId="209" fillId="5" borderId="224" xfId="4" applyFont="1" applyFill="1" applyBorder="1" applyAlignment="1" applyProtection="1">
      <alignment horizontal="center" vertical="center"/>
      <protection locked="0"/>
    </xf>
    <xf numFmtId="0" fontId="209" fillId="5" borderId="207" xfId="4" applyFont="1" applyFill="1" applyBorder="1" applyAlignment="1" applyProtection="1">
      <alignment horizontal="center" vertical="center"/>
      <protection locked="0"/>
    </xf>
    <xf numFmtId="0" fontId="101" fillId="2" borderId="42" xfId="2" applyFont="1" applyFill="1" applyBorder="1" applyAlignment="1">
      <alignment horizontal="center"/>
    </xf>
    <xf numFmtId="0" fontId="101" fillId="2" borderId="207" xfId="2" applyFont="1" applyFill="1" applyBorder="1" applyAlignment="1">
      <alignment horizontal="center"/>
    </xf>
    <xf numFmtId="0" fontId="101" fillId="2" borderId="224" xfId="2" applyFont="1" applyFill="1" applyBorder="1" applyAlignment="1">
      <alignment horizontal="center"/>
    </xf>
    <xf numFmtId="0" fontId="225" fillId="0" borderId="0" xfId="17" applyBorder="1" applyAlignment="1">
      <alignment horizontal="left" vertical="center"/>
    </xf>
    <xf numFmtId="0" fontId="225" fillId="0" borderId="224" xfId="17" applyBorder="1" applyAlignment="1">
      <alignment horizontal="left" vertical="center"/>
    </xf>
    <xf numFmtId="0" fontId="225" fillId="2" borderId="0" xfId="17" applyFill="1" applyBorder="1" applyAlignment="1">
      <alignment horizontal="left"/>
    </xf>
    <xf numFmtId="0" fontId="225" fillId="2" borderId="224" xfId="17" applyFill="1" applyBorder="1" applyAlignment="1">
      <alignment horizontal="left"/>
    </xf>
    <xf numFmtId="0" fontId="101" fillId="17" borderId="227" xfId="2" applyFont="1" applyFill="1" applyBorder="1" applyAlignment="1">
      <alignment horizontal="center" vertical="center" wrapText="1"/>
    </xf>
    <xf numFmtId="0" fontId="101" fillId="17" borderId="104" xfId="2" applyFont="1" applyFill="1" applyBorder="1" applyAlignment="1">
      <alignment horizontal="center" vertical="center" wrapText="1"/>
    </xf>
    <xf numFmtId="0" fontId="264" fillId="73" borderId="222" xfId="0" applyFont="1" applyFill="1" applyBorder="1" applyAlignment="1">
      <alignment horizontal="center"/>
    </xf>
    <xf numFmtId="0" fontId="264" fillId="73" borderId="102" xfId="0" applyFont="1" applyFill="1" applyBorder="1" applyAlignment="1">
      <alignment horizontal="center"/>
    </xf>
    <xf numFmtId="0" fontId="264" fillId="73" borderId="223" xfId="0" applyFont="1" applyFill="1" applyBorder="1" applyAlignment="1">
      <alignment horizontal="center"/>
    </xf>
    <xf numFmtId="0" fontId="127" fillId="26" borderId="224" xfId="2" applyFont="1" applyFill="1" applyBorder="1" applyAlignment="1">
      <alignment horizontal="center" vertical="center" textRotation="90"/>
    </xf>
    <xf numFmtId="0" fontId="209" fillId="5" borderId="225" xfId="4" applyFont="1" applyFill="1" applyBorder="1" applyAlignment="1" applyProtection="1">
      <alignment horizontal="center" vertical="center"/>
      <protection locked="0"/>
    </xf>
    <xf numFmtId="0" fontId="209" fillId="5" borderId="0" xfId="4" applyFont="1" applyFill="1" applyAlignment="1" applyProtection="1">
      <alignment horizontal="center" vertical="center"/>
      <protection locked="0"/>
    </xf>
    <xf numFmtId="0" fontId="209" fillId="5" borderId="41" xfId="4" applyFont="1" applyFill="1" applyBorder="1" applyAlignment="1" applyProtection="1">
      <alignment horizontal="center" vertical="center"/>
      <protection locked="0"/>
    </xf>
    <xf numFmtId="168" fontId="101" fillId="2" borderId="36" xfId="0" applyNumberFormat="1" applyFont="1" applyFill="1" applyBorder="1" applyAlignment="1">
      <alignment horizontal="center"/>
    </xf>
    <xf numFmtId="0" fontId="101" fillId="2" borderId="0" xfId="0" applyFont="1" applyFill="1" applyAlignment="1">
      <alignment horizontal="center"/>
    </xf>
    <xf numFmtId="0" fontId="198" fillId="49" borderId="225" xfId="4" applyFont="1" applyFill="1" applyBorder="1" applyAlignment="1" applyProtection="1">
      <alignment horizontal="center" vertical="center"/>
      <protection locked="0"/>
    </xf>
    <xf numFmtId="0" fontId="198" fillId="49" borderId="0" xfId="4" applyFont="1" applyFill="1" applyAlignment="1" applyProtection="1">
      <alignment horizontal="center" vertical="center"/>
      <protection locked="0"/>
    </xf>
    <xf numFmtId="0" fontId="101" fillId="2" borderId="607" xfId="0" applyFont="1" applyFill="1" applyBorder="1" applyAlignment="1">
      <alignment horizontal="center"/>
    </xf>
    <xf numFmtId="0" fontId="209" fillId="5" borderId="13" xfId="4" applyFont="1" applyFill="1" applyBorder="1" applyAlignment="1" applyProtection="1">
      <alignment horizontal="center" vertical="center"/>
      <protection locked="0"/>
    </xf>
    <xf numFmtId="0" fontId="198" fillId="40" borderId="225" xfId="4" applyFont="1" applyFill="1" applyBorder="1" applyAlignment="1" applyProtection="1">
      <alignment horizontal="center" vertical="center"/>
      <protection locked="0"/>
    </xf>
    <xf numFmtId="186" fontId="183" fillId="13" borderId="42" xfId="0" applyNumberFormat="1" applyFont="1" applyFill="1" applyBorder="1" applyAlignment="1">
      <alignment horizontal="center"/>
    </xf>
    <xf numFmtId="186" fontId="183" fillId="13" borderId="207" xfId="0" applyNumberFormat="1" applyFont="1" applyFill="1" applyBorder="1" applyAlignment="1">
      <alignment horizontal="center"/>
    </xf>
    <xf numFmtId="186" fontId="278" fillId="13" borderId="42" xfId="0" applyNumberFormat="1" applyFont="1" applyFill="1" applyBorder="1" applyAlignment="1">
      <alignment horizontal="center"/>
    </xf>
    <xf numFmtId="186" fontId="278" fillId="13" borderId="207" xfId="0" applyNumberFormat="1" applyFont="1" applyFill="1" applyBorder="1" applyAlignment="1">
      <alignment horizontal="center"/>
    </xf>
    <xf numFmtId="168" fontId="278" fillId="13" borderId="42" xfId="0" applyNumberFormat="1" applyFont="1" applyFill="1" applyBorder="1" applyAlignment="1">
      <alignment horizontal="center"/>
    </xf>
    <xf numFmtId="168" fontId="278" fillId="13" borderId="207" xfId="0" applyNumberFormat="1" applyFont="1" applyFill="1" applyBorder="1" applyAlignment="1">
      <alignment horizontal="center"/>
    </xf>
    <xf numFmtId="186" fontId="278" fillId="13" borderId="224" xfId="0" applyNumberFormat="1" applyFont="1" applyFill="1" applyBorder="1" applyAlignment="1">
      <alignment horizontal="center"/>
    </xf>
    <xf numFmtId="174" fontId="278" fillId="2" borderId="42" xfId="0" applyNumberFormat="1" applyFont="1" applyFill="1" applyBorder="1" applyAlignment="1">
      <alignment horizontal="center" vertical="center"/>
    </xf>
    <xf numFmtId="174" fontId="278" fillId="2" borderId="207" xfId="0" applyNumberFormat="1" applyFont="1" applyFill="1" applyBorder="1" applyAlignment="1">
      <alignment horizontal="center" vertical="center"/>
    </xf>
    <xf numFmtId="0" fontId="319" fillId="5" borderId="236" xfId="0" applyFont="1" applyFill="1" applyBorder="1" applyAlignment="1">
      <alignment horizontal="center"/>
    </xf>
    <xf numFmtId="0" fontId="319" fillId="5" borderId="599" xfId="0" applyFont="1" applyFill="1" applyBorder="1" applyAlignment="1">
      <alignment horizontal="center"/>
    </xf>
    <xf numFmtId="0" fontId="319" fillId="5" borderId="606" xfId="0" applyFont="1" applyFill="1" applyBorder="1" applyAlignment="1">
      <alignment horizontal="center"/>
    </xf>
    <xf numFmtId="0" fontId="354" fillId="39" borderId="42" xfId="1" applyFont="1" applyFill="1" applyBorder="1" applyAlignment="1">
      <alignment horizontal="left" vertical="center"/>
    </xf>
    <xf numFmtId="0" fontId="354" fillId="39" borderId="0" xfId="1" applyFont="1" applyFill="1" applyAlignment="1">
      <alignment horizontal="left" vertical="center"/>
    </xf>
    <xf numFmtId="0" fontId="357" fillId="2" borderId="0" xfId="2" applyFont="1" applyFill="1" applyAlignment="1">
      <alignment horizontal="left" vertical="center"/>
    </xf>
    <xf numFmtId="0" fontId="219" fillId="5" borderId="0" xfId="1" applyFont="1" applyFill="1" applyAlignment="1">
      <alignment horizontal="left" vertical="center" wrapText="1"/>
    </xf>
    <xf numFmtId="0" fontId="319" fillId="5" borderId="222" xfId="0" applyFont="1" applyFill="1" applyBorder="1" applyAlignment="1">
      <alignment horizontal="center"/>
    </xf>
    <xf numFmtId="0" fontId="319" fillId="5" borderId="102" xfId="0" applyFont="1" applyFill="1" applyBorder="1" applyAlignment="1">
      <alignment horizontal="center"/>
    </xf>
    <xf numFmtId="0" fontId="319" fillId="5" borderId="223" xfId="0" applyFont="1" applyFill="1" applyBorder="1" applyAlignment="1">
      <alignment horizontal="center"/>
    </xf>
    <xf numFmtId="0" fontId="101" fillId="2" borderId="13" xfId="2" applyFont="1" applyFill="1" applyBorder="1" applyAlignment="1">
      <alignment horizontal="center" vertical="center" wrapText="1"/>
    </xf>
    <xf numFmtId="220" fontId="183" fillId="13" borderId="13" xfId="1" applyNumberFormat="1" applyFont="1" applyFill="1" applyBorder="1" applyAlignment="1" applyProtection="1">
      <alignment horizontal="center" vertical="center"/>
      <protection locked="0"/>
    </xf>
    <xf numFmtId="220" fontId="183" fillId="13" borderId="0" xfId="1" applyNumberFormat="1" applyFont="1" applyFill="1" applyAlignment="1" applyProtection="1">
      <alignment horizontal="center" vertical="center"/>
      <protection locked="0"/>
    </xf>
    <xf numFmtId="0" fontId="101" fillId="2" borderId="99" xfId="2" applyFont="1" applyFill="1" applyBorder="1" applyAlignment="1">
      <alignment horizontal="center" vertical="center" wrapText="1"/>
    </xf>
    <xf numFmtId="0" fontId="101" fillId="2" borderId="6" xfId="2" applyFont="1" applyFill="1" applyBorder="1" applyAlignment="1">
      <alignment horizontal="center" vertical="center" wrapText="1"/>
    </xf>
    <xf numFmtId="0" fontId="101" fillId="2" borderId="4" xfId="2" applyFont="1" applyFill="1" applyBorder="1" applyAlignment="1">
      <alignment horizontal="center" vertical="center" wrapText="1"/>
    </xf>
    <xf numFmtId="220" fontId="138" fillId="2" borderId="13" xfId="1" applyNumberFormat="1" applyFont="1" applyFill="1" applyBorder="1" applyAlignment="1" applyProtection="1">
      <alignment horizontal="center" vertical="center" wrapText="1"/>
      <protection locked="0"/>
    </xf>
    <xf numFmtId="220" fontId="138" fillId="2" borderId="4" xfId="1" applyNumberFormat="1" applyFont="1" applyFill="1" applyBorder="1" applyAlignment="1" applyProtection="1">
      <alignment horizontal="center" vertical="center" wrapText="1"/>
      <protection locked="0"/>
    </xf>
    <xf numFmtId="220" fontId="138" fillId="2" borderId="101" xfId="1" applyNumberFormat="1" applyFont="1" applyFill="1" applyBorder="1" applyAlignment="1" applyProtection="1">
      <alignment horizontal="center" vertical="center" wrapText="1"/>
      <protection locked="0"/>
    </xf>
    <xf numFmtId="220" fontId="138" fillId="2" borderId="1" xfId="1" applyNumberFormat="1" applyFont="1" applyFill="1" applyBorder="1" applyAlignment="1" applyProtection="1">
      <alignment horizontal="center" vertical="center" wrapText="1"/>
      <protection locked="0"/>
    </xf>
    <xf numFmtId="0" fontId="101" fillId="17" borderId="13" xfId="2" applyFont="1" applyFill="1" applyBorder="1" applyAlignment="1">
      <alignment horizontal="center" vertical="center"/>
    </xf>
    <xf numFmtId="0" fontId="101" fillId="17" borderId="0" xfId="2" applyFont="1" applyFill="1" applyAlignment="1">
      <alignment horizontal="center" vertical="center"/>
    </xf>
    <xf numFmtId="0" fontId="101" fillId="17" borderId="12" xfId="2" applyFont="1" applyFill="1" applyBorder="1" applyAlignment="1">
      <alignment horizontal="center" vertical="center"/>
    </xf>
    <xf numFmtId="0" fontId="166" fillId="2" borderId="13" xfId="2" applyFont="1" applyFill="1" applyBorder="1" applyAlignment="1">
      <alignment horizontal="center"/>
    </xf>
    <xf numFmtId="0" fontId="166" fillId="2" borderId="0" xfId="2" applyFont="1" applyFill="1" applyAlignment="1">
      <alignment horizontal="center"/>
    </xf>
    <xf numFmtId="0" fontId="166" fillId="2" borderId="12" xfId="2" applyFont="1" applyFill="1" applyBorder="1" applyAlignment="1">
      <alignment horizontal="center"/>
    </xf>
    <xf numFmtId="0" fontId="101" fillId="2" borderId="0" xfId="2" applyFont="1" applyFill="1" applyAlignment="1">
      <alignment horizontal="right" vertical="center"/>
    </xf>
    <xf numFmtId="0" fontId="78" fillId="2" borderId="13" xfId="2" applyFont="1" applyFill="1" applyBorder="1" applyAlignment="1">
      <alignment horizontal="center"/>
    </xf>
    <xf numFmtId="0" fontId="78" fillId="2" borderId="0" xfId="2" applyFont="1" applyFill="1" applyAlignment="1">
      <alignment horizontal="center"/>
    </xf>
    <xf numFmtId="0" fontId="78" fillId="2" borderId="12" xfId="2" applyFont="1" applyFill="1" applyBorder="1" applyAlignment="1">
      <alignment horizontal="center"/>
    </xf>
    <xf numFmtId="0" fontId="9" fillId="2" borderId="13" xfId="0" applyFont="1" applyFill="1" applyBorder="1" applyAlignment="1">
      <alignment horizontal="left"/>
    </xf>
    <xf numFmtId="0" fontId="9" fillId="2" borderId="0" xfId="0" applyFont="1" applyFill="1" applyAlignment="1">
      <alignment horizontal="left"/>
    </xf>
    <xf numFmtId="0" fontId="9" fillId="2" borderId="12" xfId="0" applyFont="1" applyFill="1" applyBorder="1" applyAlignment="1">
      <alignment horizontal="left"/>
    </xf>
    <xf numFmtId="0" fontId="101" fillId="2" borderId="13" xfId="2" applyFont="1" applyFill="1" applyBorder="1" applyAlignment="1">
      <alignment horizontal="center"/>
    </xf>
    <xf numFmtId="0" fontId="101" fillId="2" borderId="0" xfId="2" applyFont="1" applyFill="1" applyAlignment="1">
      <alignment horizontal="center"/>
    </xf>
    <xf numFmtId="0" fontId="101" fillId="2" borderId="12" xfId="2" applyFont="1" applyFill="1" applyBorder="1" applyAlignment="1">
      <alignment horizontal="center"/>
    </xf>
    <xf numFmtId="0" fontId="11" fillId="2" borderId="0" xfId="0" applyFont="1" applyFill="1" applyAlignment="1">
      <alignment horizontal="center" vertical="center" wrapText="1"/>
    </xf>
    <xf numFmtId="0" fontId="11" fillId="2" borderId="308" xfId="0" applyFont="1" applyFill="1" applyBorder="1" applyAlignment="1">
      <alignment horizontal="center" vertical="center" wrapText="1"/>
    </xf>
    <xf numFmtId="0" fontId="11" fillId="2" borderId="307" xfId="0" applyFont="1" applyFill="1" applyBorder="1" applyAlignment="1">
      <alignment horizontal="center" vertical="center" wrapText="1"/>
    </xf>
    <xf numFmtId="0" fontId="101" fillId="2" borderId="0" xfId="0" applyFont="1" applyFill="1" applyAlignment="1">
      <alignment horizontal="center" vertical="center" wrapText="1"/>
    </xf>
    <xf numFmtId="0" fontId="101" fillId="2" borderId="8" xfId="0" applyFont="1" applyFill="1" applyBorder="1" applyAlignment="1">
      <alignment horizontal="center" vertical="center"/>
    </xf>
    <xf numFmtId="0" fontId="101" fillId="2" borderId="6" xfId="0" applyFont="1" applyFill="1" applyBorder="1" applyAlignment="1">
      <alignment horizontal="center" vertical="center"/>
    </xf>
    <xf numFmtId="220" fontId="278" fillId="13" borderId="307" xfId="1" applyNumberFormat="1" applyFont="1" applyFill="1" applyBorder="1" applyAlignment="1" applyProtection="1">
      <alignment horizontal="center" vertical="center"/>
      <protection locked="0"/>
    </xf>
    <xf numFmtId="220" fontId="278" fillId="13" borderId="306" xfId="1" applyNumberFormat="1" applyFont="1" applyFill="1" applyBorder="1" applyAlignment="1" applyProtection="1">
      <alignment horizontal="center" vertical="center"/>
      <protection locked="0"/>
    </xf>
    <xf numFmtId="220" fontId="138" fillId="2" borderId="5" xfId="1" applyNumberFormat="1" applyFont="1" applyFill="1" applyBorder="1" applyAlignment="1" applyProtection="1">
      <alignment horizontal="center" vertical="center"/>
      <protection locked="0"/>
    </xf>
    <xf numFmtId="220" fontId="138" fillId="2" borderId="4" xfId="1" applyNumberFormat="1" applyFont="1" applyFill="1" applyBorder="1" applyAlignment="1" applyProtection="1">
      <alignment horizontal="center" vertical="center"/>
      <protection locked="0"/>
    </xf>
    <xf numFmtId="220" fontId="138" fillId="2" borderId="3" xfId="1" applyNumberFormat="1" applyFont="1" applyFill="1" applyBorder="1" applyAlignment="1" applyProtection="1">
      <alignment horizontal="center" vertical="center"/>
      <protection locked="0"/>
    </xf>
    <xf numFmtId="220" fontId="138" fillId="2" borderId="1" xfId="1" applyNumberFormat="1" applyFont="1" applyFill="1" applyBorder="1" applyAlignment="1" applyProtection="1">
      <alignment horizontal="center" vertical="center"/>
      <protection locked="0"/>
    </xf>
    <xf numFmtId="0" fontId="16" fillId="39" borderId="316" xfId="0" applyFont="1" applyFill="1" applyBorder="1" applyAlignment="1">
      <alignment horizontal="center" vertical="center"/>
    </xf>
    <xf numFmtId="0" fontId="16" fillId="39" borderId="0" xfId="0" applyFont="1" applyFill="1" applyAlignment="1">
      <alignment horizontal="center" vertical="center"/>
    </xf>
    <xf numFmtId="0" fontId="16" fillId="39" borderId="12" xfId="0" applyFont="1" applyFill="1" applyBorder="1" applyAlignment="1">
      <alignment horizontal="center" vertical="center"/>
    </xf>
    <xf numFmtId="0" fontId="11" fillId="0" borderId="259" xfId="0" applyFont="1" applyBorder="1" applyAlignment="1">
      <alignment horizontal="center" vertical="center" wrapText="1"/>
    </xf>
    <xf numFmtId="0" fontId="11" fillId="0" borderId="248" xfId="0" applyFont="1" applyBorder="1" applyAlignment="1">
      <alignment horizontal="center" vertical="center" wrapText="1"/>
    </xf>
    <xf numFmtId="0" fontId="11" fillId="0" borderId="253" xfId="0" applyFont="1" applyBorder="1" applyAlignment="1">
      <alignment horizontal="center" vertical="center" wrapText="1"/>
    </xf>
    <xf numFmtId="0" fontId="0" fillId="0" borderId="298" xfId="0" applyBorder="1" applyAlignment="1">
      <alignment horizontal="left" vertical="center"/>
    </xf>
    <xf numFmtId="0" fontId="0" fillId="0" borderId="299" xfId="0" applyBorder="1" applyAlignment="1">
      <alignment horizontal="left" vertical="center"/>
    </xf>
    <xf numFmtId="0" fontId="0" fillId="0" borderId="302" xfId="0" applyBorder="1" applyAlignment="1">
      <alignment horizontal="left" vertical="center"/>
    </xf>
    <xf numFmtId="0" fontId="0" fillId="0" borderId="303" xfId="0" applyBorder="1" applyAlignment="1">
      <alignment horizontal="left" vertical="center"/>
    </xf>
    <xf numFmtId="0" fontId="0" fillId="0" borderId="304" xfId="0" applyBorder="1" applyAlignment="1">
      <alignment horizontal="left" vertical="center"/>
    </xf>
    <xf numFmtId="0" fontId="0" fillId="0" borderId="305" xfId="0" applyBorder="1" applyAlignment="1">
      <alignment horizontal="left" vertical="center"/>
    </xf>
    <xf numFmtId="0" fontId="0" fillId="0" borderId="260" xfId="0" applyBorder="1" applyAlignment="1">
      <alignment horizontal="right" vertical="center"/>
    </xf>
    <xf numFmtId="0" fontId="0" fillId="0" borderId="261" xfId="0" applyBorder="1" applyAlignment="1">
      <alignment horizontal="right" vertical="center"/>
    </xf>
    <xf numFmtId="0" fontId="0" fillId="0" borderId="265" xfId="0" applyBorder="1" applyAlignment="1">
      <alignment horizontal="right" vertical="center"/>
    </xf>
    <xf numFmtId="0" fontId="0" fillId="0" borderId="266" xfId="0" applyBorder="1" applyAlignment="1">
      <alignment horizontal="right" vertical="center"/>
    </xf>
    <xf numFmtId="0" fontId="0" fillId="0" borderId="271" xfId="0" applyBorder="1" applyAlignment="1">
      <alignment horizontal="right" vertical="center"/>
    </xf>
    <xf numFmtId="0" fontId="0" fillId="0" borderId="272" xfId="0" applyBorder="1" applyAlignment="1">
      <alignment horizontal="right" vertical="center"/>
    </xf>
    <xf numFmtId="0" fontId="198" fillId="72" borderId="13" xfId="4" applyFont="1" applyFill="1" applyBorder="1" applyAlignment="1" applyProtection="1">
      <alignment horizontal="center" vertical="center"/>
      <protection locked="0"/>
    </xf>
    <xf numFmtId="0" fontId="198" fillId="72" borderId="0" xfId="4" applyFont="1" applyFill="1" applyAlignment="1" applyProtection="1">
      <alignment horizontal="center" vertical="center"/>
      <protection locked="0"/>
    </xf>
    <xf numFmtId="0" fontId="198" fillId="72" borderId="12" xfId="4" applyFont="1" applyFill="1" applyBorder="1" applyAlignment="1" applyProtection="1">
      <alignment horizontal="center" vertical="center"/>
      <protection locked="0"/>
    </xf>
    <xf numFmtId="0" fontId="11" fillId="2" borderId="36" xfId="0" applyFont="1" applyFill="1" applyBorder="1" applyAlignment="1">
      <alignment horizontal="center" vertical="center"/>
    </xf>
    <xf numFmtId="0" fontId="11" fillId="80" borderId="0" xfId="0" applyFont="1" applyFill="1" applyAlignment="1">
      <alignment horizontal="center" vertical="center"/>
    </xf>
    <xf numFmtId="0" fontId="11" fillId="79" borderId="136" xfId="0" applyFont="1" applyFill="1" applyBorder="1" applyAlignment="1">
      <alignment horizontal="center" vertical="center"/>
    </xf>
    <xf numFmtId="0" fontId="11" fillId="79" borderId="266" xfId="0" applyFont="1" applyFill="1" applyBorder="1" applyAlignment="1">
      <alignment horizontal="center" vertical="center"/>
    </xf>
    <xf numFmtId="0" fontId="11" fillId="79" borderId="314" xfId="0" applyFont="1" applyFill="1" applyBorder="1" applyAlignment="1">
      <alignment horizontal="center" vertical="center"/>
    </xf>
    <xf numFmtId="0" fontId="11" fillId="0" borderId="243" xfId="0" applyFont="1" applyBorder="1" applyAlignment="1">
      <alignment horizontal="center" vertical="center" wrapText="1"/>
    </xf>
    <xf numFmtId="0" fontId="0" fillId="0" borderId="244" xfId="0" applyBorder="1" applyAlignment="1">
      <alignment horizontal="left"/>
    </xf>
    <xf numFmtId="0" fontId="0" fillId="0" borderId="36" xfId="0" applyBorder="1" applyAlignment="1">
      <alignment horizontal="left"/>
    </xf>
    <xf numFmtId="0" fontId="0" fillId="0" borderId="245" xfId="0" applyBorder="1" applyAlignment="1">
      <alignment horizontal="left"/>
    </xf>
    <xf numFmtId="0" fontId="0" fillId="0" borderId="249" xfId="0" applyBorder="1" applyAlignment="1">
      <alignment horizontal="left"/>
    </xf>
    <xf numFmtId="0" fontId="0" fillId="0" borderId="0" xfId="0" applyAlignment="1">
      <alignment horizontal="left"/>
    </xf>
    <xf numFmtId="0" fontId="0" fillId="0" borderId="250" xfId="0" applyBorder="1" applyAlignment="1">
      <alignment horizontal="left"/>
    </xf>
    <xf numFmtId="0" fontId="0" fillId="0" borderId="254" xfId="0" applyBorder="1" applyAlignment="1">
      <alignment horizontal="left"/>
    </xf>
    <xf numFmtId="0" fontId="0" fillId="0" borderId="255" xfId="0" applyBorder="1" applyAlignment="1">
      <alignment horizontal="left"/>
    </xf>
    <xf numFmtId="0" fontId="0" fillId="0" borderId="256" xfId="0" applyBorder="1" applyAlignment="1">
      <alignment horizontal="left"/>
    </xf>
    <xf numFmtId="0" fontId="0" fillId="0" borderId="262" xfId="0" applyBorder="1" applyAlignment="1">
      <alignment horizontal="right" vertical="center"/>
    </xf>
    <xf numFmtId="0" fontId="0" fillId="0" borderId="267" xfId="0" applyBorder="1" applyAlignment="1">
      <alignment horizontal="right" vertical="center"/>
    </xf>
    <xf numFmtId="0" fontId="0" fillId="0" borderId="273" xfId="0" applyBorder="1" applyAlignment="1">
      <alignment horizontal="right" vertical="center"/>
    </xf>
    <xf numFmtId="0" fontId="101" fillId="2" borderId="36" xfId="0" applyFont="1" applyFill="1" applyBorder="1" applyAlignment="1">
      <alignment horizontal="center" vertical="center"/>
    </xf>
    <xf numFmtId="0" fontId="189" fillId="13" borderId="313" xfId="2" applyFont="1" applyFill="1" applyBorder="1" applyAlignment="1">
      <alignment horizontal="center" vertical="center"/>
    </xf>
    <xf numFmtId="0" fontId="189" fillId="13" borderId="158" xfId="2" applyFont="1" applyFill="1" applyBorder="1" applyAlignment="1">
      <alignment horizontal="center" vertical="center"/>
    </xf>
    <xf numFmtId="0" fontId="189" fillId="13" borderId="312" xfId="2" applyFont="1" applyFill="1" applyBorder="1" applyAlignment="1">
      <alignment horizontal="center" vertical="center"/>
    </xf>
    <xf numFmtId="176" fontId="189" fillId="13" borderId="10" xfId="1" applyNumberFormat="1" applyFont="1" applyFill="1" applyBorder="1" applyAlignment="1" applyProtection="1">
      <alignment horizontal="center" vertical="center"/>
      <protection locked="0"/>
    </xf>
    <xf numFmtId="0" fontId="278" fillId="2" borderId="0" xfId="0" quotePrefix="1" applyFont="1" applyFill="1" applyAlignment="1">
      <alignment horizontal="center" vertical="center"/>
    </xf>
    <xf numFmtId="176" fontId="138" fillId="2" borderId="0" xfId="1" applyNumberFormat="1" applyFont="1" applyFill="1" applyAlignment="1" applyProtection="1">
      <alignment horizontal="center" vertical="center"/>
      <protection locked="0"/>
    </xf>
    <xf numFmtId="0" fontId="137" fillId="2" borderId="0" xfId="0" quotePrefix="1" applyFont="1" applyFill="1" applyAlignment="1">
      <alignment horizontal="left" vertical="center"/>
    </xf>
    <xf numFmtId="0" fontId="78" fillId="2" borderId="0" xfId="0" applyFont="1" applyFill="1" applyAlignment="1">
      <alignment horizontal="left" vertical="center"/>
    </xf>
    <xf numFmtId="0" fontId="202" fillId="0" borderId="18" xfId="17" applyFont="1" applyBorder="1" applyAlignment="1">
      <alignment horizontal="left" vertical="center"/>
    </xf>
    <xf numFmtId="0" fontId="362" fillId="13" borderId="36" xfId="0" applyFont="1" applyFill="1" applyBorder="1" applyAlignment="1">
      <alignment horizontal="center" vertical="center"/>
    </xf>
    <xf numFmtId="0" fontId="137" fillId="2" borderId="10" xfId="0" quotePrefix="1" applyFont="1" applyFill="1" applyBorder="1" applyAlignment="1">
      <alignment horizontal="center" vertical="center"/>
    </xf>
    <xf numFmtId="0" fontId="137" fillId="2" borderId="36" xfId="0" quotePrefix="1" applyFont="1" applyFill="1" applyBorder="1" applyAlignment="1">
      <alignment horizontal="center" vertical="center"/>
    </xf>
    <xf numFmtId="0" fontId="11" fillId="80" borderId="136" xfId="0" applyFont="1" applyFill="1" applyBorder="1" applyAlignment="1">
      <alignment horizontal="center" vertical="center"/>
    </xf>
    <xf numFmtId="0" fontId="11" fillId="80" borderId="266" xfId="0" applyFont="1" applyFill="1" applyBorder="1" applyAlignment="1">
      <alignment horizontal="center" vertical="center"/>
    </xf>
    <xf numFmtId="0" fontId="11" fillId="80" borderId="314" xfId="0" applyFont="1" applyFill="1" applyBorder="1" applyAlignment="1">
      <alignment horizontal="center" vertical="center"/>
    </xf>
    <xf numFmtId="174" fontId="101" fillId="2" borderId="0" xfId="1" applyNumberFormat="1" applyFont="1" applyFill="1" applyAlignment="1" applyProtection="1">
      <alignment horizontal="center" vertical="center"/>
      <protection locked="0"/>
    </xf>
    <xf numFmtId="0" fontId="56" fillId="2" borderId="356" xfId="0" applyFont="1" applyFill="1" applyBorder="1" applyAlignment="1">
      <alignment horizontal="center" vertical="center" wrapText="1"/>
    </xf>
    <xf numFmtId="0" fontId="56" fillId="2" borderId="358" xfId="0" applyFont="1" applyFill="1" applyBorder="1" applyAlignment="1">
      <alignment horizontal="center" vertical="center" wrapText="1"/>
    </xf>
    <xf numFmtId="0" fontId="56" fillId="2" borderId="289" xfId="0" applyFont="1" applyFill="1" applyBorder="1" applyAlignment="1">
      <alignment horizontal="center" vertical="center" wrapText="1"/>
    </xf>
    <xf numFmtId="0" fontId="56" fillId="2" borderId="347" xfId="0" applyFont="1" applyFill="1" applyBorder="1" applyAlignment="1">
      <alignment horizontal="center" vertical="center" wrapText="1"/>
    </xf>
    <xf numFmtId="0" fontId="0" fillId="80" borderId="359" xfId="0" applyFill="1" applyBorder="1" applyAlignment="1">
      <alignment horizontal="center" vertical="center"/>
    </xf>
    <xf numFmtId="0" fontId="0" fillId="80" borderId="249" xfId="0" applyFill="1" applyBorder="1" applyAlignment="1">
      <alignment horizontal="center" vertical="center"/>
    </xf>
    <xf numFmtId="0" fontId="0" fillId="80" borderId="350" xfId="0" applyFill="1" applyBorder="1" applyAlignment="1">
      <alignment horizontal="center" vertical="center"/>
    </xf>
    <xf numFmtId="0" fontId="197" fillId="79" borderId="356" xfId="0" applyFont="1" applyFill="1" applyBorder="1" applyAlignment="1">
      <alignment horizontal="center" vertical="center" wrapText="1"/>
    </xf>
    <xf numFmtId="0" fontId="197" fillId="79" borderId="381" xfId="0" applyFont="1" applyFill="1" applyBorder="1" applyAlignment="1">
      <alignment horizontal="center" vertical="center" wrapText="1"/>
    </xf>
    <xf numFmtId="0" fontId="197" fillId="79" borderId="289" xfId="0" applyFont="1" applyFill="1" applyBorder="1" applyAlignment="1">
      <alignment horizontal="center" vertical="center" wrapText="1"/>
    </xf>
    <xf numFmtId="0" fontId="197" fillId="79" borderId="250" xfId="0" applyFont="1" applyFill="1" applyBorder="1" applyAlignment="1">
      <alignment horizontal="center" vertical="center" wrapText="1"/>
    </xf>
    <xf numFmtId="0" fontId="252" fillId="0" borderId="357" xfId="0" applyFont="1" applyBorder="1" applyAlignment="1">
      <alignment horizontal="center" vertical="center" wrapText="1"/>
    </xf>
    <xf numFmtId="0" fontId="252" fillId="0" borderId="0" xfId="0" applyFont="1" applyAlignment="1">
      <alignment horizontal="center" vertical="center" wrapText="1"/>
    </xf>
    <xf numFmtId="0" fontId="252" fillId="0" borderId="10" xfId="0" applyFont="1" applyBorder="1" applyAlignment="1">
      <alignment horizontal="center" vertical="center" wrapText="1"/>
    </xf>
    <xf numFmtId="0" fontId="0" fillId="80" borderId="357" xfId="0" applyFill="1" applyBorder="1" applyAlignment="1">
      <alignment horizontal="center" vertical="center"/>
    </xf>
    <xf numFmtId="0" fontId="0" fillId="80" borderId="0" xfId="0" applyFill="1" applyAlignment="1">
      <alignment horizontal="center" vertical="center"/>
    </xf>
    <xf numFmtId="0" fontId="0" fillId="80" borderId="10" xfId="0" applyFill="1" applyBorder="1" applyAlignment="1">
      <alignment horizontal="center" vertical="center"/>
    </xf>
    <xf numFmtId="0" fontId="56" fillId="2" borderId="381" xfId="0" applyFont="1" applyFill="1" applyBorder="1" applyAlignment="1">
      <alignment horizontal="center" vertical="center" wrapText="1"/>
    </xf>
    <xf numFmtId="0" fontId="56" fillId="2" borderId="250" xfId="0" applyFont="1" applyFill="1" applyBorder="1" applyAlignment="1">
      <alignment horizontal="center" vertical="center" wrapText="1"/>
    </xf>
    <xf numFmtId="0" fontId="0" fillId="80" borderId="254" xfId="0" applyFill="1" applyBorder="1" applyAlignment="1">
      <alignment horizontal="center" vertical="center"/>
    </xf>
    <xf numFmtId="0" fontId="11" fillId="0" borderId="36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388" xfId="0" applyFont="1" applyBorder="1" applyAlignment="1">
      <alignment horizontal="center" vertical="center" wrapText="1"/>
    </xf>
    <xf numFmtId="0" fontId="252" fillId="0" borderId="316" xfId="0" applyFont="1" applyBorder="1" applyAlignment="1">
      <alignment horizontal="center" vertical="center" wrapText="1"/>
    </xf>
    <xf numFmtId="0" fontId="252" fillId="0" borderId="384" xfId="0" applyFont="1" applyBorder="1" applyAlignment="1">
      <alignment horizontal="center" vertical="center" wrapText="1"/>
    </xf>
    <xf numFmtId="0" fontId="252" fillId="0" borderId="348" xfId="0" applyFont="1" applyBorder="1" applyAlignment="1">
      <alignment horizontal="center" vertical="center" wrapText="1"/>
    </xf>
    <xf numFmtId="0" fontId="11" fillId="33" borderId="13" xfId="0" applyFont="1" applyFill="1" applyBorder="1" applyAlignment="1">
      <alignment horizontal="center" vertical="center"/>
    </xf>
    <xf numFmtId="0" fontId="11" fillId="33" borderId="0" xfId="0" applyFont="1" applyFill="1" applyAlignment="1">
      <alignment horizontal="center" vertical="center"/>
    </xf>
    <xf numFmtId="0" fontId="11" fillId="33" borderId="12" xfId="0" applyFont="1" applyFill="1" applyBorder="1" applyAlignment="1">
      <alignment horizontal="center" vertical="center"/>
    </xf>
    <xf numFmtId="0" fontId="360" fillId="2" borderId="0" xfId="0" applyFont="1" applyFill="1" applyAlignment="1">
      <alignment horizontal="left" vertical="center"/>
    </xf>
    <xf numFmtId="176" fontId="189" fillId="13" borderId="0" xfId="1" applyNumberFormat="1" applyFont="1" applyFill="1" applyAlignment="1" applyProtection="1">
      <alignment horizontal="center" vertical="center"/>
      <protection locked="0"/>
    </xf>
    <xf numFmtId="0" fontId="362" fillId="13" borderId="36" xfId="0" applyFont="1" applyFill="1" applyBorder="1" applyAlignment="1">
      <alignment horizontal="center"/>
    </xf>
    <xf numFmtId="211" fontId="138" fillId="2" borderId="0" xfId="1" applyNumberFormat="1" applyFont="1" applyFill="1" applyAlignment="1" applyProtection="1">
      <alignment horizontal="left" vertical="center"/>
      <protection locked="0"/>
    </xf>
    <xf numFmtId="176" fontId="101" fillId="2" borderId="0" xfId="1" applyNumberFormat="1" applyFont="1" applyFill="1" applyAlignment="1" applyProtection="1">
      <alignment horizontal="left" vertical="center"/>
      <protection locked="0"/>
    </xf>
    <xf numFmtId="176" fontId="189" fillId="13" borderId="36" xfId="1" applyNumberFormat="1" applyFont="1" applyFill="1" applyBorder="1" applyAlignment="1" applyProtection="1">
      <alignment horizontal="center" vertical="center"/>
      <protection locked="0"/>
    </xf>
    <xf numFmtId="0" fontId="189" fillId="13" borderId="313" xfId="2" applyFont="1" applyFill="1" applyBorder="1" applyAlignment="1">
      <alignment horizontal="center" vertical="center" wrapText="1"/>
    </xf>
    <xf numFmtId="0" fontId="189" fillId="13" borderId="158" xfId="2" applyFont="1" applyFill="1" applyBorder="1" applyAlignment="1">
      <alignment horizontal="center" vertical="center" wrapText="1"/>
    </xf>
    <xf numFmtId="0" fontId="189" fillId="13" borderId="312" xfId="2" applyFont="1" applyFill="1" applyBorder="1" applyAlignment="1">
      <alignment horizontal="center" vertical="center" wrapText="1"/>
    </xf>
    <xf numFmtId="0" fontId="0" fillId="2" borderId="0" xfId="0" applyFill="1" applyAlignment="1">
      <alignment horizontal="center" vertical="center"/>
    </xf>
    <xf numFmtId="0" fontId="0" fillId="0" borderId="0" xfId="0" applyAlignment="1">
      <alignment horizontal="left" vertical="center" wrapText="1"/>
    </xf>
    <xf numFmtId="0" fontId="0" fillId="0" borderId="12" xfId="0" applyBorder="1" applyAlignment="1">
      <alignment horizontal="left" vertical="center" wrapText="1"/>
    </xf>
    <xf numFmtId="0" fontId="356" fillId="2" borderId="0" xfId="17" applyFont="1" applyFill="1" applyAlignment="1">
      <alignment horizontal="left" vertical="center"/>
    </xf>
    <xf numFmtId="0" fontId="0" fillId="8" borderId="359" xfId="0" applyFill="1" applyBorder="1" applyAlignment="1">
      <alignment horizontal="center" vertical="center" wrapText="1"/>
    </xf>
    <xf numFmtId="0" fontId="0" fillId="8" borderId="375" xfId="0" applyFill="1" applyBorder="1" applyAlignment="1">
      <alignment horizontal="center" vertical="center" wrapText="1"/>
    </xf>
    <xf numFmtId="0" fontId="11" fillId="13" borderId="357" xfId="0" applyFont="1" applyFill="1" applyBorder="1" applyAlignment="1">
      <alignment horizontal="center"/>
    </xf>
    <xf numFmtId="0" fontId="11" fillId="13" borderId="358" xfId="0" applyFont="1" applyFill="1" applyBorder="1" applyAlignment="1">
      <alignment horizontal="center"/>
    </xf>
    <xf numFmtId="186" fontId="278" fillId="13" borderId="371" xfId="0" applyNumberFormat="1" applyFont="1" applyFill="1" applyBorder="1" applyAlignment="1">
      <alignment horizontal="center" vertical="center"/>
    </xf>
    <xf numFmtId="186" fontId="278" fillId="13" borderId="372" xfId="0" applyNumberFormat="1" applyFont="1" applyFill="1" applyBorder="1" applyAlignment="1">
      <alignment horizontal="center" vertical="center"/>
    </xf>
    <xf numFmtId="186" fontId="278" fillId="13" borderId="373" xfId="0" applyNumberFormat="1" applyFont="1" applyFill="1" applyBorder="1" applyAlignment="1">
      <alignment horizontal="center" vertical="center"/>
    </xf>
    <xf numFmtId="186" fontId="278" fillId="13" borderId="374" xfId="0" applyNumberFormat="1" applyFont="1" applyFill="1" applyBorder="1" applyAlignment="1">
      <alignment horizontal="center" vertical="center"/>
    </xf>
    <xf numFmtId="0" fontId="278" fillId="13" borderId="289" xfId="0" applyFont="1" applyFill="1" applyBorder="1" applyAlignment="1">
      <alignment horizontal="center" vertical="center" wrapText="1"/>
    </xf>
    <xf numFmtId="0" fontId="278" fillId="13" borderId="250" xfId="0" applyFont="1" applyFill="1" applyBorder="1" applyAlignment="1">
      <alignment horizontal="center" vertical="center" wrapText="1"/>
    </xf>
    <xf numFmtId="0" fontId="278" fillId="13" borderId="371" xfId="0" applyFont="1" applyFill="1" applyBorder="1" applyAlignment="1">
      <alignment horizontal="center" vertical="center" wrapText="1"/>
    </xf>
    <xf numFmtId="0" fontId="278" fillId="13" borderId="349" xfId="0" applyFont="1" applyFill="1" applyBorder="1" applyAlignment="1">
      <alignment horizontal="center" vertical="center" wrapText="1"/>
    </xf>
    <xf numFmtId="0" fontId="278" fillId="13" borderId="0" xfId="0" applyFont="1" applyFill="1" applyAlignment="1">
      <alignment horizontal="center" vertical="center" wrapText="1"/>
    </xf>
    <xf numFmtId="0" fontId="121" fillId="0" borderId="327" xfId="0" applyFont="1" applyBorder="1" applyAlignment="1">
      <alignment horizontal="center" vertical="center"/>
    </xf>
    <xf numFmtId="0" fontId="121" fillId="0" borderId="325" xfId="0" applyFont="1" applyBorder="1" applyAlignment="1">
      <alignment horizontal="center" vertical="center"/>
    </xf>
    <xf numFmtId="0" fontId="121" fillId="0" borderId="316" xfId="0" applyFont="1" applyBorder="1" applyAlignment="1">
      <alignment horizontal="center" vertical="center"/>
    </xf>
    <xf numFmtId="0" fontId="121" fillId="0" borderId="0" xfId="0" applyFont="1" applyAlignment="1">
      <alignment horizontal="center" vertical="center"/>
    </xf>
    <xf numFmtId="0" fontId="0" fillId="8" borderId="370" xfId="0" applyFill="1" applyBorder="1" applyAlignment="1">
      <alignment horizontal="center" vertical="center" wrapText="1"/>
    </xf>
    <xf numFmtId="0" fontId="0" fillId="8" borderId="250" xfId="0" applyFill="1" applyBorder="1" applyAlignment="1">
      <alignment horizontal="center" vertical="center" wrapText="1"/>
    </xf>
    <xf numFmtId="0" fontId="11" fillId="13" borderId="356" xfId="0" applyFont="1" applyFill="1" applyBorder="1" applyAlignment="1">
      <alignment horizontal="center" vertical="center" wrapText="1"/>
    </xf>
    <xf numFmtId="0" fontId="11" fillId="13" borderId="358" xfId="0" applyFont="1" applyFill="1" applyBorder="1" applyAlignment="1">
      <alignment horizontal="center" vertical="center" wrapText="1"/>
    </xf>
    <xf numFmtId="0" fontId="11" fillId="13" borderId="289" xfId="0" applyFont="1" applyFill="1" applyBorder="1" applyAlignment="1">
      <alignment horizontal="center" vertical="center" wrapText="1"/>
    </xf>
    <xf numFmtId="0" fontId="11" fillId="13" borderId="347" xfId="0" applyFont="1" applyFill="1" applyBorder="1" applyAlignment="1">
      <alignment horizontal="center" vertical="center" wrapText="1"/>
    </xf>
    <xf numFmtId="0" fontId="0" fillId="8" borderId="377" xfId="0" applyFill="1" applyBorder="1" applyAlignment="1">
      <alignment horizontal="center" vertical="center" wrapText="1"/>
    </xf>
    <xf numFmtId="0" fontId="0" fillId="8" borderId="249" xfId="0" applyFill="1" applyBorder="1" applyAlignment="1">
      <alignment horizontal="center" vertical="center" wrapText="1"/>
    </xf>
    <xf numFmtId="0" fontId="0" fillId="8" borderId="350" xfId="0" applyFill="1" applyBorder="1" applyAlignment="1">
      <alignment horizontal="center" vertical="center" wrapText="1"/>
    </xf>
    <xf numFmtId="0" fontId="383" fillId="0" borderId="36" xfId="0" applyFont="1" applyBorder="1" applyAlignment="1">
      <alignment horizontal="center" vertical="center"/>
    </xf>
    <xf numFmtId="0" fontId="383" fillId="0" borderId="35" xfId="0" applyFont="1" applyBorder="1" applyAlignment="1">
      <alignment horizontal="center" vertical="center"/>
    </xf>
    <xf numFmtId="0" fontId="383" fillId="0" borderId="10" xfId="0" applyFont="1" applyBorder="1" applyAlignment="1">
      <alignment horizontal="center" vertical="center"/>
    </xf>
    <xf numFmtId="0" fontId="383" fillId="0" borderId="9" xfId="0" applyFont="1" applyBorder="1" applyAlignment="1">
      <alignment horizontal="center" vertical="center"/>
    </xf>
    <xf numFmtId="0" fontId="0" fillId="76" borderId="290" xfId="0" applyFill="1" applyBorder="1" applyAlignment="1">
      <alignment horizontal="right" vertical="center"/>
    </xf>
    <xf numFmtId="0" fontId="0" fillId="76" borderId="291" xfId="0" applyFill="1" applyBorder="1" applyAlignment="1">
      <alignment horizontal="right" vertical="center"/>
    </xf>
    <xf numFmtId="0" fontId="0" fillId="76" borderId="292" xfId="0" applyFill="1" applyBorder="1" applyAlignment="1">
      <alignment horizontal="right" vertical="center"/>
    </xf>
    <xf numFmtId="0" fontId="0" fillId="78" borderId="293" xfId="0" applyFill="1" applyBorder="1" applyAlignment="1">
      <alignment horizontal="right"/>
    </xf>
    <xf numFmtId="0" fontId="0" fillId="78" borderId="294" xfId="0" applyFill="1" applyBorder="1" applyAlignment="1">
      <alignment horizontal="right"/>
    </xf>
    <xf numFmtId="0" fontId="0" fillId="78" borderId="295" xfId="0" applyFill="1" applyBorder="1" applyAlignment="1">
      <alignment horizontal="right"/>
    </xf>
    <xf numFmtId="0" fontId="0" fillId="75" borderId="278" xfId="0" applyFill="1" applyBorder="1" applyAlignment="1">
      <alignment horizontal="left" vertical="center"/>
    </xf>
    <xf numFmtId="0" fontId="0" fillId="75" borderId="279" xfId="0" applyFill="1" applyBorder="1" applyAlignment="1">
      <alignment horizontal="left" vertical="center"/>
    </xf>
    <xf numFmtId="0" fontId="0" fillId="75" borderId="280" xfId="0" applyFill="1" applyBorder="1" applyAlignment="1">
      <alignment horizontal="left" vertical="center"/>
    </xf>
    <xf numFmtId="0" fontId="0" fillId="75" borderId="283" xfId="0" applyFill="1" applyBorder="1" applyAlignment="1">
      <alignment horizontal="left" vertical="center"/>
    </xf>
    <xf numFmtId="0" fontId="0" fillId="75" borderId="284" xfId="0" applyFill="1" applyBorder="1" applyAlignment="1">
      <alignment horizontal="left" vertical="center"/>
    </xf>
    <xf numFmtId="0" fontId="0" fillId="75" borderId="285" xfId="0" applyFill="1" applyBorder="1" applyAlignment="1">
      <alignment horizontal="left" vertical="center"/>
    </xf>
    <xf numFmtId="0" fontId="0" fillId="0" borderId="36" xfId="0" applyBorder="1" applyAlignment="1">
      <alignment horizontal="center"/>
    </xf>
    <xf numFmtId="0" fontId="0" fillId="2" borderId="36" xfId="0" applyFill="1" applyBorder="1" applyAlignment="1">
      <alignment horizontal="center"/>
    </xf>
    <xf numFmtId="0" fontId="138" fillId="0" borderId="0" xfId="0" applyFont="1" applyAlignment="1">
      <alignment horizontal="left" vertical="center"/>
    </xf>
    <xf numFmtId="0" fontId="321" fillId="2" borderId="0" xfId="2" applyFont="1" applyFill="1" applyAlignment="1">
      <alignment horizontal="left" vertical="center" wrapText="1"/>
    </xf>
    <xf numFmtId="0" fontId="0" fillId="76" borderId="289" xfId="0" applyFill="1" applyBorder="1" applyAlignment="1">
      <alignment horizontal="right" vertical="center"/>
    </xf>
    <xf numFmtId="0" fontId="0" fillId="76" borderId="0" xfId="0" applyFill="1" applyAlignment="1">
      <alignment horizontal="right" vertical="center"/>
    </xf>
    <xf numFmtId="0" fontId="0" fillId="76" borderId="250" xfId="0" applyFill="1" applyBorder="1" applyAlignment="1">
      <alignment horizontal="right" vertical="center"/>
    </xf>
    <xf numFmtId="0" fontId="0" fillId="0" borderId="277" xfId="0" applyBorder="1" applyAlignment="1">
      <alignment horizontal="center" vertical="center"/>
    </xf>
    <xf numFmtId="0" fontId="157" fillId="62" borderId="12" xfId="2" applyFont="1" applyFill="1" applyBorder="1" applyAlignment="1">
      <alignment horizontal="center" vertical="center" textRotation="90" wrapText="1"/>
    </xf>
    <xf numFmtId="0" fontId="11" fillId="0" borderId="37" xfId="0" applyFont="1" applyBorder="1" applyAlignment="1">
      <alignment horizontal="center" vertical="center"/>
    </xf>
    <xf numFmtId="0" fontId="11" fillId="0" borderId="36" xfId="0" applyFont="1" applyBorder="1" applyAlignment="1">
      <alignment horizontal="center" vertical="center"/>
    </xf>
    <xf numFmtId="0" fontId="11" fillId="0" borderId="245" xfId="0" applyFont="1" applyBorder="1" applyAlignment="1">
      <alignment horizontal="center" vertical="center"/>
    </xf>
    <xf numFmtId="0" fontId="11" fillId="0" borderId="346" xfId="0" applyFont="1" applyBorder="1" applyAlignment="1">
      <alignment horizontal="center" vertical="center"/>
    </xf>
    <xf numFmtId="0" fontId="11" fillId="0" borderId="255" xfId="0" applyFont="1" applyBorder="1" applyAlignment="1">
      <alignment horizontal="center" vertical="center"/>
    </xf>
    <xf numFmtId="0" fontId="11" fillId="0" borderId="256" xfId="0" applyFont="1" applyBorder="1" applyAlignment="1">
      <alignment horizontal="center" vertical="center"/>
    </xf>
    <xf numFmtId="0" fontId="137" fillId="2" borderId="342" xfId="0" applyFont="1" applyFill="1" applyBorder="1" applyAlignment="1">
      <alignment horizontal="center"/>
    </xf>
    <xf numFmtId="0" fontId="137" fillId="2" borderId="343" xfId="0" applyFont="1" applyFill="1" applyBorder="1" applyAlignment="1">
      <alignment horizontal="center"/>
    </xf>
    <xf numFmtId="0" fontId="137" fillId="2" borderId="344" xfId="0" applyFont="1" applyFill="1" applyBorder="1" applyAlignment="1">
      <alignment horizontal="center"/>
    </xf>
    <xf numFmtId="0" fontId="137" fillId="2" borderId="289" xfId="0" applyFont="1" applyFill="1" applyBorder="1" applyAlignment="1">
      <alignment horizontal="center"/>
    </xf>
    <xf numFmtId="0" fontId="137" fillId="2" borderId="0" xfId="0" applyFont="1" applyFill="1" applyAlignment="1">
      <alignment horizontal="center"/>
    </xf>
    <xf numFmtId="0" fontId="137" fillId="2" borderId="347" xfId="0" applyFont="1" applyFill="1" applyBorder="1" applyAlignment="1">
      <alignment horizontal="center"/>
    </xf>
    <xf numFmtId="0" fontId="137" fillId="2" borderId="348" xfId="0" applyFont="1" applyFill="1" applyBorder="1" applyAlignment="1">
      <alignment horizontal="center"/>
    </xf>
    <xf numFmtId="0" fontId="137" fillId="2" borderId="349" xfId="0" applyFont="1" applyFill="1" applyBorder="1" applyAlignment="1">
      <alignment horizontal="center"/>
    </xf>
    <xf numFmtId="0" fontId="11" fillId="0" borderId="351" xfId="0" applyFont="1" applyBorder="1" applyAlignment="1">
      <alignment horizontal="center" vertical="center"/>
    </xf>
    <xf numFmtId="0" fontId="11" fillId="0" borderId="360" xfId="0" applyFont="1" applyBorder="1" applyAlignment="1">
      <alignment horizontal="center" vertical="center"/>
    </xf>
    <xf numFmtId="0" fontId="11" fillId="0" borderId="13" xfId="0" applyFont="1" applyBorder="1" applyAlignment="1">
      <alignment horizontal="center" vertical="center"/>
    </xf>
    <xf numFmtId="0" fontId="189" fillId="2" borderId="352" xfId="0" applyFont="1" applyFill="1" applyBorder="1" applyAlignment="1">
      <alignment horizontal="center" vertical="center"/>
    </xf>
    <xf numFmtId="0" fontId="189" fillId="2" borderId="353" xfId="0" applyFont="1" applyFill="1" applyBorder="1" applyAlignment="1">
      <alignment horizontal="center" vertical="center"/>
    </xf>
    <xf numFmtId="0" fontId="189" fillId="2" borderId="354" xfId="0" applyFont="1" applyFill="1" applyBorder="1" applyAlignment="1">
      <alignment horizontal="center" vertical="center"/>
    </xf>
    <xf numFmtId="0" fontId="189" fillId="2" borderId="322" xfId="0" applyFont="1" applyFill="1" applyBorder="1" applyAlignment="1">
      <alignment horizontal="center" vertical="center"/>
    </xf>
    <xf numFmtId="0" fontId="189" fillId="2" borderId="361" xfId="0" applyFont="1" applyFill="1" applyBorder="1" applyAlignment="1">
      <alignment horizontal="center" vertical="center"/>
    </xf>
    <xf numFmtId="0" fontId="189" fillId="2" borderId="220" xfId="0" applyFont="1" applyFill="1" applyBorder="1" applyAlignment="1">
      <alignment horizontal="center" vertical="center"/>
    </xf>
    <xf numFmtId="0" fontId="0" fillId="8" borderId="355" xfId="0" applyFill="1" applyBorder="1" applyAlignment="1">
      <alignment horizontal="center" vertical="center" wrapText="1"/>
    </xf>
    <xf numFmtId="0" fontId="0" fillId="8" borderId="362" xfId="0" applyFill="1" applyBorder="1" applyAlignment="1">
      <alignment horizontal="center" vertical="center" wrapText="1"/>
    </xf>
    <xf numFmtId="0" fontId="11" fillId="13" borderId="356" xfId="0" applyFont="1" applyFill="1" applyBorder="1" applyAlignment="1">
      <alignment horizontal="center"/>
    </xf>
    <xf numFmtId="0" fontId="0" fillId="8" borderId="345" xfId="0" applyFill="1" applyBorder="1" applyAlignment="1">
      <alignment horizontal="center" vertical="center" wrapText="1"/>
    </xf>
    <xf numFmtId="176" fontId="183" fillId="13" borderId="363" xfId="1" applyNumberFormat="1" applyFont="1" applyFill="1" applyBorder="1" applyAlignment="1" applyProtection="1">
      <alignment horizontal="center" vertical="center"/>
      <protection locked="0"/>
    </xf>
    <xf numFmtId="176" fontId="183" fillId="13" borderId="364" xfId="1" applyNumberFormat="1" applyFont="1" applyFill="1" applyBorder="1" applyAlignment="1" applyProtection="1">
      <alignment horizontal="center" vertical="center"/>
      <protection locked="0"/>
    </xf>
    <xf numFmtId="176" fontId="183" fillId="13" borderId="365" xfId="1" applyNumberFormat="1" applyFont="1" applyFill="1" applyBorder="1" applyAlignment="1" applyProtection="1">
      <alignment horizontal="center" vertical="center"/>
      <protection locked="0"/>
    </xf>
    <xf numFmtId="0" fontId="183" fillId="13" borderId="366" xfId="1" applyFont="1" applyFill="1" applyBorder="1" applyAlignment="1" applyProtection="1">
      <alignment horizontal="center" vertical="center"/>
      <protection locked="0"/>
    </xf>
    <xf numFmtId="0" fontId="183" fillId="13" borderId="367" xfId="1" applyFont="1" applyFill="1" applyBorder="1" applyAlignment="1" applyProtection="1">
      <alignment horizontal="center" vertical="center"/>
      <protection locked="0"/>
    </xf>
    <xf numFmtId="0" fontId="183" fillId="13" borderId="248" xfId="1" applyFont="1" applyFill="1" applyBorder="1" applyAlignment="1" applyProtection="1">
      <alignment horizontal="center" vertical="center"/>
      <protection locked="0"/>
    </xf>
    <xf numFmtId="185" fontId="183" fillId="13" borderId="0" xfId="1" applyNumberFormat="1" applyFont="1" applyFill="1" applyAlignment="1" applyProtection="1">
      <alignment horizontal="center" vertical="center"/>
      <protection locked="0"/>
    </xf>
    <xf numFmtId="185" fontId="183" fillId="13" borderId="347" xfId="1" applyNumberFormat="1" applyFont="1" applyFill="1" applyBorder="1" applyAlignment="1" applyProtection="1">
      <alignment horizontal="center" vertical="center"/>
      <protection locked="0"/>
    </xf>
    <xf numFmtId="0" fontId="121" fillId="2" borderId="327" xfId="0" applyFont="1" applyFill="1" applyBorder="1" applyAlignment="1">
      <alignment horizontal="center" vertical="center"/>
    </xf>
    <xf numFmtId="0" fontId="121" fillId="2" borderId="325" xfId="0" applyFont="1" applyFill="1" applyBorder="1" applyAlignment="1">
      <alignment horizontal="center" vertical="center"/>
    </xf>
    <xf numFmtId="0" fontId="121" fillId="2" borderId="315" xfId="0" applyFont="1" applyFill="1" applyBorder="1" applyAlignment="1">
      <alignment horizontal="center" vertical="center"/>
    </xf>
    <xf numFmtId="0" fontId="121" fillId="2" borderId="238" xfId="0" applyFont="1" applyFill="1" applyBorder="1" applyAlignment="1">
      <alignment horizontal="center" vertical="center"/>
    </xf>
    <xf numFmtId="0" fontId="11" fillId="13" borderId="289" xfId="0" applyFont="1" applyFill="1" applyBorder="1" applyAlignment="1">
      <alignment horizontal="center"/>
    </xf>
    <xf numFmtId="0" fontId="11" fillId="13" borderId="0" xfId="0" applyFont="1" applyFill="1" applyAlignment="1">
      <alignment horizontal="center"/>
    </xf>
    <xf numFmtId="0" fontId="11" fillId="13" borderId="347" xfId="0" applyFont="1" applyFill="1" applyBorder="1" applyAlignment="1">
      <alignment horizontal="center"/>
    </xf>
    <xf numFmtId="0" fontId="389" fillId="2" borderId="356" xfId="0" applyFont="1" applyFill="1" applyBorder="1" applyAlignment="1">
      <alignment horizontal="center" vertical="center" wrapText="1"/>
    </xf>
    <xf numFmtId="0" fontId="389" fillId="2" borderId="381" xfId="0" applyFont="1" applyFill="1" applyBorder="1" applyAlignment="1">
      <alignment horizontal="center" vertical="center" wrapText="1"/>
    </xf>
    <xf numFmtId="0" fontId="389" fillId="2" borderId="289" xfId="0" applyFont="1" applyFill="1" applyBorder="1" applyAlignment="1">
      <alignment horizontal="center" vertical="center" wrapText="1"/>
    </xf>
    <xf numFmtId="0" fontId="389" fillId="2" borderId="250" xfId="0" applyFont="1" applyFill="1" applyBorder="1" applyAlignment="1">
      <alignment horizontal="center" vertical="center" wrapText="1"/>
    </xf>
    <xf numFmtId="0" fontId="0" fillId="80" borderId="386" xfId="0" applyFill="1" applyBorder="1" applyAlignment="1">
      <alignment horizontal="center" vertical="center"/>
    </xf>
    <xf numFmtId="0" fontId="0" fillId="80" borderId="382" xfId="0" applyFill="1" applyBorder="1" applyAlignment="1">
      <alignment horizontal="center" vertical="center"/>
    </xf>
    <xf numFmtId="0" fontId="0" fillId="80" borderId="385" xfId="0" applyFill="1" applyBorder="1" applyAlignment="1">
      <alignment horizontal="center" vertical="center"/>
    </xf>
    <xf numFmtId="0" fontId="0" fillId="80" borderId="250" xfId="0" applyFill="1" applyBorder="1" applyAlignment="1">
      <alignment horizontal="center" vertical="center"/>
    </xf>
    <xf numFmtId="0" fontId="0" fillId="80" borderId="362" xfId="0" applyFill="1" applyBorder="1" applyAlignment="1">
      <alignment horizontal="center" vertical="center"/>
    </xf>
    <xf numFmtId="0" fontId="389" fillId="2" borderId="347" xfId="0" applyFont="1" applyFill="1" applyBorder="1" applyAlignment="1">
      <alignment horizontal="center" vertical="center" wrapText="1"/>
    </xf>
    <xf numFmtId="0" fontId="0" fillId="80" borderId="375" xfId="0" applyFill="1" applyBorder="1" applyAlignment="1">
      <alignment horizontal="center" vertical="center"/>
    </xf>
    <xf numFmtId="0" fontId="197" fillId="79" borderId="347" xfId="0" applyFont="1" applyFill="1" applyBorder="1" applyAlignment="1">
      <alignment horizontal="center" vertical="center" wrapText="1"/>
    </xf>
    <xf numFmtId="0" fontId="0" fillId="80" borderId="380" xfId="0" applyFill="1" applyBorder="1" applyAlignment="1">
      <alignment horizontal="center" vertical="center"/>
    </xf>
    <xf numFmtId="174" fontId="391" fillId="2" borderId="250" xfId="0" applyNumberFormat="1" applyFont="1" applyFill="1" applyBorder="1" applyAlignment="1">
      <alignment horizontal="center" vertical="center"/>
    </xf>
    <xf numFmtId="174" fontId="391" fillId="2" borderId="372" xfId="0" applyNumberFormat="1" applyFont="1" applyFill="1" applyBorder="1" applyAlignment="1">
      <alignment horizontal="center" vertical="center"/>
    </xf>
    <xf numFmtId="174" fontId="391" fillId="2" borderId="347" xfId="0" applyNumberFormat="1" applyFont="1" applyFill="1" applyBorder="1" applyAlignment="1">
      <alignment horizontal="center" vertical="center"/>
    </xf>
    <xf numFmtId="174" fontId="391" fillId="2" borderId="349" xfId="0" applyNumberFormat="1" applyFont="1" applyFill="1" applyBorder="1" applyAlignment="1">
      <alignment horizontal="center" vertical="center"/>
    </xf>
    <xf numFmtId="169" fontId="101" fillId="79" borderId="250" xfId="0" applyNumberFormat="1" applyFont="1" applyFill="1" applyBorder="1" applyAlignment="1">
      <alignment horizontal="center" vertical="center"/>
    </xf>
    <xf numFmtId="169" fontId="101" fillId="79" borderId="372" xfId="0" applyNumberFormat="1" applyFont="1" applyFill="1" applyBorder="1" applyAlignment="1">
      <alignment horizontal="center" vertical="center"/>
    </xf>
    <xf numFmtId="169" fontId="101" fillId="79" borderId="347" xfId="0" applyNumberFormat="1" applyFont="1" applyFill="1" applyBorder="1" applyAlignment="1">
      <alignment horizontal="center" vertical="center"/>
    </xf>
    <xf numFmtId="169" fontId="101" fillId="79" borderId="349" xfId="0" applyNumberFormat="1" applyFont="1" applyFill="1" applyBorder="1" applyAlignment="1">
      <alignment horizontal="center" vertical="center"/>
    </xf>
    <xf numFmtId="186" fontId="278" fillId="13" borderId="289" xfId="0" applyNumberFormat="1" applyFont="1" applyFill="1" applyBorder="1" applyAlignment="1">
      <alignment horizontal="center" vertical="center"/>
    </xf>
    <xf numFmtId="186" fontId="278" fillId="13" borderId="347" xfId="0" applyNumberFormat="1" applyFont="1" applyFill="1" applyBorder="1" applyAlignment="1">
      <alignment horizontal="center" vertical="center"/>
    </xf>
    <xf numFmtId="0" fontId="278" fillId="13" borderId="347" xfId="0" applyFont="1" applyFill="1" applyBorder="1" applyAlignment="1">
      <alignment horizontal="center" vertical="center" wrapText="1"/>
    </xf>
    <xf numFmtId="0" fontId="197" fillId="79" borderId="357" xfId="0" applyFont="1" applyFill="1" applyBorder="1" applyAlignment="1">
      <alignment horizontal="center" vertical="center" wrapText="1"/>
    </xf>
    <xf numFmtId="0" fontId="197" fillId="79" borderId="0" xfId="0" applyFont="1" applyFill="1" applyAlignment="1">
      <alignment horizontal="center" vertical="center" wrapText="1"/>
    </xf>
    <xf numFmtId="0" fontId="197" fillId="79" borderId="358" xfId="0" applyFont="1" applyFill="1" applyBorder="1" applyAlignment="1">
      <alignment horizontal="center" vertical="center" wrapText="1"/>
    </xf>
    <xf numFmtId="185" fontId="101" fillId="79" borderId="250" xfId="1" applyNumberFormat="1" applyFont="1" applyFill="1" applyBorder="1" applyAlignment="1" applyProtection="1">
      <alignment horizontal="center" vertical="center"/>
      <protection locked="0"/>
    </xf>
    <xf numFmtId="185" fontId="101" fillId="79" borderId="372" xfId="1" applyNumberFormat="1" applyFont="1" applyFill="1" applyBorder="1" applyAlignment="1" applyProtection="1">
      <alignment horizontal="center" vertical="center"/>
      <protection locked="0"/>
    </xf>
    <xf numFmtId="185" fontId="101" fillId="79" borderId="347" xfId="1" applyNumberFormat="1" applyFont="1" applyFill="1" applyBorder="1" applyAlignment="1" applyProtection="1">
      <alignment horizontal="center" vertical="center"/>
      <protection locked="0"/>
    </xf>
    <xf numFmtId="185" fontId="101" fillId="79" borderId="349" xfId="1" applyNumberFormat="1" applyFont="1" applyFill="1" applyBorder="1" applyAlignment="1" applyProtection="1">
      <alignment horizontal="center" vertical="center"/>
      <protection locked="0"/>
    </xf>
    <xf numFmtId="0" fontId="0" fillId="80" borderId="348" xfId="0" applyFill="1" applyBorder="1" applyAlignment="1">
      <alignment horizontal="center" vertical="center"/>
    </xf>
    <xf numFmtId="0" fontId="0" fillId="80" borderId="394" xfId="0" applyFill="1" applyBorder="1" applyAlignment="1">
      <alignment horizontal="center" vertical="center"/>
    </xf>
    <xf numFmtId="174" fontId="121" fillId="2" borderId="250" xfId="0" applyNumberFormat="1" applyFont="1" applyFill="1" applyBorder="1" applyAlignment="1">
      <alignment horizontal="center" vertical="center"/>
    </xf>
    <xf numFmtId="174" fontId="121" fillId="2" borderId="372" xfId="0" applyNumberFormat="1" applyFont="1" applyFill="1" applyBorder="1" applyAlignment="1">
      <alignment horizontal="center" vertical="center"/>
    </xf>
    <xf numFmtId="174" fontId="121" fillId="2" borderId="347" xfId="0" applyNumberFormat="1" applyFont="1" applyFill="1" applyBorder="1" applyAlignment="1">
      <alignment horizontal="center" vertical="center"/>
    </xf>
    <xf numFmtId="174" fontId="121" fillId="2" borderId="349" xfId="0" applyNumberFormat="1" applyFont="1" applyFill="1" applyBorder="1" applyAlignment="1">
      <alignment horizontal="center" vertical="center"/>
    </xf>
    <xf numFmtId="0" fontId="117" fillId="17" borderId="0" xfId="17" applyFont="1" applyFill="1" applyAlignment="1">
      <alignment horizontal="left"/>
    </xf>
    <xf numFmtId="0" fontId="616" fillId="0" borderId="0" xfId="0" applyFont="1" applyAlignment="1">
      <alignment horizontal="center" vertical="center"/>
    </xf>
    <xf numFmtId="0" fontId="16" fillId="0" borderId="0" xfId="0" applyFont="1" applyAlignment="1">
      <alignment horizontal="center" vertical="center" wrapText="1"/>
    </xf>
    <xf numFmtId="0" fontId="219" fillId="53" borderId="0" xfId="5" applyFont="1" applyFill="1" applyAlignment="1">
      <alignment horizontal="center" vertical="center" wrapText="1"/>
    </xf>
    <xf numFmtId="0" fontId="202" fillId="17" borderId="0" xfId="17" applyFont="1" applyFill="1" applyAlignment="1">
      <alignment horizontal="left" vertical="center"/>
    </xf>
    <xf numFmtId="0" fontId="216" fillId="17" borderId="0" xfId="17" applyFont="1" applyFill="1" applyAlignment="1">
      <alignment horizontal="left" vertical="center"/>
    </xf>
    <xf numFmtId="0" fontId="585" fillId="53" borderId="0" xfId="17" applyFont="1" applyFill="1" applyAlignment="1">
      <alignment horizontal="center" vertical="center"/>
    </xf>
    <xf numFmtId="0" fontId="216" fillId="33" borderId="0" xfId="17" applyFont="1" applyFill="1" applyAlignment="1">
      <alignment horizontal="left" vertical="center" wrapText="1"/>
    </xf>
    <xf numFmtId="0" fontId="216" fillId="33" borderId="0" xfId="17" applyFont="1" applyFill="1" applyAlignment="1">
      <alignment horizontal="left" vertical="center"/>
    </xf>
    <xf numFmtId="0" fontId="216" fillId="33" borderId="0" xfId="17" applyFont="1" applyFill="1" applyAlignment="1">
      <alignment horizontal="center" vertical="center"/>
    </xf>
    <xf numFmtId="0" fontId="327" fillId="53" borderId="0" xfId="17" applyFont="1" applyFill="1" applyAlignment="1">
      <alignment horizontal="center" vertical="center"/>
    </xf>
    <xf numFmtId="0" fontId="117" fillId="17" borderId="0" xfId="17" applyFont="1" applyFill="1" applyAlignment="1">
      <alignment horizontal="left" vertical="center"/>
    </xf>
    <xf numFmtId="0" fontId="474" fillId="56" borderId="431" xfId="31" applyFont="1" applyFill="1" applyBorder="1" applyAlignment="1">
      <alignment horizontal="center" vertical="center"/>
    </xf>
    <xf numFmtId="0" fontId="474" fillId="56" borderId="0" xfId="31" applyFont="1" applyFill="1" applyAlignment="1">
      <alignment horizontal="center" vertical="center"/>
    </xf>
    <xf numFmtId="0" fontId="474" fillId="56" borderId="432" xfId="31" applyFont="1" applyFill="1" applyBorder="1" applyAlignment="1">
      <alignment horizontal="center" vertical="center"/>
    </xf>
    <xf numFmtId="0" fontId="475" fillId="2" borderId="0" xfId="31" applyFont="1" applyFill="1" applyAlignment="1">
      <alignment horizontal="center" vertical="center"/>
    </xf>
    <xf numFmtId="0" fontId="209" fillId="69" borderId="465" xfId="25" applyFont="1" applyFill="1" applyBorder="1" applyAlignment="1">
      <alignment horizontal="center" vertical="center"/>
    </xf>
    <xf numFmtId="0" fontId="209" fillId="69" borderId="434" xfId="25" applyFont="1" applyFill="1" applyBorder="1" applyAlignment="1">
      <alignment horizontal="center" vertical="center"/>
    </xf>
    <xf numFmtId="0" fontId="327" fillId="0" borderId="37" xfId="2" applyFont="1" applyBorder="1" applyAlignment="1">
      <alignment horizontal="left" vertical="center"/>
    </xf>
    <xf numFmtId="0" fontId="327" fillId="0" borderId="36" xfId="2" applyFont="1" applyBorder="1" applyAlignment="1">
      <alignment horizontal="left" vertical="center"/>
    </xf>
    <xf numFmtId="0" fontId="327" fillId="0" borderId="13" xfId="2" applyFont="1" applyBorder="1" applyAlignment="1">
      <alignment horizontal="left" vertical="center"/>
    </xf>
    <xf numFmtId="0" fontId="327" fillId="0" borderId="0" xfId="2" applyFont="1" applyAlignment="1">
      <alignment horizontal="left" vertical="center"/>
    </xf>
    <xf numFmtId="0" fontId="538" fillId="4" borderId="36" xfId="25" applyFont="1" applyFill="1" applyBorder="1" applyAlignment="1">
      <alignment horizontal="right" vertical="center"/>
    </xf>
    <xf numFmtId="0" fontId="538" fillId="4" borderId="0" xfId="25" applyFont="1" applyFill="1" applyAlignment="1">
      <alignment horizontal="right" vertical="center"/>
    </xf>
    <xf numFmtId="0" fontId="538" fillId="2" borderId="35" xfId="9" applyFont="1" applyFill="1" applyBorder="1" applyAlignment="1">
      <alignment horizontal="center" vertical="center"/>
    </xf>
    <xf numFmtId="0" fontId="538" fillId="2" borderId="401" xfId="9" applyFont="1" applyFill="1" applyBorder="1" applyAlignment="1">
      <alignment horizontal="center" vertical="center"/>
    </xf>
    <xf numFmtId="0" fontId="138" fillId="33" borderId="325" xfId="9" applyFont="1" applyFill="1" applyBorder="1" applyAlignment="1">
      <alignment horizontal="center" vertical="center"/>
    </xf>
    <xf numFmtId="0" fontId="138" fillId="33" borderId="145" xfId="9" applyFont="1" applyFill="1" applyBorder="1" applyAlignment="1">
      <alignment horizontal="center" vertical="center"/>
    </xf>
    <xf numFmtId="190" fontId="219" fillId="33" borderId="326" xfId="31" applyNumberFormat="1" applyFont="1" applyFill="1" applyBorder="1" applyAlignment="1">
      <alignment horizontal="center" vertical="center"/>
    </xf>
    <xf numFmtId="190" fontId="219" fillId="33" borderId="95" xfId="31" applyNumberFormat="1" applyFont="1" applyFill="1" applyBorder="1" applyAlignment="1">
      <alignment horizontal="center" vertical="center"/>
    </xf>
    <xf numFmtId="2" fontId="219" fillId="149" borderId="0" xfId="31" applyNumberFormat="1" applyFont="1" applyFill="1" applyAlignment="1" applyProtection="1">
      <alignment horizontal="center" vertical="center"/>
      <protection locked="0"/>
    </xf>
    <xf numFmtId="0" fontId="538" fillId="96" borderId="367" xfId="9" applyFont="1" applyFill="1" applyBorder="1" applyAlignment="1">
      <alignment horizontal="center" vertical="center" textRotation="180"/>
    </xf>
    <xf numFmtId="0" fontId="538" fillId="96" borderId="430" xfId="9" applyFont="1" applyFill="1" applyBorder="1" applyAlignment="1">
      <alignment horizontal="center" vertical="center" textRotation="180"/>
    </xf>
    <xf numFmtId="0" fontId="216" fillId="0" borderId="412" xfId="35" applyFont="1" applyBorder="1" applyAlignment="1">
      <alignment horizontal="left" vertical="center"/>
    </xf>
    <xf numFmtId="0" fontId="553" fillId="0" borderId="24" xfId="31" applyFont="1" applyBorder="1" applyAlignment="1">
      <alignment horizontal="center" vertical="center"/>
    </xf>
    <xf numFmtId="0" fontId="553" fillId="0" borderId="25" xfId="31" applyFont="1" applyBorder="1" applyAlignment="1">
      <alignment horizontal="center" vertical="center"/>
    </xf>
    <xf numFmtId="0" fontId="553" fillId="0" borderId="23" xfId="31" applyFont="1" applyBorder="1" applyAlignment="1">
      <alignment horizontal="center" vertical="center"/>
    </xf>
    <xf numFmtId="0" fontId="540" fillId="20" borderId="360" xfId="2" applyFont="1" applyFill="1" applyBorder="1" applyAlignment="1" applyProtection="1">
      <alignment horizontal="center" vertical="center" wrapText="1"/>
      <protection hidden="1"/>
    </xf>
    <xf numFmtId="0" fontId="538" fillId="0" borderId="467" xfId="31" applyFont="1" applyBorder="1" applyAlignment="1">
      <alignment horizontal="center" vertical="center" textRotation="90"/>
    </xf>
    <xf numFmtId="0" fontId="538" fillId="0" borderId="466" xfId="31" applyFont="1" applyBorder="1" applyAlignment="1">
      <alignment horizontal="center" vertical="center" textRotation="90"/>
    </xf>
    <xf numFmtId="0" fontId="196" fillId="4" borderId="316" xfId="2" applyFont="1" applyFill="1" applyBorder="1" applyAlignment="1">
      <alignment horizontal="center" vertical="center"/>
    </xf>
    <xf numFmtId="0" fontId="196" fillId="4" borderId="207" xfId="2" applyFont="1" applyFill="1" applyBorder="1" applyAlignment="1">
      <alignment horizontal="center" vertical="center"/>
    </xf>
    <xf numFmtId="0" fontId="196" fillId="4" borderId="402" xfId="2" applyFont="1" applyFill="1" applyBorder="1" applyAlignment="1">
      <alignment horizontal="center" vertical="center"/>
    </xf>
    <xf numFmtId="0" fontId="196" fillId="4" borderId="404" xfId="2" applyFont="1" applyFill="1" applyBorder="1" applyAlignment="1">
      <alignment horizontal="center" vertical="center"/>
    </xf>
    <xf numFmtId="0" fontId="375" fillId="147" borderId="13" xfId="46" applyFont="1" applyFill="1" applyBorder="1" applyAlignment="1">
      <alignment horizontal="center" vertical="center"/>
    </xf>
    <xf numFmtId="0" fontId="375" fillId="147" borderId="0" xfId="46" applyFont="1" applyFill="1" applyAlignment="1">
      <alignment horizontal="center" vertical="center"/>
    </xf>
    <xf numFmtId="0" fontId="375" fillId="147" borderId="401" xfId="46" applyFont="1" applyFill="1" applyBorder="1" applyAlignment="1">
      <alignment horizontal="center" vertical="center"/>
    </xf>
    <xf numFmtId="0" fontId="219" fillId="0" borderId="360" xfId="2" applyFont="1" applyBorder="1" applyAlignment="1">
      <alignment horizontal="center" vertical="center" textRotation="180"/>
    </xf>
    <xf numFmtId="0" fontId="219" fillId="0" borderId="453" xfId="2" applyFont="1" applyBorder="1" applyAlignment="1">
      <alignment horizontal="center" vertical="center" textRotation="180"/>
    </xf>
    <xf numFmtId="0" fontId="198" fillId="163" borderId="0" xfId="9" applyFont="1" applyFill="1" applyAlignment="1">
      <alignment horizontal="center" vertical="center" wrapText="1"/>
    </xf>
    <xf numFmtId="0" fontId="539" fillId="0" borderId="0" xfId="2" applyFont="1" applyAlignment="1">
      <alignment horizontal="left" vertical="center"/>
    </xf>
    <xf numFmtId="0" fontId="541" fillId="4" borderId="0" xfId="25" applyFont="1" applyFill="1" applyAlignment="1">
      <alignment horizontal="right" vertical="center"/>
    </xf>
    <xf numFmtId="0" fontId="357" fillId="2" borderId="0" xfId="9" applyFont="1" applyFill="1" applyAlignment="1">
      <alignment horizontal="center" vertical="center"/>
    </xf>
    <xf numFmtId="0" fontId="138" fillId="33" borderId="203" xfId="9" applyFont="1" applyFill="1" applyBorder="1" applyAlignment="1">
      <alignment horizontal="right" vertical="center"/>
    </xf>
    <xf numFmtId="0" fontId="138" fillId="33" borderId="325" xfId="9" applyFont="1" applyFill="1" applyBorder="1" applyAlignment="1">
      <alignment horizontal="right" vertical="center"/>
    </xf>
    <xf numFmtId="0" fontId="138" fillId="33" borderId="68" xfId="9" applyFont="1" applyFill="1" applyBorder="1" applyAlignment="1">
      <alignment horizontal="right" vertical="center"/>
    </xf>
    <xf numFmtId="0" fontId="138" fillId="33" borderId="145" xfId="9" applyFont="1" applyFill="1" applyBorder="1" applyAlignment="1">
      <alignment horizontal="right" vertical="center"/>
    </xf>
    <xf numFmtId="0" fontId="197" fillId="5" borderId="0" xfId="2" applyFont="1" applyFill="1" applyAlignment="1">
      <alignment horizontal="center" vertical="center"/>
    </xf>
    <xf numFmtId="0" fontId="209" fillId="33" borderId="316" xfId="2" applyFont="1" applyFill="1" applyBorder="1" applyAlignment="1" applyProtection="1">
      <alignment horizontal="center" vertical="center"/>
      <protection hidden="1"/>
    </xf>
    <xf numFmtId="0" fontId="209" fillId="33" borderId="0" xfId="2" applyFont="1" applyFill="1" applyAlignment="1" applyProtection="1">
      <alignment horizontal="center" vertical="center"/>
      <protection hidden="1"/>
    </xf>
    <xf numFmtId="2" fontId="256" fillId="49" borderId="420" xfId="30" applyNumberFormat="1" applyFont="1" applyFill="1" applyBorder="1" applyAlignment="1">
      <alignment horizontal="center" vertical="center"/>
    </xf>
    <xf numFmtId="2" fontId="256" fillId="49" borderId="435" xfId="30" applyNumberFormat="1" applyFont="1" applyFill="1" applyBorder="1" applyAlignment="1">
      <alignment horizontal="center" vertical="center"/>
    </xf>
    <xf numFmtId="2" fontId="256" fillId="49" borderId="436" xfId="30" applyNumberFormat="1" applyFont="1" applyFill="1" applyBorder="1" applyAlignment="1">
      <alignment horizontal="center" vertical="center"/>
    </xf>
    <xf numFmtId="2" fontId="256" fillId="49" borderId="437" xfId="30" applyNumberFormat="1" applyFont="1" applyFill="1" applyBorder="1" applyAlignment="1">
      <alignment horizontal="center" vertical="center"/>
    </xf>
    <xf numFmtId="1" fontId="209" fillId="33" borderId="0" xfId="30" applyNumberFormat="1" applyFont="1" applyFill="1" applyAlignment="1">
      <alignment horizontal="left" vertical="center" wrapText="1"/>
    </xf>
    <xf numFmtId="0" fontId="219" fillId="33" borderId="0" xfId="9" applyFont="1" applyFill="1" applyAlignment="1">
      <alignment horizontal="right" vertical="center" wrapText="1"/>
    </xf>
    <xf numFmtId="190" fontId="517" fillId="17" borderId="325" xfId="31" applyNumberFormat="1" applyFont="1" applyFill="1" applyBorder="1" applyAlignment="1">
      <alignment horizontal="center" vertical="center"/>
    </xf>
    <xf numFmtId="190" fontId="517" fillId="17" borderId="145" xfId="31" applyNumberFormat="1" applyFont="1" applyFill="1" applyBorder="1" applyAlignment="1">
      <alignment horizontal="center" vertical="center"/>
    </xf>
    <xf numFmtId="190" fontId="451" fillId="17" borderId="325" xfId="31" applyNumberFormat="1" applyFont="1" applyFill="1" applyBorder="1" applyAlignment="1">
      <alignment horizontal="center" vertical="center"/>
    </xf>
    <xf numFmtId="190" fontId="451" fillId="17" borderId="145" xfId="31" applyNumberFormat="1" applyFont="1" applyFill="1" applyBorder="1" applyAlignment="1">
      <alignment horizontal="center" vertical="center"/>
    </xf>
    <xf numFmtId="1" fontId="219" fillId="33" borderId="0" xfId="9" applyNumberFormat="1" applyFont="1" applyFill="1" applyAlignment="1">
      <alignment horizontal="center" vertical="center" wrapText="1"/>
    </xf>
    <xf numFmtId="0" fontId="219" fillId="33" borderId="0" xfId="2" applyFont="1" applyFill="1" applyAlignment="1">
      <alignment horizontal="left" vertical="center"/>
    </xf>
    <xf numFmtId="2" fontId="210" fillId="17" borderId="0" xfId="30" applyNumberFormat="1" applyFont="1" applyFill="1" applyAlignment="1">
      <alignment horizontal="center" vertical="center"/>
    </xf>
    <xf numFmtId="0" fontId="554" fillId="2" borderId="0" xfId="31" applyFont="1" applyFill="1" applyAlignment="1">
      <alignment horizontal="left" vertical="center"/>
    </xf>
    <xf numFmtId="0" fontId="554" fillId="2" borderId="0" xfId="31" applyFont="1" applyFill="1" applyAlignment="1">
      <alignment horizontal="center" vertical="center"/>
    </xf>
    <xf numFmtId="0" fontId="101" fillId="39" borderId="13" xfId="2" applyFont="1" applyFill="1" applyBorder="1" applyAlignment="1" applyProtection="1">
      <alignment horizontal="center" vertical="center"/>
      <protection hidden="1"/>
    </xf>
    <xf numFmtId="0" fontId="101" fillId="39" borderId="0" xfId="2" applyFont="1" applyFill="1" applyAlignment="1" applyProtection="1">
      <alignment horizontal="center" vertical="center"/>
      <protection hidden="1"/>
    </xf>
    <xf numFmtId="0" fontId="101" fillId="39" borderId="0" xfId="2" applyFont="1" applyFill="1" applyAlignment="1" applyProtection="1">
      <alignment horizontal="center" vertical="center" wrapText="1"/>
      <protection hidden="1"/>
    </xf>
    <xf numFmtId="0" fontId="101" fillId="39" borderId="401" xfId="2" applyFont="1" applyFill="1" applyBorder="1" applyAlignment="1" applyProtection="1">
      <alignment horizontal="center" vertical="center" wrapText="1"/>
      <protection hidden="1"/>
    </xf>
    <xf numFmtId="0" fontId="198" fillId="56" borderId="438" xfId="30" applyFont="1" applyFill="1" applyBorder="1" applyAlignment="1">
      <alignment horizontal="center" vertical="center"/>
    </xf>
    <xf numFmtId="0" fontId="198" fillId="56" borderId="0" xfId="30" applyFont="1" applyFill="1" applyAlignment="1">
      <alignment horizontal="center" vertical="center"/>
    </xf>
    <xf numFmtId="0" fontId="544" fillId="5" borderId="0" xfId="2" applyFont="1" applyFill="1" applyAlignment="1">
      <alignment horizontal="center" vertical="center" wrapText="1"/>
    </xf>
    <xf numFmtId="0" fontId="101" fillId="39" borderId="438" xfId="2" applyFont="1" applyFill="1" applyBorder="1" applyAlignment="1" applyProtection="1">
      <alignment horizontal="center" vertical="center"/>
      <protection hidden="1"/>
    </xf>
    <xf numFmtId="0" fontId="101" fillId="39" borderId="440" xfId="2" applyFont="1" applyFill="1" applyBorder="1" applyAlignment="1" applyProtection="1">
      <alignment horizontal="center" vertical="center"/>
      <protection hidden="1"/>
    </xf>
    <xf numFmtId="0" fontId="101" fillId="39" borderId="441" xfId="2" applyFont="1" applyFill="1" applyBorder="1" applyAlignment="1" applyProtection="1">
      <alignment horizontal="center" vertical="center" wrapText="1"/>
      <protection hidden="1"/>
    </xf>
    <xf numFmtId="0" fontId="171" fillId="17" borderId="431" xfId="2" applyFont="1" applyFill="1" applyBorder="1" applyAlignment="1" applyProtection="1">
      <alignment horizontal="center" vertical="center" wrapText="1"/>
      <protection hidden="1"/>
    </xf>
    <xf numFmtId="187" fontId="138" fillId="39" borderId="0" xfId="2" applyNumberFormat="1" applyFont="1" applyFill="1" applyAlignment="1" applyProtection="1">
      <alignment horizontal="center" vertical="center" wrapText="1"/>
      <protection hidden="1"/>
    </xf>
    <xf numFmtId="187" fontId="138" fillId="39" borderId="401" xfId="2" applyNumberFormat="1" applyFont="1" applyFill="1" applyBorder="1" applyAlignment="1" applyProtection="1">
      <alignment horizontal="center" vertical="center" wrapText="1"/>
      <protection hidden="1"/>
    </xf>
    <xf numFmtId="0" fontId="116" fillId="33" borderId="97" xfId="2" applyFont="1" applyFill="1" applyBorder="1" applyAlignment="1" applyProtection="1">
      <alignment horizontal="center" vertical="center" wrapText="1"/>
      <protection hidden="1"/>
    </xf>
    <xf numFmtId="0" fontId="116" fillId="33" borderId="0" xfId="2" applyFont="1" applyFill="1" applyAlignment="1" applyProtection="1">
      <alignment horizontal="center" vertical="center" wrapText="1"/>
      <protection hidden="1"/>
    </xf>
    <xf numFmtId="0" fontId="116" fillId="33" borderId="145" xfId="2" applyFont="1" applyFill="1" applyBorder="1" applyAlignment="1" applyProtection="1">
      <alignment horizontal="center" vertical="center" wrapText="1"/>
      <protection hidden="1"/>
    </xf>
    <xf numFmtId="169" fontId="138" fillId="39" borderId="0" xfId="2" applyNumberFormat="1" applyFont="1" applyFill="1" applyAlignment="1">
      <alignment horizontal="center" vertical="center" wrapText="1"/>
    </xf>
    <xf numFmtId="0" fontId="216" fillId="0" borderId="0" xfId="35" applyFont="1" applyAlignment="1">
      <alignment horizontal="left" vertical="center"/>
    </xf>
    <xf numFmtId="0" fontId="593" fillId="56" borderId="0" xfId="2" applyFont="1" applyFill="1" applyAlignment="1" applyProtection="1">
      <alignment horizontal="center" vertical="center" wrapText="1"/>
      <protection hidden="1"/>
    </xf>
    <xf numFmtId="1" fontId="56" fillId="14" borderId="0" xfId="30" applyNumberFormat="1" applyFont="1" applyFill="1" applyAlignment="1">
      <alignment horizontal="left" vertical="center" wrapText="1"/>
    </xf>
    <xf numFmtId="0" fontId="554" fillId="2" borderId="406" xfId="31" applyFont="1" applyFill="1" applyBorder="1" applyAlignment="1">
      <alignment horizontal="center" vertical="center"/>
    </xf>
    <xf numFmtId="0" fontId="138" fillId="33" borderId="97" xfId="31" applyFont="1" applyFill="1" applyBorder="1" applyAlignment="1" applyProtection="1">
      <alignment horizontal="center" vertical="center" wrapText="1"/>
      <protection hidden="1"/>
    </xf>
    <xf numFmtId="0" fontId="138" fillId="33" borderId="0" xfId="31" applyFont="1" applyFill="1" applyAlignment="1" applyProtection="1">
      <alignment horizontal="center" vertical="center" wrapText="1"/>
      <protection hidden="1"/>
    </xf>
    <xf numFmtId="0" fontId="138" fillId="33" borderId="145" xfId="31" applyFont="1" applyFill="1" applyBorder="1" applyAlignment="1" applyProtection="1">
      <alignment horizontal="center" vertical="center" wrapText="1"/>
      <protection hidden="1"/>
    </xf>
    <xf numFmtId="169" fontId="209" fillId="133" borderId="0" xfId="31" applyNumberFormat="1" applyFont="1" applyFill="1" applyAlignment="1">
      <alignment horizontal="center" vertical="center" wrapText="1"/>
    </xf>
    <xf numFmtId="0" fontId="138" fillId="6" borderId="0" xfId="31" applyFont="1" applyFill="1" applyAlignment="1" applyProtection="1">
      <alignment horizontal="center" vertical="center" wrapText="1"/>
      <protection hidden="1"/>
    </xf>
    <xf numFmtId="0" fontId="138" fillId="39" borderId="0" xfId="31" applyFont="1" applyFill="1" applyAlignment="1" applyProtection="1">
      <alignment horizontal="center" vertical="center"/>
      <protection hidden="1"/>
    </xf>
    <xf numFmtId="0" fontId="138" fillId="39" borderId="0" xfId="31" applyFont="1" applyFill="1" applyAlignment="1" applyProtection="1">
      <alignment horizontal="center" wrapText="1"/>
      <protection hidden="1"/>
    </xf>
    <xf numFmtId="0" fontId="209" fillId="6" borderId="0" xfId="31" applyFont="1" applyFill="1" applyAlignment="1" applyProtection="1">
      <alignment horizontal="center" vertical="center"/>
      <protection hidden="1"/>
    </xf>
    <xf numFmtId="0" fontId="209" fillId="6" borderId="0" xfId="31" applyFont="1" applyFill="1" applyAlignment="1" applyProtection="1">
      <alignment horizontal="center" vertical="center" wrapText="1"/>
      <protection hidden="1"/>
    </xf>
    <xf numFmtId="0" fontId="209" fillId="33" borderId="97" xfId="31" applyFont="1" applyFill="1" applyBorder="1" applyAlignment="1" applyProtection="1">
      <alignment horizontal="center" vertical="center" wrapText="1"/>
      <protection hidden="1"/>
    </xf>
    <xf numFmtId="0" fontId="209" fillId="33" borderId="0" xfId="31" applyFont="1" applyFill="1" applyAlignment="1" applyProtection="1">
      <alignment horizontal="center" vertical="center" wrapText="1"/>
      <protection hidden="1"/>
    </xf>
    <xf numFmtId="0" fontId="209" fillId="33" borderId="145" xfId="31" applyFont="1" applyFill="1" applyBorder="1" applyAlignment="1" applyProtection="1">
      <alignment horizontal="center" vertical="center" wrapText="1"/>
      <protection hidden="1"/>
    </xf>
    <xf numFmtId="0" fontId="554" fillId="2" borderId="406" xfId="31" applyFont="1" applyFill="1" applyBorder="1" applyAlignment="1">
      <alignment horizontal="left" vertical="center"/>
    </xf>
    <xf numFmtId="2" fontId="256" fillId="49" borderId="423" xfId="30" applyNumberFormat="1" applyFont="1" applyFill="1" applyBorder="1" applyAlignment="1">
      <alignment horizontal="center" vertical="center"/>
    </xf>
    <xf numFmtId="2" fontId="256" fillId="49" borderId="460" xfId="30" applyNumberFormat="1" applyFont="1" applyFill="1" applyBorder="1" applyAlignment="1">
      <alignment horizontal="center" vertical="center"/>
    </xf>
    <xf numFmtId="1" fontId="219" fillId="33" borderId="0" xfId="46" applyNumberFormat="1" applyFont="1" applyFill="1" applyAlignment="1">
      <alignment horizontal="left" vertical="center"/>
    </xf>
    <xf numFmtId="1" fontId="560" fillId="19" borderId="0" xfId="46" applyNumberFormat="1" applyFont="1" applyFill="1" applyAlignment="1">
      <alignment horizontal="left" vertical="center" wrapText="1"/>
    </xf>
    <xf numFmtId="165" fontId="328" fillId="152" borderId="0" xfId="31" applyNumberFormat="1" applyFont="1" applyFill="1" applyAlignment="1">
      <alignment horizontal="center" vertical="center" wrapText="1"/>
    </xf>
    <xf numFmtId="0" fontId="474" fillId="42" borderId="0" xfId="31" applyFont="1" applyFill="1" applyAlignment="1">
      <alignment horizontal="center" vertical="center"/>
    </xf>
    <xf numFmtId="0" fontId="101" fillId="158" borderId="0" xfId="31" applyFont="1" applyFill="1" applyAlignment="1">
      <alignment horizontal="left" vertical="center" wrapText="1"/>
    </xf>
    <xf numFmtId="165" fontId="101" fillId="158" borderId="0" xfId="31" applyNumberFormat="1" applyFont="1" applyFill="1" applyAlignment="1">
      <alignment horizontal="center" vertical="center"/>
    </xf>
    <xf numFmtId="187" fontId="101" fillId="155" borderId="0" xfId="31" applyNumberFormat="1" applyFont="1" applyFill="1" applyAlignment="1">
      <alignment horizontal="center" vertical="center"/>
    </xf>
    <xf numFmtId="0" fontId="564" fillId="50" borderId="0" xfId="31" applyFont="1" applyFill="1" applyAlignment="1">
      <alignment horizontal="center" vertical="center"/>
    </xf>
    <xf numFmtId="0" fontId="198" fillId="24" borderId="0" xfId="31" applyFont="1" applyFill="1" applyAlignment="1" applyProtection="1">
      <alignment horizontal="center" vertical="center" wrapText="1"/>
      <protection hidden="1"/>
    </xf>
    <xf numFmtId="0" fontId="78" fillId="17" borderId="0" xfId="31" applyFont="1" applyFill="1" applyAlignment="1" applyProtection="1">
      <alignment horizontal="center" vertical="center" wrapText="1"/>
      <protection hidden="1"/>
    </xf>
    <xf numFmtId="187" fontId="198" fillId="24" borderId="0" xfId="31" applyNumberFormat="1" applyFont="1" applyFill="1" applyAlignment="1" applyProtection="1">
      <alignment horizontal="center" vertical="center" wrapText="1"/>
      <protection hidden="1"/>
    </xf>
    <xf numFmtId="187" fontId="198" fillId="24" borderId="207" xfId="31" applyNumberFormat="1" applyFont="1" applyFill="1" applyBorder="1" applyAlignment="1" applyProtection="1">
      <alignment horizontal="center" vertical="center" wrapText="1"/>
      <protection hidden="1"/>
    </xf>
    <xf numFmtId="187" fontId="219" fillId="155" borderId="0" xfId="31" applyNumberFormat="1" applyFont="1" applyFill="1" applyAlignment="1">
      <alignment horizontal="center" vertical="center"/>
    </xf>
    <xf numFmtId="169" fontId="219" fillId="156" borderId="0" xfId="31" applyNumberFormat="1" applyFont="1" applyFill="1" applyAlignment="1">
      <alignment horizontal="center" vertical="center"/>
    </xf>
    <xf numFmtId="169" fontId="219" fillId="158" borderId="0" xfId="31" applyNumberFormat="1" applyFont="1" applyFill="1" applyAlignment="1">
      <alignment horizontal="center" vertical="center"/>
    </xf>
    <xf numFmtId="2" fontId="532" fillId="49" borderId="420" xfId="30" applyNumberFormat="1" applyFont="1" applyFill="1" applyBorder="1" applyAlignment="1">
      <alignment horizontal="center" vertical="center"/>
    </xf>
    <xf numFmtId="2" fontId="532" fillId="49" borderId="435" xfId="30" applyNumberFormat="1" applyFont="1" applyFill="1" applyBorder="1" applyAlignment="1">
      <alignment horizontal="center" vertical="center"/>
    </xf>
    <xf numFmtId="2" fontId="532" fillId="49" borderId="423" xfId="30" applyNumberFormat="1" applyFont="1" applyFill="1" applyBorder="1" applyAlignment="1">
      <alignment horizontal="center" vertical="center"/>
    </xf>
    <xf numFmtId="2" fontId="532" fillId="49" borderId="460" xfId="30" applyNumberFormat="1" applyFont="1" applyFill="1" applyBorder="1" applyAlignment="1">
      <alignment horizontal="center" vertical="center"/>
    </xf>
    <xf numFmtId="1" fontId="219" fillId="33" borderId="423" xfId="46" applyNumberFormat="1" applyFont="1" applyFill="1" applyBorder="1" applyAlignment="1">
      <alignment horizontal="left" vertical="center"/>
    </xf>
    <xf numFmtId="0" fontId="347" fillId="33" borderId="0" xfId="9" applyFont="1" applyFill="1" applyAlignment="1">
      <alignment horizontal="center" vertical="center" wrapText="1"/>
    </xf>
    <xf numFmtId="0" fontId="149" fillId="33" borderId="0" xfId="9" applyFont="1" applyFill="1" applyAlignment="1">
      <alignment horizontal="center" vertical="center" wrapText="1"/>
    </xf>
    <xf numFmtId="1" fontId="560" fillId="19" borderId="0" xfId="46" applyNumberFormat="1" applyFont="1" applyFill="1" applyAlignment="1">
      <alignment horizontal="center" vertical="center"/>
    </xf>
    <xf numFmtId="225" fontId="78" fillId="33" borderId="0" xfId="31" applyNumberFormat="1" applyFont="1" applyFill="1" applyAlignment="1">
      <alignment horizontal="center" vertical="center" wrapText="1"/>
    </xf>
    <xf numFmtId="225" fontId="149" fillId="33" borderId="0" xfId="31" applyNumberFormat="1" applyFont="1" applyFill="1" applyAlignment="1">
      <alignment horizontal="center" vertical="center" wrapText="1"/>
    </xf>
    <xf numFmtId="0" fontId="138" fillId="6" borderId="0" xfId="31" applyFont="1" applyFill="1" applyAlignment="1" applyProtection="1">
      <alignment horizontal="center"/>
      <protection hidden="1"/>
    </xf>
    <xf numFmtId="0" fontId="209" fillId="33" borderId="0" xfId="31" applyFont="1" applyFill="1" applyAlignment="1">
      <alignment horizontal="center" vertical="center"/>
    </xf>
    <xf numFmtId="0" fontId="328" fillId="130" borderId="0" xfId="31" applyFont="1" applyFill="1" applyAlignment="1">
      <alignment horizontal="center" vertical="center"/>
    </xf>
    <xf numFmtId="0" fontId="101" fillId="6" borderId="0" xfId="31" applyFont="1" applyFill="1" applyAlignment="1" applyProtection="1">
      <alignment horizontal="center" vertical="center"/>
      <protection hidden="1"/>
    </xf>
    <xf numFmtId="0" fontId="101" fillId="6" borderId="0" xfId="31" applyFont="1" applyFill="1" applyAlignment="1" applyProtection="1">
      <alignment horizontal="center" vertical="center" wrapText="1"/>
      <protection hidden="1"/>
    </xf>
    <xf numFmtId="187" fontId="101" fillId="153" borderId="0" xfId="31" applyNumberFormat="1" applyFont="1" applyFill="1" applyAlignment="1">
      <alignment horizontal="center" vertical="center"/>
    </xf>
    <xf numFmtId="0" fontId="604" fillId="96" borderId="477" xfId="49" applyFont="1" applyBorder="1" applyAlignment="1">
      <alignment horizontal="center"/>
    </xf>
    <xf numFmtId="0" fontId="604" fillId="96" borderId="477" xfId="49" applyFont="1" applyBorder="1" applyAlignment="1">
      <alignment horizontal="center" vertical="center"/>
    </xf>
    <xf numFmtId="0" fontId="233" fillId="3" borderId="0" xfId="1" applyFont="1" applyFill="1" applyAlignment="1">
      <alignment horizontal="center" vertical="center"/>
    </xf>
    <xf numFmtId="0" fontId="527" fillId="2" borderId="0" xfId="17" applyFont="1" applyFill="1" applyAlignment="1">
      <alignment horizontal="center" vertical="center" wrapText="1"/>
    </xf>
    <xf numFmtId="0" fontId="527" fillId="2" borderId="0" xfId="17" applyFont="1" applyFill="1" applyAlignment="1">
      <alignment horizontal="center" vertical="top"/>
    </xf>
    <xf numFmtId="0" fontId="527" fillId="2" borderId="0" xfId="17" applyFont="1" applyFill="1" applyAlignment="1">
      <alignment horizontal="center" vertical="top" wrapText="1"/>
    </xf>
    <xf numFmtId="0" fontId="527" fillId="2" borderId="0" xfId="3" applyFont="1" applyFill="1" applyAlignment="1">
      <alignment horizontal="center" vertical="center"/>
    </xf>
    <xf numFmtId="0" fontId="527" fillId="2" borderId="0" xfId="3" applyFont="1" applyFill="1" applyAlignment="1">
      <alignment horizontal="center" vertical="center" wrapText="1"/>
    </xf>
    <xf numFmtId="0" fontId="375" fillId="17" borderId="0" xfId="66" applyFont="1" applyFill="1" applyAlignment="1">
      <alignment horizontal="center" vertical="center" wrapText="1"/>
    </xf>
    <xf numFmtId="49" fontId="655" fillId="108" borderId="406" xfId="2" applyNumberFormat="1" applyFont="1" applyFill="1" applyBorder="1" applyAlignment="1">
      <alignment horizontal="center" vertical="center"/>
    </xf>
    <xf numFmtId="49" fontId="655" fillId="108" borderId="0" xfId="2" applyNumberFormat="1" applyFont="1" applyFill="1" applyAlignment="1">
      <alignment horizontal="center" vertical="center"/>
    </xf>
    <xf numFmtId="49" fontId="165" fillId="4" borderId="511" xfId="66" applyNumberFormat="1" applyFont="1" applyFill="1" applyBorder="1" applyAlignment="1">
      <alignment horizontal="center" vertical="center"/>
    </xf>
    <xf numFmtId="49" fontId="165" fillId="4" borderId="512" xfId="66" applyNumberFormat="1" applyFont="1" applyFill="1" applyBorder="1" applyAlignment="1">
      <alignment horizontal="center" vertical="center"/>
    </xf>
    <xf numFmtId="49" fontId="25" fillId="4" borderId="513" xfId="67" applyNumberFormat="1" applyFont="1" applyFill="1" applyBorder="1" applyAlignment="1">
      <alignment horizontal="center" vertical="center"/>
    </xf>
    <xf numFmtId="49" fontId="25" fillId="4" borderId="119" xfId="67" applyNumberFormat="1" applyFont="1" applyFill="1" applyBorder="1" applyAlignment="1">
      <alignment horizontal="center" vertical="center"/>
    </xf>
    <xf numFmtId="49" fontId="25" fillId="4" borderId="503" xfId="67" applyNumberFormat="1" applyFont="1" applyFill="1" applyBorder="1" applyAlignment="1">
      <alignment horizontal="center" vertical="center"/>
    </xf>
    <xf numFmtId="49" fontId="25" fillId="4" borderId="120" xfId="67" applyNumberFormat="1" applyFont="1" applyFill="1" applyBorder="1" applyAlignment="1">
      <alignment horizontal="center" vertical="center"/>
    </xf>
    <xf numFmtId="49" fontId="25" fillId="4" borderId="341" xfId="67" applyNumberFormat="1" applyFont="1" applyFill="1" applyBorder="1" applyAlignment="1">
      <alignment horizontal="center" vertical="center"/>
    </xf>
    <xf numFmtId="49" fontId="25" fillId="4" borderId="121" xfId="67" applyNumberFormat="1" applyFont="1" applyFill="1" applyBorder="1" applyAlignment="1">
      <alignment horizontal="center" vertical="center"/>
    </xf>
    <xf numFmtId="49" fontId="657" fillId="0" borderId="99" xfId="66" applyNumberFormat="1" applyFont="1" applyBorder="1" applyAlignment="1">
      <alignment horizontal="center" vertical="center" wrapText="1"/>
    </xf>
    <xf numFmtId="49" fontId="657" fillId="0" borderId="13" xfId="66" applyNumberFormat="1" applyFont="1" applyBorder="1" applyAlignment="1">
      <alignment horizontal="center" vertical="center" wrapText="1"/>
    </xf>
    <xf numFmtId="49" fontId="657" fillId="0" borderId="7" xfId="66" applyNumberFormat="1" applyFont="1" applyBorder="1" applyAlignment="1">
      <alignment horizontal="center" vertical="center" wrapText="1"/>
    </xf>
    <xf numFmtId="49" fontId="657" fillId="0" borderId="0" xfId="66" applyNumberFormat="1" applyFont="1" applyAlignment="1">
      <alignment horizontal="center" vertical="center" wrapText="1"/>
    </xf>
    <xf numFmtId="49" fontId="659" fillId="4" borderId="487" xfId="67" applyNumberFormat="1" applyFont="1" applyFill="1" applyBorder="1" applyAlignment="1">
      <alignment horizontal="center" vertical="center"/>
    </xf>
    <xf numFmtId="49" fontId="659" fillId="4" borderId="12" xfId="67" applyNumberFormat="1" applyFont="1" applyFill="1" applyBorder="1" applyAlignment="1">
      <alignment horizontal="center" vertical="center"/>
    </xf>
    <xf numFmtId="49" fontId="25" fillId="4" borderId="517" xfId="66" applyNumberFormat="1" applyFont="1" applyFill="1" applyBorder="1" applyAlignment="1">
      <alignment horizontal="center" vertical="center"/>
    </xf>
    <xf numFmtId="49" fontId="25" fillId="4" borderId="13" xfId="66" applyNumberFormat="1" applyFont="1" applyFill="1" applyBorder="1" applyAlignment="1">
      <alignment horizontal="center" vertical="center"/>
    </xf>
    <xf numFmtId="49" fontId="165" fillId="4" borderId="125" xfId="66" applyNumberFormat="1" applyFont="1" applyFill="1" applyBorder="1" applyAlignment="1">
      <alignment horizontal="center" vertical="center"/>
    </xf>
    <xf numFmtId="49" fontId="165" fillId="4" borderId="0" xfId="66" applyNumberFormat="1" applyFont="1" applyFill="1" applyAlignment="1">
      <alignment horizontal="center" vertical="center"/>
    </xf>
    <xf numFmtId="49" fontId="165" fillId="4" borderId="517" xfId="66" applyNumberFormat="1" applyFont="1" applyFill="1" applyBorder="1" applyAlignment="1">
      <alignment horizontal="center" vertical="center"/>
    </xf>
    <xf numFmtId="49" fontId="165" fillId="4" borderId="13" xfId="66" applyNumberFormat="1" applyFont="1" applyFill="1" applyBorder="1" applyAlignment="1">
      <alignment horizontal="center" vertical="center"/>
    </xf>
    <xf numFmtId="49" fontId="659" fillId="2" borderId="518" xfId="67" quotePrefix="1" applyNumberFormat="1" applyFont="1" applyFill="1" applyBorder="1" applyAlignment="1">
      <alignment horizontal="center" vertical="center"/>
    </xf>
    <xf numFmtId="49" fontId="659" fillId="2" borderId="521" xfId="67" quotePrefix="1" applyNumberFormat="1" applyFont="1" applyFill="1" applyBorder="1" applyAlignment="1">
      <alignment horizontal="center" vertical="center"/>
    </xf>
    <xf numFmtId="49" fontId="137" fillId="2" borderId="13" xfId="66" applyNumberFormat="1" applyFont="1" applyFill="1" applyBorder="1" applyAlignment="1">
      <alignment horizontal="center" vertical="center"/>
    </xf>
    <xf numFmtId="49" fontId="137" fillId="2" borderId="0" xfId="66" applyNumberFormat="1" applyFont="1" applyFill="1" applyAlignment="1">
      <alignment horizontal="center" vertical="center"/>
    </xf>
    <xf numFmtId="49" fontId="659" fillId="4" borderId="13" xfId="67" applyNumberFormat="1" applyFont="1" applyFill="1" applyBorder="1" applyAlignment="1">
      <alignment horizontal="center" vertical="center"/>
    </xf>
    <xf numFmtId="49" fontId="659" fillId="2" borderId="519" xfId="67" applyNumberFormat="1" applyFont="1" applyFill="1" applyBorder="1" applyAlignment="1">
      <alignment horizontal="center" vertical="center"/>
    </xf>
    <xf numFmtId="49" fontId="659" fillId="2" borderId="522" xfId="67" applyNumberFormat="1" applyFont="1" applyFill="1" applyBorder="1" applyAlignment="1">
      <alignment horizontal="center" vertical="center"/>
    </xf>
    <xf numFmtId="49" fontId="659" fillId="2" borderId="520" xfId="67" applyNumberFormat="1" applyFont="1" applyFill="1" applyBorder="1" applyAlignment="1">
      <alignment horizontal="center" vertical="center"/>
    </xf>
    <xf numFmtId="49" fontId="659" fillId="2" borderId="523" xfId="67" applyNumberFormat="1" applyFont="1" applyFill="1" applyBorder="1" applyAlignment="1">
      <alignment horizontal="center" vertical="center"/>
    </xf>
    <xf numFmtId="49" fontId="25" fillId="4" borderId="524" xfId="66" applyNumberFormat="1" applyFont="1" applyFill="1" applyBorder="1" applyAlignment="1">
      <alignment horizontal="center" vertical="center"/>
    </xf>
    <xf numFmtId="49" fontId="165" fillId="4" borderId="525" xfId="66" applyNumberFormat="1" applyFont="1" applyFill="1" applyBorder="1" applyAlignment="1">
      <alignment horizontal="center" vertical="center"/>
    </xf>
    <xf numFmtId="49" fontId="165" fillId="2" borderId="517" xfId="66" applyNumberFormat="1" applyFont="1" applyFill="1" applyBorder="1" applyAlignment="1">
      <alignment horizontal="center" vertical="center"/>
    </xf>
    <xf numFmtId="49" fontId="165" fillId="2" borderId="524" xfId="66" applyNumberFormat="1" applyFont="1" applyFill="1" applyBorder="1" applyAlignment="1">
      <alignment horizontal="center" vertical="center"/>
    </xf>
    <xf numFmtId="49" fontId="165" fillId="2" borderId="125" xfId="66" applyNumberFormat="1" applyFont="1" applyFill="1" applyBorder="1" applyAlignment="1">
      <alignment horizontal="center" vertical="center"/>
    </xf>
    <xf numFmtId="49" fontId="165" fillId="2" borderId="525" xfId="66" applyNumberFormat="1" applyFont="1" applyFill="1" applyBorder="1" applyAlignment="1">
      <alignment horizontal="center" vertical="center"/>
    </xf>
    <xf numFmtId="49" fontId="660" fillId="2" borderId="518" xfId="67" quotePrefix="1" applyNumberFormat="1" applyFont="1" applyFill="1" applyBorder="1" applyAlignment="1">
      <alignment horizontal="center" vertical="center"/>
    </xf>
    <xf numFmtId="49" fontId="660" fillId="2" borderId="521" xfId="67" quotePrefix="1" applyNumberFormat="1" applyFont="1" applyFill="1" applyBorder="1" applyAlignment="1">
      <alignment horizontal="center" vertical="center"/>
    </xf>
    <xf numFmtId="49" fontId="659" fillId="2" borderId="519" xfId="67" quotePrefix="1" applyNumberFormat="1" applyFont="1" applyFill="1" applyBorder="1" applyAlignment="1">
      <alignment horizontal="center" vertical="center"/>
    </xf>
    <xf numFmtId="49" fontId="659" fillId="2" borderId="522" xfId="67" quotePrefix="1" applyNumberFormat="1" applyFont="1" applyFill="1" applyBorder="1" applyAlignment="1">
      <alignment horizontal="center" vertical="center"/>
    </xf>
    <xf numFmtId="49" fontId="659" fillId="2" borderId="520" xfId="67" quotePrefix="1" applyNumberFormat="1" applyFont="1" applyFill="1" applyBorder="1" applyAlignment="1">
      <alignment horizontal="center" vertical="center"/>
    </xf>
    <xf numFmtId="49" fontId="659" fillId="2" borderId="523" xfId="67" quotePrefix="1" applyNumberFormat="1" applyFont="1" applyFill="1" applyBorder="1" applyAlignment="1">
      <alignment horizontal="center" vertical="center"/>
    </xf>
    <xf numFmtId="49" fontId="660" fillId="2" borderId="519" xfId="67" quotePrefix="1" applyNumberFormat="1" applyFont="1" applyFill="1" applyBorder="1" applyAlignment="1">
      <alignment horizontal="center" vertical="center"/>
    </xf>
    <xf numFmtId="49" fontId="660" fillId="2" borderId="522" xfId="67" quotePrefix="1" applyNumberFormat="1" applyFont="1" applyFill="1" applyBorder="1" applyAlignment="1">
      <alignment horizontal="center" vertical="center"/>
    </xf>
    <xf numFmtId="14" fontId="148" fillId="41" borderId="0" xfId="66" applyNumberFormat="1" applyFont="1" applyFill="1" applyAlignment="1">
      <alignment horizontal="center" vertical="center"/>
    </xf>
    <xf numFmtId="0" fontId="345" fillId="30" borderId="517" xfId="66" applyFont="1" applyFill="1" applyBorder="1" applyAlignment="1">
      <alignment horizontal="right" vertical="center"/>
    </xf>
    <xf numFmtId="0" fontId="345" fillId="30" borderId="13" xfId="66" applyFont="1" applyFill="1" applyBorder="1" applyAlignment="1">
      <alignment horizontal="right" vertical="center"/>
    </xf>
    <xf numFmtId="49" fontId="661" fillId="0" borderId="125" xfId="13" applyNumberFormat="1" applyFont="1" applyBorder="1" applyAlignment="1">
      <alignment horizontal="left" vertical="center"/>
    </xf>
    <xf numFmtId="49" fontId="661" fillId="0" borderId="526" xfId="13" applyNumberFormat="1" applyFont="1" applyBorder="1" applyAlignment="1">
      <alignment horizontal="left" vertical="center"/>
    </xf>
    <xf numFmtId="49" fontId="661" fillId="0" borderId="0" xfId="13" applyNumberFormat="1" applyFont="1" applyBorder="1" applyAlignment="1">
      <alignment horizontal="left" vertical="center"/>
    </xf>
    <xf numFmtId="49" fontId="661" fillId="0" borderId="12" xfId="13" applyNumberFormat="1" applyFont="1" applyBorder="1" applyAlignment="1">
      <alignment horizontal="left" vertical="center"/>
    </xf>
    <xf numFmtId="203" fontId="148" fillId="41" borderId="0" xfId="66" applyNumberFormat="1" applyFont="1" applyFill="1" applyAlignment="1">
      <alignment horizontal="center" vertical="center"/>
    </xf>
    <xf numFmtId="205" fontId="148" fillId="54" borderId="0" xfId="67" applyNumberFormat="1" applyFont="1" applyFill="1" applyAlignment="1">
      <alignment horizontal="center" vertical="center"/>
    </xf>
    <xf numFmtId="203" fontId="375" fillId="41" borderId="0" xfId="67" applyNumberFormat="1" applyFont="1" applyFill="1" applyAlignment="1">
      <alignment horizontal="left" vertical="center"/>
    </xf>
    <xf numFmtId="206" fontId="665" fillId="45" borderId="0" xfId="66" applyNumberFormat="1" applyFont="1" applyFill="1" applyAlignment="1">
      <alignment horizontal="center" vertical="center"/>
    </xf>
    <xf numFmtId="14" fontId="148" fillId="41" borderId="0" xfId="31" applyNumberFormat="1" applyFont="1" applyFill="1" applyAlignment="1">
      <alignment horizontal="center"/>
    </xf>
    <xf numFmtId="14" fontId="16" fillId="41" borderId="0" xfId="67" applyNumberFormat="1" applyFont="1" applyFill="1" applyAlignment="1">
      <alignment horizontal="center" vertical="center"/>
    </xf>
    <xf numFmtId="203" fontId="16" fillId="41" borderId="0" xfId="67" applyNumberFormat="1" applyFont="1" applyFill="1" applyAlignment="1">
      <alignment horizontal="center" vertical="center"/>
    </xf>
    <xf numFmtId="14" fontId="347" fillId="41" borderId="0" xfId="31" applyNumberFormat="1" applyFont="1" applyFill="1" applyAlignment="1">
      <alignment horizontal="center"/>
    </xf>
    <xf numFmtId="0" fontId="375" fillId="41" borderId="0" xfId="67" applyFont="1" applyFill="1" applyAlignment="1">
      <alignment horizontal="center" vertical="center"/>
    </xf>
    <xf numFmtId="0" fontId="479" fillId="24" borderId="405" xfId="31" applyFont="1" applyFill="1" applyBorder="1" applyAlignment="1">
      <alignment horizontal="center" vertical="center"/>
    </xf>
    <xf numFmtId="0" fontId="479" fillId="24" borderId="13" xfId="31" applyFont="1" applyFill="1" applyBorder="1" applyAlignment="1">
      <alignment horizontal="center" vertical="center"/>
    </xf>
    <xf numFmtId="0" fontId="137" fillId="180" borderId="406" xfId="67" applyFont="1" applyFill="1" applyBorder="1" applyAlignment="1">
      <alignment horizontal="center" vertical="center"/>
    </xf>
    <xf numFmtId="0" fontId="78" fillId="2" borderId="0" xfId="31" applyFont="1" applyFill="1" applyAlignment="1">
      <alignment horizontal="left" vertical="center" wrapText="1"/>
    </xf>
    <xf numFmtId="0" fontId="78" fillId="2" borderId="12" xfId="31" applyFont="1" applyFill="1" applyBorder="1" applyAlignment="1">
      <alignment horizontal="left" vertical="center" wrapText="1"/>
    </xf>
    <xf numFmtId="0" fontId="10" fillId="16" borderId="97" xfId="73" applyFont="1" applyFill="1" applyBorder="1" applyAlignment="1">
      <alignment horizontal="center" vertical="center"/>
    </xf>
    <xf numFmtId="0" fontId="10" fillId="16" borderId="149" xfId="73" applyFont="1" applyFill="1" applyBorder="1" applyAlignment="1">
      <alignment horizontal="center" vertical="center"/>
    </xf>
    <xf numFmtId="0" fontId="90" fillId="185" borderId="406" xfId="67" applyFont="1" applyFill="1" applyBorder="1" applyAlignment="1">
      <alignment horizontal="center" vertical="center"/>
    </xf>
    <xf numFmtId="0" fontId="343" fillId="185" borderId="13" xfId="31" applyFont="1" applyFill="1" applyBorder="1" applyAlignment="1">
      <alignment horizontal="center" vertical="center" textRotation="90"/>
    </xf>
    <xf numFmtId="0" fontId="343" fillId="185" borderId="481" xfId="31" applyFont="1" applyFill="1" applyBorder="1" applyAlignment="1">
      <alignment horizontal="center" vertical="center" textRotation="90"/>
    </xf>
    <xf numFmtId="0" fontId="345" fillId="186" borderId="0" xfId="73" applyFont="1" applyFill="1" applyAlignment="1">
      <alignment horizontal="center" vertical="center"/>
    </xf>
    <xf numFmtId="0" fontId="345" fillId="186" borderId="12" xfId="73" applyFont="1" applyFill="1" applyBorder="1" applyAlignment="1">
      <alignment horizontal="center" vertical="center"/>
    </xf>
    <xf numFmtId="0" fontId="812" fillId="13" borderId="0" xfId="6" applyFont="1" applyFill="1" applyAlignment="1" applyProtection="1">
      <alignment horizontal="center" vertical="center"/>
      <protection locked="0"/>
    </xf>
    <xf numFmtId="0" fontId="812" fillId="13" borderId="12" xfId="6" applyFont="1" applyFill="1" applyBorder="1" applyAlignment="1" applyProtection="1">
      <alignment horizontal="center" vertical="center"/>
      <protection locked="0"/>
    </xf>
    <xf numFmtId="0" fontId="127" fillId="180" borderId="13" xfId="31" applyFont="1" applyFill="1" applyBorder="1" applyAlignment="1">
      <alignment horizontal="center" vertical="center" textRotation="90"/>
    </xf>
    <xf numFmtId="0" fontId="127" fillId="180" borderId="481" xfId="31" applyFont="1" applyFill="1" applyBorder="1" applyAlignment="1">
      <alignment horizontal="center" vertical="center" textRotation="90"/>
    </xf>
    <xf numFmtId="0" fontId="275" fillId="181" borderId="0" xfId="73" applyFont="1" applyFill="1" applyAlignment="1">
      <alignment horizontal="center" vertical="center"/>
    </xf>
    <xf numFmtId="0" fontId="275" fillId="181" borderId="12" xfId="73" applyFont="1" applyFill="1" applyBorder="1" applyAlignment="1">
      <alignment horizontal="center" vertical="center"/>
    </xf>
    <xf numFmtId="0" fontId="101" fillId="180" borderId="97" xfId="73" applyFont="1" applyFill="1" applyBorder="1" applyAlignment="1">
      <alignment horizontal="center" vertical="center"/>
    </xf>
    <xf numFmtId="0" fontId="101" fillId="180" borderId="149" xfId="73" applyFont="1" applyFill="1" applyBorder="1" applyAlignment="1">
      <alignment horizontal="center" vertical="center"/>
    </xf>
    <xf numFmtId="0" fontId="806" fillId="13" borderId="0" xfId="73" applyFont="1" applyFill="1" applyAlignment="1">
      <alignment horizontal="center" vertical="center"/>
    </xf>
    <xf numFmtId="0" fontId="0" fillId="2" borderId="0" xfId="0" applyFill="1" applyAlignment="1">
      <alignment horizontal="left" vertical="top" wrapText="1"/>
    </xf>
    <xf numFmtId="0" fontId="0" fillId="2" borderId="12" xfId="0" applyFill="1" applyBorder="1" applyAlignment="1">
      <alignment horizontal="left" vertical="top" wrapText="1"/>
    </xf>
    <xf numFmtId="0" fontId="5" fillId="2" borderId="0" xfId="0" applyFont="1" applyFill="1" applyAlignment="1">
      <alignment horizontal="left" vertical="top" wrapText="1"/>
    </xf>
    <xf numFmtId="0" fontId="5" fillId="2" borderId="12" xfId="0" applyFont="1" applyFill="1" applyBorder="1" applyAlignment="1">
      <alignment horizontal="left" vertical="top" wrapText="1"/>
    </xf>
    <xf numFmtId="0" fontId="4" fillId="2" borderId="0" xfId="0" applyFont="1" applyFill="1" applyAlignment="1">
      <alignment horizontal="left" vertical="center" wrapText="1"/>
    </xf>
    <xf numFmtId="0" fontId="4" fillId="2" borderId="12" xfId="0" applyFont="1" applyFill="1" applyBorder="1" applyAlignment="1">
      <alignment horizontal="left" vertical="center" wrapText="1"/>
    </xf>
    <xf numFmtId="0" fontId="0" fillId="2" borderId="0" xfId="0" applyFill="1" applyAlignment="1">
      <alignment horizontal="center" vertical="top" wrapText="1"/>
    </xf>
    <xf numFmtId="0" fontId="0" fillId="2" borderId="12" xfId="0" applyFill="1" applyBorder="1" applyAlignment="1">
      <alignment horizontal="center" vertical="top" wrapText="1"/>
    </xf>
    <xf numFmtId="0" fontId="5" fillId="2" borderId="0" xfId="0" applyFont="1" applyFill="1" applyAlignment="1">
      <alignment horizontal="center" vertical="top" wrapText="1"/>
    </xf>
    <xf numFmtId="0" fontId="5" fillId="2" borderId="12" xfId="0" applyFont="1" applyFill="1" applyBorder="1" applyAlignment="1">
      <alignment horizontal="center" vertical="top" wrapText="1"/>
    </xf>
    <xf numFmtId="0" fontId="137" fillId="8" borderId="406" xfId="0" applyFont="1" applyFill="1" applyBorder="1" applyAlignment="1">
      <alignment horizontal="center" vertical="center"/>
    </xf>
    <xf numFmtId="0" fontId="137" fillId="8" borderId="407" xfId="0" applyFont="1" applyFill="1" applyBorder="1" applyAlignment="1">
      <alignment horizontal="center" vertical="center"/>
    </xf>
    <xf numFmtId="0" fontId="803" fillId="81" borderId="0" xfId="0" applyFont="1" applyFill="1" applyAlignment="1">
      <alignment horizontal="center" vertical="center"/>
    </xf>
    <xf numFmtId="0" fontId="804" fillId="82" borderId="0" xfId="73" applyFont="1" applyFill="1" applyAlignment="1">
      <alignment horizontal="center" vertical="center"/>
    </xf>
    <xf numFmtId="0" fontId="343" fillId="8" borderId="13" xfId="31" applyFont="1" applyFill="1" applyBorder="1" applyAlignment="1">
      <alignment horizontal="center" vertical="center" textRotation="90"/>
    </xf>
    <xf numFmtId="0" fontId="343" fillId="8" borderId="481" xfId="31" applyFont="1" applyFill="1" applyBorder="1" applyAlignment="1">
      <alignment horizontal="center" vertical="center" textRotation="90"/>
    </xf>
    <xf numFmtId="0" fontId="209" fillId="13" borderId="405" xfId="25" applyFont="1" applyFill="1" applyBorder="1" applyAlignment="1">
      <alignment horizontal="center" vertical="center" wrapText="1"/>
    </xf>
    <xf numFmtId="0" fontId="209" fillId="13" borderId="407" xfId="25" applyFont="1" applyFill="1" applyBorder="1" applyAlignment="1">
      <alignment horizontal="center" vertical="center" wrapText="1"/>
    </xf>
    <xf numFmtId="49" fontId="515" fillId="14" borderId="423" xfId="25" applyNumberFormat="1" applyFont="1" applyFill="1" applyBorder="1" applyAlignment="1">
      <alignment horizontal="center" vertical="center" wrapText="1"/>
    </xf>
    <xf numFmtId="49" fontId="149" fillId="144" borderId="0" xfId="25" applyNumberFormat="1" applyFont="1" applyFill="1" applyAlignment="1">
      <alignment horizontal="center" vertical="center" wrapText="1"/>
    </xf>
    <xf numFmtId="0" fontId="166" fillId="41" borderId="0" xfId="25" applyFont="1" applyFill="1" applyAlignment="1">
      <alignment horizontal="center" vertical="center" wrapText="1"/>
    </xf>
    <xf numFmtId="0" fontId="27" fillId="41" borderId="0" xfId="25" applyFont="1" applyFill="1" applyAlignment="1">
      <alignment horizontal="center" vertical="center" wrapText="1"/>
    </xf>
    <xf numFmtId="49" fontId="344" fillId="145" borderId="0" xfId="25" applyNumberFormat="1" applyFont="1" applyFill="1" applyAlignment="1">
      <alignment horizontal="center" wrapText="1"/>
    </xf>
    <xf numFmtId="49" fontId="344" fillId="145" borderId="12" xfId="25" applyNumberFormat="1" applyFont="1" applyFill="1" applyBorder="1" applyAlignment="1">
      <alignment horizontal="center" wrapText="1"/>
    </xf>
    <xf numFmtId="0" fontId="518" fillId="13" borderId="424" xfId="25" applyFont="1" applyFill="1" applyBorder="1" applyAlignment="1">
      <alignment horizontal="center" vertical="center" wrapText="1"/>
    </xf>
    <xf numFmtId="0" fontId="518" fillId="13" borderId="426" xfId="25" applyFont="1" applyFill="1" applyBorder="1" applyAlignment="1">
      <alignment horizontal="center" vertical="center" wrapText="1"/>
    </xf>
    <xf numFmtId="0" fontId="511" fillId="13" borderId="425" xfId="25" applyFont="1" applyFill="1" applyBorder="1" applyAlignment="1">
      <alignment horizontal="center" vertical="center" wrapText="1"/>
    </xf>
    <xf numFmtId="0" fontId="511" fillId="13" borderId="427" xfId="25" applyFont="1" applyFill="1" applyBorder="1" applyAlignment="1">
      <alignment horizontal="center" vertical="center" wrapText="1"/>
    </xf>
    <xf numFmtId="49" fontId="209" fillId="5" borderId="13" xfId="25" applyNumberFormat="1" applyFont="1" applyFill="1" applyBorder="1" applyAlignment="1">
      <alignment horizontal="center" vertical="center" wrapText="1"/>
    </xf>
    <xf numFmtId="49" fontId="209" fillId="5" borderId="0" xfId="25" applyNumberFormat="1" applyFont="1" applyFill="1" applyAlignment="1">
      <alignment horizontal="center" vertical="center" wrapText="1"/>
    </xf>
    <xf numFmtId="49" fontId="209" fillId="5" borderId="12" xfId="25" applyNumberFormat="1" applyFont="1" applyFill="1" applyBorder="1" applyAlignment="1">
      <alignment horizontal="center" vertical="center" wrapText="1"/>
    </xf>
    <xf numFmtId="49" fontId="209" fillId="14" borderId="0" xfId="25" applyNumberFormat="1" applyFont="1" applyFill="1" applyAlignment="1">
      <alignment horizontal="center" vertical="center" wrapText="1"/>
    </xf>
    <xf numFmtId="0" fontId="227" fillId="14" borderId="0" xfId="25" applyFont="1" applyFill="1" applyAlignment="1">
      <alignment horizontal="center" vertical="center" wrapText="1"/>
    </xf>
    <xf numFmtId="49" fontId="219" fillId="145" borderId="145" xfId="25" applyNumberFormat="1" applyFont="1" applyFill="1" applyBorder="1" applyAlignment="1">
      <alignment horizontal="center" wrapText="1"/>
    </xf>
    <xf numFmtId="0" fontId="475" fillId="0" borderId="405" xfId="25" applyFont="1" applyBorder="1" applyAlignment="1">
      <alignment horizontal="left" vertical="center"/>
    </xf>
    <xf numFmtId="0" fontId="475" fillId="0" borderId="406" xfId="25" applyFont="1" applyBorder="1" applyAlignment="1">
      <alignment horizontal="left" vertical="center"/>
    </xf>
    <xf numFmtId="0" fontId="475" fillId="0" borderId="407" xfId="25" applyFont="1" applyBorder="1" applyAlignment="1">
      <alignment horizontal="left" vertical="center"/>
    </xf>
    <xf numFmtId="0" fontId="475" fillId="0" borderId="416" xfId="25" applyFont="1" applyBorder="1" applyAlignment="1">
      <alignment horizontal="left" vertical="center"/>
    </xf>
    <xf numFmtId="0" fontId="475" fillId="0" borderId="601" xfId="25" applyFont="1" applyBorder="1" applyAlignment="1">
      <alignment horizontal="left" vertical="center"/>
    </xf>
    <xf numFmtId="0" fontId="475" fillId="0" borderId="410" xfId="25" applyFont="1" applyBorder="1" applyAlignment="1">
      <alignment horizontal="left" vertical="center"/>
    </xf>
    <xf numFmtId="0" fontId="506" fillId="2" borderId="602" xfId="25" applyFont="1" applyFill="1" applyBorder="1" applyAlignment="1">
      <alignment horizontal="center" vertical="center"/>
    </xf>
    <xf numFmtId="0" fontId="506" fillId="2" borderId="367" xfId="25" applyFont="1" applyFill="1" applyBorder="1" applyAlignment="1">
      <alignment horizontal="center" vertical="center"/>
    </xf>
    <xf numFmtId="0" fontId="474" fillId="32" borderId="203" xfId="25" applyFont="1" applyFill="1" applyBorder="1" applyAlignment="1">
      <alignment horizontal="center" vertical="center" wrapText="1"/>
    </xf>
    <xf numFmtId="0" fontId="474" fillId="32" borderId="599" xfId="25" applyFont="1" applyFill="1" applyBorder="1" applyAlignment="1">
      <alignment horizontal="center" vertical="center" wrapText="1"/>
    </xf>
    <xf numFmtId="0" fontId="474" fillId="32" borderId="13" xfId="25" applyFont="1" applyFill="1" applyBorder="1" applyAlignment="1">
      <alignment horizontal="center" vertical="center" wrapText="1"/>
    </xf>
    <xf numFmtId="0" fontId="474" fillId="32" borderId="0" xfId="25" applyFont="1" applyFill="1" applyAlignment="1">
      <alignment horizontal="center" vertical="center" wrapText="1"/>
    </xf>
    <xf numFmtId="0" fontId="508" fillId="14" borderId="418" xfId="25" applyFont="1" applyFill="1" applyBorder="1" applyAlignment="1">
      <alignment horizontal="center" vertical="center"/>
    </xf>
    <xf numFmtId="0" fontId="508" fillId="14" borderId="419" xfId="25" applyFont="1" applyFill="1" applyBorder="1" applyAlignment="1">
      <alignment horizontal="center" vertical="center"/>
    </xf>
    <xf numFmtId="0" fontId="509" fillId="2" borderId="367" xfId="25" applyFont="1" applyFill="1" applyBorder="1" applyAlignment="1">
      <alignment horizontal="center" vertical="center" wrapText="1"/>
    </xf>
    <xf numFmtId="0" fontId="138" fillId="2" borderId="0" xfId="25" applyFont="1" applyFill="1" applyAlignment="1">
      <alignment horizontal="center" wrapText="1"/>
    </xf>
    <xf numFmtId="0" fontId="138" fillId="2" borderId="12" xfId="25" applyFont="1" applyFill="1" applyBorder="1" applyAlignment="1">
      <alignment horizontal="center" wrapText="1"/>
    </xf>
    <xf numFmtId="0" fontId="50" fillId="45" borderId="405" xfId="2" applyFont="1" applyFill="1" applyBorder="1" applyAlignment="1" applyProtection="1">
      <alignment horizontal="center" vertical="center"/>
      <protection hidden="1"/>
    </xf>
    <xf numFmtId="0" fontId="50" fillId="45" borderId="406" xfId="2" applyFont="1" applyFill="1" applyBorder="1" applyAlignment="1" applyProtection="1">
      <alignment horizontal="center" vertical="center"/>
      <protection hidden="1"/>
    </xf>
    <xf numFmtId="0" fontId="50" fillId="45" borderId="407" xfId="2" applyFont="1" applyFill="1" applyBorder="1" applyAlignment="1" applyProtection="1">
      <alignment horizontal="center" vertical="center"/>
      <protection hidden="1"/>
    </xf>
    <xf numFmtId="0" fontId="34" fillId="2" borderId="13" xfId="2" applyFont="1" applyFill="1" applyBorder="1" applyAlignment="1" applyProtection="1">
      <alignment horizontal="center" vertical="center"/>
      <protection hidden="1"/>
    </xf>
    <xf numFmtId="0" fontId="34" fillId="2" borderId="0" xfId="2" applyFont="1" applyFill="1" applyAlignment="1" applyProtection="1">
      <alignment horizontal="center" vertical="center"/>
      <protection hidden="1"/>
    </xf>
    <xf numFmtId="0" fontId="34" fillId="2" borderId="12" xfId="2" applyFont="1" applyFill="1" applyBorder="1" applyAlignment="1" applyProtection="1">
      <alignment horizontal="center" vertical="center"/>
      <protection hidden="1"/>
    </xf>
    <xf numFmtId="0" fontId="527" fillId="2" borderId="412" xfId="3" applyFont="1" applyFill="1" applyBorder="1" applyAlignment="1" applyProtection="1">
      <alignment horizontal="center" vertical="center"/>
      <protection hidden="1"/>
    </xf>
    <xf numFmtId="0" fontId="527" fillId="2" borderId="413" xfId="3" applyFont="1" applyFill="1" applyBorder="1" applyAlignment="1" applyProtection="1">
      <alignment horizontal="center" vertical="center"/>
      <protection hidden="1"/>
    </xf>
    <xf numFmtId="0" fontId="50" fillId="17" borderId="0" xfId="12" applyFont="1" applyFill="1" applyAlignment="1" applyProtection="1">
      <alignment horizontal="center" vertical="center" wrapText="1"/>
      <protection hidden="1"/>
    </xf>
    <xf numFmtId="0" fontId="10" fillId="30" borderId="316" xfId="66" applyFont="1" applyFill="1" applyBorder="1" applyAlignment="1">
      <alignment horizontal="center" vertical="center"/>
    </xf>
    <xf numFmtId="0" fontId="10" fillId="30" borderId="0" xfId="66" applyFont="1" applyFill="1" applyAlignment="1">
      <alignment horizontal="center" vertical="center"/>
    </xf>
    <xf numFmtId="0" fontId="10" fillId="30" borderId="41" xfId="66" applyFont="1" applyFill="1" applyBorder="1" applyAlignment="1">
      <alignment horizontal="center" vertical="center"/>
    </xf>
    <xf numFmtId="0" fontId="101" fillId="2" borderId="316" xfId="66" applyFont="1" applyFill="1" applyBorder="1" applyAlignment="1">
      <alignment horizontal="center" vertical="center" wrapText="1"/>
    </xf>
    <xf numFmtId="0" fontId="101" fillId="2" borderId="0" xfId="66" applyFont="1" applyFill="1" applyAlignment="1">
      <alignment horizontal="center" vertical="center" wrapText="1"/>
    </xf>
    <xf numFmtId="0" fontId="101" fillId="2" borderId="41" xfId="66" applyFont="1" applyFill="1" applyBorder="1" applyAlignment="1">
      <alignment horizontal="center" vertical="center" wrapText="1"/>
    </xf>
    <xf numFmtId="0" fontId="100" fillId="2" borderId="240" xfId="2" applyFont="1" applyFill="1" applyBorder="1" applyAlignment="1" applyProtection="1">
      <alignment horizontal="center" vertical="center"/>
      <protection hidden="1"/>
    </xf>
    <xf numFmtId="0" fontId="100" fillId="2" borderId="230" xfId="2" applyFont="1" applyFill="1" applyBorder="1" applyAlignment="1" applyProtection="1">
      <alignment horizontal="center" vertical="center"/>
      <protection hidden="1"/>
    </xf>
    <xf numFmtId="0" fontId="100" fillId="2" borderId="241" xfId="2" applyFont="1" applyFill="1" applyBorder="1" applyAlignment="1" applyProtection="1">
      <alignment horizontal="center" vertical="center"/>
      <protection hidden="1"/>
    </xf>
    <xf numFmtId="0" fontId="119" fillId="2" borderId="490" xfId="66" applyFont="1" applyFill="1" applyBorder="1" applyAlignment="1">
      <alignment horizontal="center" vertical="center" wrapText="1"/>
    </xf>
    <xf numFmtId="0" fontId="119" fillId="2" borderId="325" xfId="66" applyFont="1" applyFill="1" applyBorder="1" applyAlignment="1">
      <alignment horizontal="center" vertical="center" wrapText="1"/>
    </xf>
    <xf numFmtId="0" fontId="119" fillId="2" borderId="491" xfId="66" applyFont="1" applyFill="1" applyBorder="1" applyAlignment="1">
      <alignment horizontal="center" vertical="center" wrapText="1"/>
    </xf>
    <xf numFmtId="0" fontId="119" fillId="2" borderId="316" xfId="66" applyFont="1" applyFill="1" applyBorder="1" applyAlignment="1">
      <alignment horizontal="center" vertical="center" wrapText="1"/>
    </xf>
    <xf numFmtId="0" fontId="119" fillId="2" borderId="0" xfId="66" applyFont="1" applyFill="1" applyAlignment="1">
      <alignment horizontal="center" vertical="center" wrapText="1"/>
    </xf>
    <xf numFmtId="0" fontId="119" fillId="2" borderId="41" xfId="66" applyFont="1" applyFill="1" applyBorder="1" applyAlignment="1">
      <alignment horizontal="center" vertical="center" wrapText="1"/>
    </xf>
    <xf numFmtId="0" fontId="119" fillId="2" borderId="402" xfId="66" applyFont="1" applyFill="1" applyBorder="1" applyAlignment="1">
      <alignment horizontal="center" vertical="center" wrapText="1"/>
    </xf>
    <xf numFmtId="0" fontId="119" fillId="2" borderId="403" xfId="66" applyFont="1" applyFill="1" applyBorder="1" applyAlignment="1">
      <alignment horizontal="center" vertical="center" wrapText="1"/>
    </xf>
    <xf numFmtId="0" fontId="119" fillId="2" borderId="404" xfId="66" applyFont="1" applyFill="1" applyBorder="1" applyAlignment="1">
      <alignment horizontal="center" vertical="center" wrapText="1"/>
    </xf>
    <xf numFmtId="0" fontId="11" fillId="17" borderId="490" xfId="66" applyFont="1" applyFill="1" applyBorder="1" applyAlignment="1">
      <alignment horizontal="center" vertical="center" wrapText="1"/>
    </xf>
    <xf numFmtId="0" fontId="11" fillId="17" borderId="325" xfId="66" applyFont="1" applyFill="1" applyBorder="1" applyAlignment="1">
      <alignment horizontal="center" vertical="center" wrapText="1"/>
    </xf>
    <xf numFmtId="0" fontId="11" fillId="17" borderId="491" xfId="66" applyFont="1" applyFill="1" applyBorder="1" applyAlignment="1">
      <alignment horizontal="center" vertical="center" wrapText="1"/>
    </xf>
    <xf numFmtId="0" fontId="11" fillId="17" borderId="316" xfId="66" applyFont="1" applyFill="1" applyBorder="1" applyAlignment="1">
      <alignment horizontal="center" vertical="center" wrapText="1"/>
    </xf>
    <xf numFmtId="0" fontId="11" fillId="17" borderId="0" xfId="66" applyFont="1" applyFill="1" applyAlignment="1">
      <alignment horizontal="center" vertical="center" wrapText="1"/>
    </xf>
    <xf numFmtId="0" fontId="11" fillId="17" borderId="41" xfId="66" applyFont="1" applyFill="1" applyBorder="1" applyAlignment="1">
      <alignment horizontal="center" vertical="center" wrapText="1"/>
    </xf>
    <xf numFmtId="0" fontId="11" fillId="17" borderId="402" xfId="66" applyFont="1" applyFill="1" applyBorder="1" applyAlignment="1">
      <alignment horizontal="center" vertical="center" wrapText="1"/>
    </xf>
    <xf numFmtId="0" fontId="11" fillId="17" borderId="403" xfId="66" applyFont="1" applyFill="1" applyBorder="1" applyAlignment="1">
      <alignment horizontal="center" vertical="center" wrapText="1"/>
    </xf>
    <xf numFmtId="0" fontId="11" fillId="17" borderId="404" xfId="66" applyFont="1" applyFill="1" applyBorder="1" applyAlignment="1">
      <alignment horizontal="center" vertical="center" wrapText="1"/>
    </xf>
    <xf numFmtId="0" fontId="178" fillId="2" borderId="490" xfId="66" applyFont="1" applyFill="1" applyBorder="1" applyAlignment="1">
      <alignment horizontal="center" vertical="center" wrapText="1"/>
    </xf>
    <xf numFmtId="0" fontId="178" fillId="2" borderId="325" xfId="66" applyFont="1" applyFill="1" applyBorder="1" applyAlignment="1">
      <alignment horizontal="center" vertical="center" wrapText="1"/>
    </xf>
    <xf numFmtId="0" fontId="178" fillId="2" borderId="491" xfId="66" applyFont="1" applyFill="1" applyBorder="1" applyAlignment="1">
      <alignment horizontal="center" vertical="center" wrapText="1"/>
    </xf>
    <xf numFmtId="0" fontId="178" fillId="2" borderId="316" xfId="66" applyFont="1" applyFill="1" applyBorder="1" applyAlignment="1">
      <alignment horizontal="center" vertical="center" wrapText="1"/>
    </xf>
    <xf numFmtId="0" fontId="178" fillId="2" borderId="0" xfId="66" applyFont="1" applyFill="1" applyAlignment="1">
      <alignment horizontal="center" vertical="center" wrapText="1"/>
    </xf>
    <xf numFmtId="0" fontId="178" fillId="2" borderId="41" xfId="66" applyFont="1" applyFill="1" applyBorder="1" applyAlignment="1">
      <alignment horizontal="center" vertical="center" wrapText="1"/>
    </xf>
    <xf numFmtId="0" fontId="138" fillId="2" borderId="316" xfId="66" applyFont="1" applyFill="1" applyBorder="1" applyAlignment="1">
      <alignment horizontal="center" vertical="center" wrapText="1"/>
    </xf>
    <xf numFmtId="0" fontId="138" fillId="2" borderId="0" xfId="66" applyFont="1" applyFill="1" applyAlignment="1">
      <alignment horizontal="center" vertical="center" wrapText="1"/>
    </xf>
    <xf numFmtId="0" fontId="138" fillId="2" borderId="41" xfId="66" applyFont="1" applyFill="1" applyBorder="1" applyAlignment="1">
      <alignment horizontal="center" vertical="center" wrapText="1"/>
    </xf>
    <xf numFmtId="0" fontId="138" fillId="2" borderId="402" xfId="66" applyFont="1" applyFill="1" applyBorder="1" applyAlignment="1">
      <alignment horizontal="center" vertical="center" wrapText="1"/>
    </xf>
    <xf numFmtId="0" fontId="138" fillId="2" borderId="403" xfId="66" applyFont="1" applyFill="1" applyBorder="1" applyAlignment="1">
      <alignment horizontal="center" vertical="center" wrapText="1"/>
    </xf>
    <xf numFmtId="0" fontId="138" fillId="2" borderId="404" xfId="66" applyFont="1" applyFill="1" applyBorder="1" applyAlignment="1">
      <alignment horizontal="center" vertical="center" wrapText="1"/>
    </xf>
    <xf numFmtId="0" fontId="117" fillId="2" borderId="0" xfId="14" applyFont="1" applyFill="1" applyAlignment="1" applyProtection="1">
      <alignment horizontal="left" vertical="center"/>
    </xf>
    <xf numFmtId="0" fontId="230" fillId="8" borderId="406" xfId="2" applyFont="1" applyFill="1" applyBorder="1" applyAlignment="1">
      <alignment horizontal="center" vertical="center"/>
    </xf>
    <xf numFmtId="0" fontId="230" fillId="8" borderId="407" xfId="2" applyFont="1" applyFill="1" applyBorder="1" applyAlignment="1">
      <alignment horizontal="center" vertical="center"/>
    </xf>
    <xf numFmtId="0" fontId="219" fillId="2" borderId="0" xfId="2" applyFont="1" applyFill="1" applyAlignment="1">
      <alignment horizontal="center" vertical="center"/>
    </xf>
    <xf numFmtId="0" fontId="219" fillId="2" borderId="12" xfId="2" applyFont="1" applyFill="1" applyBorder="1" applyAlignment="1">
      <alignment horizontal="center" vertical="center"/>
    </xf>
    <xf numFmtId="0" fontId="679" fillId="87" borderId="0" xfId="2" applyFont="1" applyFill="1" applyAlignment="1">
      <alignment horizontal="left" vertical="center"/>
    </xf>
    <xf numFmtId="0" fontId="679" fillId="87" borderId="12" xfId="2" applyFont="1" applyFill="1" applyBorder="1" applyAlignment="1">
      <alignment horizontal="left" vertical="center"/>
    </xf>
    <xf numFmtId="0" fontId="209" fillId="0" borderId="0" xfId="2" applyFont="1" applyAlignment="1">
      <alignment horizontal="center" vertical="center"/>
    </xf>
    <xf numFmtId="0" fontId="209" fillId="0" borderId="12" xfId="2" applyFont="1" applyBorder="1" applyAlignment="1">
      <alignment horizontal="center" vertical="center"/>
    </xf>
    <xf numFmtId="0" fontId="242" fillId="166" borderId="13" xfId="2" applyFont="1" applyFill="1" applyBorder="1" applyAlignment="1">
      <alignment horizontal="center" vertical="center"/>
    </xf>
    <xf numFmtId="0" fontId="680" fillId="85" borderId="0" xfId="2" applyFont="1" applyFill="1" applyAlignment="1">
      <alignment horizontal="left" vertical="top" wrapText="1"/>
    </xf>
    <xf numFmtId="0" fontId="680" fillId="85" borderId="12" xfId="2" applyFont="1" applyFill="1" applyBorder="1" applyAlignment="1">
      <alignment horizontal="left" vertical="top" wrapText="1"/>
    </xf>
    <xf numFmtId="0" fontId="114" fillId="44" borderId="316" xfId="66" applyFont="1" applyFill="1" applyBorder="1" applyAlignment="1">
      <alignment horizontal="center" vertical="center" wrapText="1"/>
    </xf>
    <xf numFmtId="0" fontId="114" fillId="44" borderId="0" xfId="66" applyFont="1" applyFill="1" applyAlignment="1">
      <alignment horizontal="center" vertical="center" wrapText="1"/>
    </xf>
    <xf numFmtId="0" fontId="114" fillId="44" borderId="41" xfId="66" applyFont="1" applyFill="1" applyBorder="1" applyAlignment="1">
      <alignment horizontal="center" vertical="center" wrapText="1"/>
    </xf>
    <xf numFmtId="0" fontId="156" fillId="13" borderId="316" xfId="66" applyFont="1" applyFill="1" applyBorder="1" applyAlignment="1">
      <alignment horizontal="center" vertical="center" wrapText="1"/>
    </xf>
    <xf numFmtId="0" fontId="156" fillId="13" borderId="0" xfId="66" applyFont="1" applyFill="1" applyAlignment="1">
      <alignment horizontal="center" vertical="center" wrapText="1"/>
    </xf>
    <xf numFmtId="0" fontId="156" fillId="13" borderId="41" xfId="66" applyFont="1" applyFill="1" applyBorder="1" applyAlignment="1">
      <alignment horizontal="center" vertical="center" wrapText="1"/>
    </xf>
    <xf numFmtId="0" fontId="156" fillId="13" borderId="402" xfId="66" applyFont="1" applyFill="1" applyBorder="1" applyAlignment="1">
      <alignment horizontal="center" vertical="center" wrapText="1"/>
    </xf>
    <xf numFmtId="0" fontId="156" fillId="13" borderId="403" xfId="66" applyFont="1" applyFill="1" applyBorder="1" applyAlignment="1">
      <alignment horizontal="center" vertical="center" wrapText="1"/>
    </xf>
    <xf numFmtId="0" fontId="156" fillId="13" borderId="404" xfId="66" applyFont="1" applyFill="1" applyBorder="1" applyAlignment="1">
      <alignment horizontal="center" vertical="center" wrapText="1"/>
    </xf>
    <xf numFmtId="0" fontId="242" fillId="24" borderId="405" xfId="2" applyFont="1" applyFill="1" applyBorder="1" applyAlignment="1">
      <alignment horizontal="center" vertical="center"/>
    </xf>
    <xf numFmtId="0" fontId="242" fillId="24" borderId="406" xfId="2" applyFont="1" applyFill="1" applyBorder="1" applyAlignment="1">
      <alignment horizontal="center" vertical="center"/>
    </xf>
    <xf numFmtId="0" fontId="242" fillId="24" borderId="407" xfId="2" applyFont="1" applyFill="1" applyBorder="1" applyAlignment="1">
      <alignment horizontal="center" vertical="center"/>
    </xf>
    <xf numFmtId="0" fontId="240" fillId="2" borderId="0" xfId="2" applyFont="1" applyFill="1" applyAlignment="1">
      <alignment horizontal="center" vertical="center" wrapText="1"/>
    </xf>
    <xf numFmtId="0" fontId="240" fillId="2" borderId="12" xfId="2" applyFont="1" applyFill="1" applyBorder="1" applyAlignment="1">
      <alignment horizontal="center" vertical="center" wrapText="1"/>
    </xf>
    <xf numFmtId="0" fontId="118" fillId="2" borderId="0" xfId="3" applyFont="1" applyFill="1" applyAlignment="1">
      <alignment horizontal="left" vertical="center"/>
    </xf>
    <xf numFmtId="0" fontId="226" fillId="2" borderId="0" xfId="13" applyFont="1" applyFill="1" applyAlignment="1">
      <alignment horizontal="left" vertical="center"/>
    </xf>
    <xf numFmtId="0" fontId="677" fillId="33" borderId="203" xfId="2" applyFont="1" applyFill="1" applyBorder="1" applyAlignment="1">
      <alignment horizontal="center" vertical="center"/>
    </xf>
    <xf numFmtId="0" fontId="677" fillId="33" borderId="13" xfId="2" applyFont="1" applyFill="1" applyBorder="1" applyAlignment="1">
      <alignment horizontal="center" vertical="center"/>
    </xf>
    <xf numFmtId="0" fontId="677" fillId="33" borderId="416" xfId="2" applyFont="1" applyFill="1" applyBorder="1" applyAlignment="1">
      <alignment horizontal="center" vertical="center"/>
    </xf>
    <xf numFmtId="0" fontId="681" fillId="33" borderId="325" xfId="2" applyFont="1" applyFill="1" applyBorder="1" applyAlignment="1">
      <alignment horizontal="left" vertical="top" wrapText="1"/>
    </xf>
    <xf numFmtId="0" fontId="681" fillId="33" borderId="326" xfId="2" applyFont="1" applyFill="1" applyBorder="1" applyAlignment="1">
      <alignment horizontal="left" vertical="top" wrapText="1"/>
    </xf>
    <xf numFmtId="0" fontId="681" fillId="33" borderId="0" xfId="2" applyFont="1" applyFill="1" applyAlignment="1">
      <alignment horizontal="left" vertical="top" wrapText="1"/>
    </xf>
    <xf numFmtId="0" fontId="681" fillId="33" borderId="12" xfId="2" applyFont="1" applyFill="1" applyBorder="1" applyAlignment="1">
      <alignment horizontal="left" vertical="top" wrapText="1"/>
    </xf>
    <xf numFmtId="0" fontId="681" fillId="33" borderId="403" xfId="2" applyFont="1" applyFill="1" applyBorder="1" applyAlignment="1">
      <alignment horizontal="left" vertical="top" wrapText="1"/>
    </xf>
    <xf numFmtId="0" fontId="681" fillId="33" borderId="410" xfId="2" applyFont="1" applyFill="1" applyBorder="1" applyAlignment="1">
      <alignment horizontal="left" vertical="top" wrapText="1"/>
    </xf>
    <xf numFmtId="0" fontId="677" fillId="33" borderId="481" xfId="2" applyFont="1" applyFill="1" applyBorder="1" applyAlignment="1">
      <alignment horizontal="center" vertical="center"/>
    </xf>
    <xf numFmtId="0" fontId="682" fillId="33" borderId="0" xfId="2" applyFont="1" applyFill="1" applyAlignment="1">
      <alignment horizontal="left" vertical="top" wrapText="1"/>
    </xf>
    <xf numFmtId="0" fontId="682" fillId="33" borderId="12" xfId="2" applyFont="1" applyFill="1" applyBorder="1" applyAlignment="1">
      <alignment horizontal="left" vertical="top" wrapText="1"/>
    </xf>
    <xf numFmtId="0" fontId="682" fillId="33" borderId="412" xfId="2" applyFont="1" applyFill="1" applyBorder="1" applyAlignment="1">
      <alignment horizontal="left" vertical="top" wrapText="1"/>
    </xf>
    <xf numFmtId="0" fontId="682" fillId="33" borderId="413" xfId="2" applyFont="1" applyFill="1" applyBorder="1" applyAlignment="1">
      <alignment horizontal="left" vertical="top" wrapText="1"/>
    </xf>
    <xf numFmtId="0" fontId="117" fillId="2" borderId="0" xfId="3" applyFont="1" applyFill="1" applyAlignment="1">
      <alignment horizontal="left" vertical="center"/>
    </xf>
    <xf numFmtId="0" fontId="229" fillId="2" borderId="0" xfId="13" applyFont="1" applyFill="1" applyAlignment="1">
      <alignment horizontal="left" vertical="center"/>
    </xf>
    <xf numFmtId="2" fontId="219" fillId="171" borderId="0" xfId="2" applyNumberFormat="1" applyFont="1" applyFill="1" applyAlignment="1" applyProtection="1">
      <alignment horizontal="center" vertical="center"/>
      <protection locked="0"/>
    </xf>
    <xf numFmtId="0" fontId="198" fillId="29" borderId="0" xfId="66" applyFont="1" applyFill="1" applyAlignment="1">
      <alignment horizontal="center" vertical="center"/>
    </xf>
    <xf numFmtId="0" fontId="138" fillId="3" borderId="0" xfId="33" applyFont="1" applyFill="1" applyAlignment="1">
      <alignment horizontal="center" vertical="center" wrapText="1"/>
    </xf>
    <xf numFmtId="0" fontId="201" fillId="2" borderId="0" xfId="14" applyFont="1" applyFill="1" applyAlignment="1">
      <alignment horizontal="center" vertical="center"/>
    </xf>
    <xf numFmtId="0" fontId="216" fillId="0" borderId="0" xfId="3" applyFont="1" applyAlignment="1">
      <alignment horizontal="left" vertical="center"/>
    </xf>
    <xf numFmtId="0" fontId="216" fillId="2" borderId="0" xfId="3" applyFont="1" applyFill="1" applyBorder="1" applyAlignment="1">
      <alignment horizontal="left" vertical="center"/>
    </xf>
    <xf numFmtId="0" fontId="218" fillId="2" borderId="0" xfId="14" applyFont="1" applyFill="1" applyAlignment="1">
      <alignment horizontal="center" vertical="center" wrapText="1"/>
    </xf>
    <xf numFmtId="0" fontId="216" fillId="2" borderId="0" xfId="3" applyFont="1" applyFill="1" applyAlignment="1">
      <alignment horizontal="center" vertical="center" wrapText="1"/>
    </xf>
    <xf numFmtId="0" fontId="216" fillId="2" borderId="0" xfId="3" applyFont="1" applyFill="1" applyBorder="1" applyAlignment="1">
      <alignment horizontal="center" vertical="center" wrapText="1"/>
    </xf>
    <xf numFmtId="0" fontId="217" fillId="2" borderId="0" xfId="3" applyFont="1" applyFill="1" applyBorder="1" applyAlignment="1">
      <alignment horizontal="center" vertical="center" wrapText="1"/>
    </xf>
    <xf numFmtId="0" fontId="209" fillId="3" borderId="0" xfId="66" applyFont="1" applyFill="1" applyAlignment="1">
      <alignment horizontal="center" vertical="center"/>
    </xf>
    <xf numFmtId="0" fontId="90" fillId="24" borderId="405" xfId="33" applyFont="1" applyFill="1" applyBorder="1" applyAlignment="1">
      <alignment horizontal="center" vertical="center" wrapText="1"/>
    </xf>
    <xf numFmtId="0" fontId="90" fillId="24" borderId="406" xfId="33" applyFont="1" applyFill="1" applyBorder="1" applyAlignment="1">
      <alignment horizontal="center" vertical="center" wrapText="1"/>
    </xf>
    <xf numFmtId="0" fontId="90" fillId="24" borderId="407" xfId="33" applyFont="1" applyFill="1" applyBorder="1" applyAlignment="1">
      <alignment horizontal="center" vertical="center" wrapText="1"/>
    </xf>
    <xf numFmtId="0" fontId="90" fillId="24" borderId="13" xfId="33" applyFont="1" applyFill="1" applyBorder="1" applyAlignment="1">
      <alignment horizontal="center" vertical="center" wrapText="1"/>
    </xf>
    <xf numFmtId="0" fontId="90" fillId="24" borderId="0" xfId="33" applyFont="1" applyFill="1" applyAlignment="1">
      <alignment horizontal="center" vertical="center" wrapText="1"/>
    </xf>
    <xf numFmtId="0" fontId="90" fillId="24" borderId="12" xfId="33" applyFont="1" applyFill="1" applyBorder="1" applyAlignment="1">
      <alignment horizontal="center" vertical="center" wrapText="1"/>
    </xf>
    <xf numFmtId="0" fontId="215" fillId="24" borderId="405" xfId="2" applyFont="1" applyFill="1" applyBorder="1" applyAlignment="1">
      <alignment horizontal="center"/>
    </xf>
    <xf numFmtId="0" fontId="215" fillId="24" borderId="406" xfId="2" applyFont="1" applyFill="1" applyBorder="1" applyAlignment="1">
      <alignment horizontal="center"/>
    </xf>
    <xf numFmtId="0" fontId="215" fillId="24" borderId="407" xfId="2" applyFont="1" applyFill="1" applyBorder="1" applyAlignment="1">
      <alignment horizontal="center"/>
    </xf>
    <xf numFmtId="0" fontId="201" fillId="2" borderId="0" xfId="14" applyFont="1" applyFill="1" applyAlignment="1">
      <alignment horizontal="center" vertical="center" wrapText="1"/>
    </xf>
    <xf numFmtId="0" fontId="685" fillId="2" borderId="0" xfId="66" applyFont="1" applyFill="1" applyAlignment="1">
      <alignment horizontal="center" vertical="center" wrapText="1"/>
    </xf>
    <xf numFmtId="0" fontId="138" fillId="2" borderId="13" xfId="2" applyFont="1" applyFill="1" applyBorder="1" applyAlignment="1">
      <alignment horizontal="center" vertical="center" wrapText="1"/>
    </xf>
    <xf numFmtId="0" fontId="138" fillId="2" borderId="0" xfId="2" applyFont="1" applyFill="1" applyAlignment="1">
      <alignment horizontal="center" vertical="center" wrapText="1"/>
    </xf>
    <xf numFmtId="0" fontId="138" fillId="2" borderId="12" xfId="2" applyFont="1" applyFill="1" applyBorder="1" applyAlignment="1">
      <alignment horizontal="center" vertical="center" wrapText="1"/>
    </xf>
    <xf numFmtId="0" fontId="198" fillId="24" borderId="405" xfId="2" applyFont="1" applyFill="1" applyBorder="1" applyAlignment="1" applyProtection="1">
      <alignment horizontal="center" vertical="center"/>
      <protection hidden="1"/>
    </xf>
    <xf numFmtId="0" fontId="198" fillId="24" borderId="406" xfId="2" applyFont="1" applyFill="1" applyBorder="1" applyAlignment="1" applyProtection="1">
      <alignment horizontal="center" vertical="center"/>
      <protection hidden="1"/>
    </xf>
    <xf numFmtId="0" fontId="198" fillId="24" borderId="407" xfId="2" applyFont="1" applyFill="1" applyBorder="1" applyAlignment="1" applyProtection="1">
      <alignment horizontal="center" vertical="center"/>
      <protection hidden="1"/>
    </xf>
    <xf numFmtId="0" fontId="138" fillId="5" borderId="13" xfId="33" applyFont="1" applyFill="1" applyBorder="1" applyAlignment="1">
      <alignment horizontal="center" vertical="center" wrapText="1"/>
    </xf>
    <xf numFmtId="165" fontId="210" fillId="14" borderId="0" xfId="33" applyNumberFormat="1" applyFont="1" applyFill="1" applyAlignment="1">
      <alignment horizontal="center" vertical="center"/>
    </xf>
    <xf numFmtId="187" fontId="138" fillId="5" borderId="0" xfId="33" applyNumberFormat="1" applyFont="1" applyFill="1" applyAlignment="1">
      <alignment horizontal="right" vertical="center"/>
    </xf>
    <xf numFmtId="3" fontId="209" fillId="5" borderId="0" xfId="33" applyNumberFormat="1" applyFont="1" applyFill="1" applyAlignment="1">
      <alignment horizontal="center" vertical="center"/>
    </xf>
    <xf numFmtId="0" fontId="138" fillId="5" borderId="12" xfId="33" applyFont="1" applyFill="1" applyBorder="1" applyAlignment="1">
      <alignment horizontal="center" vertical="center"/>
    </xf>
    <xf numFmtId="0" fontId="127" fillId="2" borderId="325" xfId="2" applyFont="1" applyFill="1" applyBorder="1" applyAlignment="1">
      <alignment horizontal="center" vertical="center"/>
    </xf>
    <xf numFmtId="0" fontId="127" fillId="2" borderId="326" xfId="2" applyFont="1" applyFill="1" applyBorder="1" applyAlignment="1">
      <alignment horizontal="center" vertical="center"/>
    </xf>
    <xf numFmtId="0" fontId="9" fillId="2" borderId="13" xfId="66" applyFont="1" applyFill="1" applyBorder="1" applyAlignment="1">
      <alignment horizontal="center" vertical="center" wrapText="1"/>
    </xf>
    <xf numFmtId="0" fontId="9" fillId="2" borderId="0" xfId="66" applyFont="1" applyFill="1" applyAlignment="1">
      <alignment horizontal="center" vertical="center" wrapText="1"/>
    </xf>
    <xf numFmtId="0" fontId="9" fillId="2" borderId="12" xfId="66" applyFont="1" applyFill="1" applyBorder="1" applyAlignment="1">
      <alignment horizontal="center" vertical="center" wrapText="1"/>
    </xf>
    <xf numFmtId="0" fontId="9" fillId="2" borderId="481" xfId="66" applyFont="1" applyFill="1" applyBorder="1" applyAlignment="1">
      <alignment horizontal="center" vertical="center" wrapText="1"/>
    </xf>
    <xf numFmtId="0" fontId="9" fillId="2" borderId="412" xfId="66" applyFont="1" applyFill="1" applyBorder="1" applyAlignment="1">
      <alignment horizontal="center" vertical="center" wrapText="1"/>
    </xf>
    <xf numFmtId="0" fontId="9" fillId="2" borderId="413" xfId="66" applyFont="1" applyFill="1" applyBorder="1" applyAlignment="1">
      <alignment horizontal="center" vertical="center" wrapText="1"/>
    </xf>
    <xf numFmtId="0" fontId="114" fillId="14" borderId="101" xfId="2" applyFont="1" applyFill="1" applyBorder="1" applyAlignment="1">
      <alignment horizontal="center" vertical="center"/>
    </xf>
    <xf numFmtId="199" fontId="114" fillId="14" borderId="2" xfId="2" applyNumberFormat="1" applyFont="1" applyFill="1" applyBorder="1" applyAlignment="1">
      <alignment horizontal="center" vertical="center"/>
    </xf>
    <xf numFmtId="0" fontId="78" fillId="5" borderId="2" xfId="2" applyFont="1" applyFill="1" applyBorder="1" applyAlignment="1">
      <alignment horizontal="center" vertical="center"/>
    </xf>
    <xf numFmtId="2" fontId="101" fillId="5" borderId="0" xfId="2" applyNumberFormat="1" applyFont="1" applyFill="1" applyAlignment="1">
      <alignment horizontal="center" vertical="center"/>
    </xf>
    <xf numFmtId="2" fontId="101" fillId="5" borderId="2" xfId="2" applyNumberFormat="1" applyFont="1" applyFill="1" applyBorder="1" applyAlignment="1">
      <alignment horizontal="center" vertical="center"/>
    </xf>
    <xf numFmtId="0" fontId="206" fillId="2" borderId="99" xfId="2" applyFont="1" applyFill="1" applyBorder="1" applyAlignment="1">
      <alignment horizontal="center" vertical="center" wrapText="1"/>
    </xf>
    <xf numFmtId="0" fontId="206" fillId="2" borderId="7" xfId="2" applyFont="1" applyFill="1" applyBorder="1" applyAlignment="1">
      <alignment horizontal="center" vertical="center" wrapText="1"/>
    </xf>
    <xf numFmtId="0" fontId="206" fillId="2" borderId="98" xfId="2" applyFont="1" applyFill="1" applyBorder="1" applyAlignment="1">
      <alignment horizontal="center" vertical="center" wrapText="1"/>
    </xf>
    <xf numFmtId="0" fontId="198" fillId="24" borderId="405" xfId="33" applyFont="1" applyFill="1" applyBorder="1" applyAlignment="1">
      <alignment horizontal="center" vertical="center"/>
    </xf>
    <xf numFmtId="0" fontId="198" fillId="24" borderId="406" xfId="33" applyFont="1" applyFill="1" applyBorder="1" applyAlignment="1">
      <alignment horizontal="center" vertical="center"/>
    </xf>
    <xf numFmtId="0" fontId="198" fillId="24" borderId="407" xfId="33" applyFont="1" applyFill="1" applyBorder="1" applyAlignment="1">
      <alignment horizontal="center" vertical="center"/>
    </xf>
    <xf numFmtId="0" fontId="198" fillId="24" borderId="13" xfId="33" applyFont="1" applyFill="1" applyBorder="1" applyAlignment="1">
      <alignment horizontal="center" vertical="center"/>
    </xf>
    <xf numFmtId="0" fontId="198" fillId="24" borderId="0" xfId="33" applyFont="1" applyFill="1" applyAlignment="1">
      <alignment horizontal="center" vertical="center"/>
    </xf>
    <xf numFmtId="0" fontId="198" fillId="24" borderId="12" xfId="33" applyFont="1" applyFill="1" applyBorder="1" applyAlignment="1">
      <alignment horizontal="center" vertical="center"/>
    </xf>
    <xf numFmtId="2" fontId="127" fillId="2" borderId="403" xfId="2" applyNumberFormat="1" applyFont="1" applyFill="1" applyBorder="1" applyAlignment="1">
      <alignment horizontal="center" vertical="center"/>
    </xf>
    <xf numFmtId="2" fontId="127" fillId="2" borderId="410" xfId="2" applyNumberFormat="1" applyFont="1" applyFill="1" applyBorder="1" applyAlignment="1">
      <alignment horizontal="center" vertical="center"/>
    </xf>
    <xf numFmtId="0" fontId="138" fillId="5" borderId="0" xfId="33" applyFont="1" applyFill="1" applyAlignment="1">
      <alignment horizontal="right" vertical="center"/>
    </xf>
    <xf numFmtId="3" fontId="210" fillId="14" borderId="0" xfId="33" applyNumberFormat="1" applyFont="1" applyFill="1" applyAlignment="1">
      <alignment horizontal="center" vertical="center"/>
    </xf>
    <xf numFmtId="165" fontId="209" fillId="5" borderId="0" xfId="33" applyNumberFormat="1" applyFont="1" applyFill="1" applyAlignment="1">
      <alignment horizontal="center" vertical="center"/>
    </xf>
    <xf numFmtId="3" fontId="207" fillId="14" borderId="101" xfId="33" applyNumberFormat="1" applyFont="1" applyFill="1" applyBorder="1" applyAlignment="1">
      <alignment horizontal="center" vertical="center"/>
    </xf>
    <xf numFmtId="3" fontId="207" fillId="14" borderId="2" xfId="33" applyNumberFormat="1" applyFont="1" applyFill="1" applyBorder="1" applyAlignment="1">
      <alignment horizontal="center" vertical="center"/>
    </xf>
    <xf numFmtId="3" fontId="207" fillId="14" borderId="100" xfId="33" applyNumberFormat="1" applyFont="1" applyFill="1" applyBorder="1" applyAlignment="1">
      <alignment horizontal="center" vertical="center"/>
    </xf>
    <xf numFmtId="0" fontId="126" fillId="2" borderId="13" xfId="66" applyFont="1" applyFill="1" applyBorder="1" applyAlignment="1">
      <alignment horizontal="center" vertical="center" wrapText="1"/>
    </xf>
    <xf numFmtId="0" fontId="126" fillId="2" borderId="0" xfId="66" applyFont="1" applyFill="1" applyAlignment="1">
      <alignment horizontal="center" vertical="center" wrapText="1"/>
    </xf>
    <xf numFmtId="0" fontId="126" fillId="2" borderId="12" xfId="66" applyFont="1" applyFill="1" applyBorder="1" applyAlignment="1">
      <alignment horizontal="center" vertical="center" wrapText="1"/>
    </xf>
    <xf numFmtId="0" fontId="126" fillId="2" borderId="481" xfId="66" applyFont="1" applyFill="1" applyBorder="1" applyAlignment="1">
      <alignment horizontal="center" vertical="center" wrapText="1"/>
    </xf>
    <xf numFmtId="0" fontId="126" fillId="2" borderId="412" xfId="66" applyFont="1" applyFill="1" applyBorder="1" applyAlignment="1">
      <alignment horizontal="center" vertical="center" wrapText="1"/>
    </xf>
    <xf numFmtId="0" fontId="126" fillId="2" borderId="413" xfId="66" applyFont="1" applyFill="1" applyBorder="1" applyAlignment="1">
      <alignment horizontal="center" vertical="center" wrapText="1"/>
    </xf>
    <xf numFmtId="0" fontId="138" fillId="2" borderId="13" xfId="33" applyFont="1" applyFill="1" applyBorder="1" applyAlignment="1">
      <alignment horizontal="center" vertical="center"/>
    </xf>
    <xf numFmtId="0" fontId="138" fillId="2" borderId="0" xfId="33" applyFont="1" applyFill="1" applyAlignment="1">
      <alignment horizontal="center" vertical="center"/>
    </xf>
    <xf numFmtId="0" fontId="138" fillId="2" borderId="12" xfId="33" applyFont="1" applyFill="1" applyBorder="1" applyAlignment="1">
      <alignment horizontal="center" vertical="center"/>
    </xf>
    <xf numFmtId="0" fontId="78" fillId="2" borderId="13" xfId="33" applyFont="1" applyFill="1" applyBorder="1" applyAlignment="1">
      <alignment horizontal="center" vertical="center" wrapText="1"/>
    </xf>
    <xf numFmtId="0" fontId="78" fillId="2" borderId="0" xfId="33" applyFont="1" applyFill="1" applyAlignment="1">
      <alignment horizontal="center" vertical="center" wrapText="1"/>
    </xf>
    <xf numFmtId="0" fontId="78" fillId="2" borderId="12" xfId="33" applyFont="1" applyFill="1" applyBorder="1" applyAlignment="1">
      <alignment horizontal="center" vertical="center" wrapText="1"/>
    </xf>
    <xf numFmtId="0" fontId="203" fillId="2" borderId="405" xfId="2" applyFont="1" applyFill="1" applyBorder="1" applyAlignment="1">
      <alignment horizontal="center" vertical="center"/>
    </xf>
    <xf numFmtId="0" fontId="203" fillId="2" borderId="406" xfId="2" applyFont="1" applyFill="1" applyBorder="1" applyAlignment="1">
      <alignment horizontal="center" vertical="center"/>
    </xf>
    <xf numFmtId="0" fontId="203" fillId="2" borderId="407" xfId="2" applyFont="1" applyFill="1" applyBorder="1" applyAlignment="1">
      <alignment horizontal="center" vertical="center"/>
    </xf>
    <xf numFmtId="165" fontId="178" fillId="14" borderId="0" xfId="33" applyNumberFormat="1" applyFont="1" applyFill="1" applyAlignment="1">
      <alignment horizontal="center" vertical="center"/>
    </xf>
    <xf numFmtId="0" fontId="78" fillId="2" borderId="13" xfId="33" applyFont="1" applyFill="1" applyBorder="1" applyAlignment="1">
      <alignment horizontal="center" vertical="top" wrapText="1"/>
    </xf>
    <xf numFmtId="0" fontId="78" fillId="2" borderId="0" xfId="33" applyFont="1" applyFill="1" applyAlignment="1">
      <alignment horizontal="center" vertical="top" wrapText="1"/>
    </xf>
    <xf numFmtId="165" fontId="101" fillId="5" borderId="0" xfId="33" applyNumberFormat="1" applyFont="1" applyFill="1" applyAlignment="1">
      <alignment horizontal="center" vertical="center"/>
    </xf>
    <xf numFmtId="0" fontId="101" fillId="2" borderId="0" xfId="33" applyFont="1" applyFill="1" applyAlignment="1">
      <alignment horizontal="center" vertical="top" wrapText="1"/>
    </xf>
    <xf numFmtId="0" fontId="78" fillId="2" borderId="12" xfId="33" applyFont="1" applyFill="1" applyBorder="1" applyAlignment="1">
      <alignment horizontal="center" vertical="top" wrapText="1"/>
    </xf>
    <xf numFmtId="0" fontId="126" fillId="2" borderId="13" xfId="66" applyFont="1" applyFill="1" applyBorder="1" applyAlignment="1">
      <alignment horizontal="center" vertical="center"/>
    </xf>
    <xf numFmtId="0" fontId="126" fillId="2" borderId="0" xfId="66" applyFont="1" applyFill="1" applyAlignment="1">
      <alignment horizontal="center" vertical="center"/>
    </xf>
    <xf numFmtId="0" fontId="126" fillId="2" borderId="12" xfId="66" applyFont="1" applyFill="1" applyBorder="1" applyAlignment="1">
      <alignment horizontal="center" vertical="center"/>
    </xf>
    <xf numFmtId="0" fontId="126" fillId="2" borderId="481" xfId="66" applyFont="1" applyFill="1" applyBorder="1" applyAlignment="1">
      <alignment horizontal="center" vertical="center"/>
    </xf>
    <xf numFmtId="0" fontId="126" fillId="2" borderId="412" xfId="66" applyFont="1" applyFill="1" applyBorder="1" applyAlignment="1">
      <alignment horizontal="center" vertical="center"/>
    </xf>
    <xf numFmtId="0" fontId="126" fillId="2" borderId="413" xfId="66" applyFont="1" applyFill="1" applyBorder="1" applyAlignment="1">
      <alignment horizontal="center" vertical="center"/>
    </xf>
    <xf numFmtId="0" fontId="200" fillId="2" borderId="481" xfId="2" applyFont="1" applyFill="1" applyBorder="1" applyAlignment="1">
      <alignment horizontal="center" vertical="center" wrapText="1"/>
    </xf>
    <xf numFmtId="0" fontId="200" fillId="2" borderId="412" xfId="2" applyFont="1" applyFill="1" applyBorder="1" applyAlignment="1">
      <alignment horizontal="center" vertical="center" wrapText="1"/>
    </xf>
    <xf numFmtId="199" fontId="193" fillId="5" borderId="0" xfId="2" applyNumberFormat="1" applyFont="1" applyFill="1" applyAlignment="1">
      <alignment horizontal="center" vertical="center"/>
    </xf>
    <xf numFmtId="0" fontId="90" fillId="24" borderId="13" xfId="33" applyFont="1" applyFill="1" applyBorder="1" applyAlignment="1">
      <alignment horizontal="center" vertical="center"/>
    </xf>
    <xf numFmtId="0" fontId="90" fillId="24" borderId="0" xfId="33" applyFont="1" applyFill="1" applyAlignment="1">
      <alignment horizontal="center" vertical="center"/>
    </xf>
    <xf numFmtId="0" fontId="90" fillId="24" borderId="12" xfId="33" applyFont="1" applyFill="1" applyBorder="1" applyAlignment="1">
      <alignment horizontal="center" vertical="center"/>
    </xf>
    <xf numFmtId="0" fontId="78" fillId="2" borderId="13" xfId="33" applyFont="1" applyFill="1" applyBorder="1" applyAlignment="1">
      <alignment horizontal="center" vertical="center"/>
    </xf>
    <xf numFmtId="0" fontId="78" fillId="2" borderId="0" xfId="33" applyFont="1" applyFill="1" applyAlignment="1">
      <alignment horizontal="center" vertical="center"/>
    </xf>
    <xf numFmtId="0" fontId="78" fillId="2" borderId="12" xfId="33" applyFont="1" applyFill="1" applyBorder="1" applyAlignment="1">
      <alignment horizontal="center" vertical="center"/>
    </xf>
    <xf numFmtId="0" fontId="7" fillId="5" borderId="0" xfId="66" applyFill="1" applyAlignment="1">
      <alignment horizontal="center"/>
    </xf>
    <xf numFmtId="0" fontId="112" fillId="2" borderId="13" xfId="33" applyFont="1" applyFill="1" applyBorder="1" applyAlignment="1">
      <alignment horizontal="center" vertical="center"/>
    </xf>
    <xf numFmtId="0" fontId="112" fillId="2" borderId="0" xfId="33" applyFont="1" applyFill="1" applyAlignment="1">
      <alignment horizontal="center" vertical="center"/>
    </xf>
    <xf numFmtId="0" fontId="112" fillId="2" borderId="12" xfId="33" applyFont="1" applyFill="1" applyBorder="1" applyAlignment="1">
      <alignment horizontal="center" vertical="center"/>
    </xf>
    <xf numFmtId="0" fontId="689" fillId="35" borderId="0" xfId="2" applyFont="1" applyFill="1" applyAlignment="1">
      <alignment horizontal="center" vertical="center"/>
    </xf>
    <xf numFmtId="165" fontId="138" fillId="8" borderId="0" xfId="33" applyNumberFormat="1" applyFont="1" applyFill="1" applyAlignment="1">
      <alignment horizontal="center" vertical="center"/>
    </xf>
    <xf numFmtId="0" fontId="199" fillId="2" borderId="13" xfId="2" applyFont="1" applyFill="1" applyBorder="1" applyAlignment="1">
      <alignment horizontal="center" vertical="center" wrapText="1"/>
    </xf>
    <xf numFmtId="0" fontId="199" fillId="2" borderId="0" xfId="2" applyFont="1" applyFill="1" applyAlignment="1">
      <alignment horizontal="center" vertical="center" wrapText="1"/>
    </xf>
    <xf numFmtId="0" fontId="199" fillId="2" borderId="12" xfId="2" applyFont="1" applyFill="1" applyBorder="1" applyAlignment="1">
      <alignment horizontal="center" vertical="center" wrapText="1"/>
    </xf>
    <xf numFmtId="0" fontId="199" fillId="2" borderId="481" xfId="2" applyFont="1" applyFill="1" applyBorder="1" applyAlignment="1">
      <alignment horizontal="center" vertical="center" wrapText="1"/>
    </xf>
    <xf numFmtId="0" fontId="199" fillId="2" borderId="412" xfId="2" applyFont="1" applyFill="1" applyBorder="1" applyAlignment="1">
      <alignment horizontal="center" vertical="center" wrapText="1"/>
    </xf>
    <xf numFmtId="0" fontId="199" fillId="2" borderId="413" xfId="2" applyFont="1" applyFill="1" applyBorder="1" applyAlignment="1">
      <alignment horizontal="center" vertical="center" wrapText="1"/>
    </xf>
    <xf numFmtId="0" fontId="198" fillId="24" borderId="13" xfId="33" applyFont="1" applyFill="1" applyBorder="1" applyAlignment="1">
      <alignment horizontal="center" vertical="center" wrapText="1"/>
    </xf>
    <xf numFmtId="0" fontId="198" fillId="24" borderId="0" xfId="33" applyFont="1" applyFill="1" applyAlignment="1">
      <alignment horizontal="center" vertical="center" wrapText="1"/>
    </xf>
    <xf numFmtId="0" fontId="197" fillId="2" borderId="0" xfId="33" applyFont="1" applyFill="1" applyAlignment="1">
      <alignment horizontal="center" vertical="center" wrapText="1"/>
    </xf>
    <xf numFmtId="0" fontId="126" fillId="0" borderId="13" xfId="66" applyFont="1" applyBorder="1" applyAlignment="1">
      <alignment horizontal="center" wrapText="1"/>
    </xf>
    <xf numFmtId="0" fontId="126" fillId="0" borderId="0" xfId="66" applyFont="1" applyAlignment="1">
      <alignment horizontal="center" wrapText="1"/>
    </xf>
    <xf numFmtId="0" fontId="126" fillId="0" borderId="12" xfId="66" applyFont="1" applyBorder="1" applyAlignment="1">
      <alignment horizontal="center" wrapText="1"/>
    </xf>
    <xf numFmtId="0" fontId="11" fillId="2" borderId="16" xfId="66" applyFont="1" applyFill="1" applyBorder="1" applyAlignment="1">
      <alignment horizontal="center" vertical="center"/>
    </xf>
    <xf numFmtId="0" fontId="11" fillId="2" borderId="15" xfId="66" applyFont="1" applyFill="1" applyBorder="1" applyAlignment="1">
      <alignment horizontal="center" vertical="center"/>
    </xf>
    <xf numFmtId="165" fontId="190" fillId="14" borderId="0" xfId="33" applyNumberFormat="1" applyFont="1" applyFill="1" applyAlignment="1">
      <alignment horizontal="center" vertical="center"/>
    </xf>
    <xf numFmtId="0" fontId="90" fillId="24" borderId="406" xfId="66" applyFont="1" applyFill="1" applyBorder="1" applyAlignment="1">
      <alignment horizontal="center" vertical="center" wrapText="1"/>
    </xf>
    <xf numFmtId="0" fontId="90" fillId="24" borderId="407" xfId="66" applyFont="1" applyFill="1" applyBorder="1" applyAlignment="1">
      <alignment horizontal="center" vertical="center" wrapText="1"/>
    </xf>
    <xf numFmtId="0" fontId="90" fillId="24" borderId="0" xfId="66" applyFont="1" applyFill="1" applyAlignment="1">
      <alignment horizontal="center" vertical="center" wrapText="1"/>
    </xf>
    <xf numFmtId="0" fontId="90" fillId="24" borderId="12" xfId="66" applyFont="1" applyFill="1" applyBorder="1" applyAlignment="1">
      <alignment horizontal="center" vertical="center" wrapText="1"/>
    </xf>
    <xf numFmtId="0" fontId="191" fillId="2" borderId="0" xfId="66" applyFont="1" applyFill="1" applyAlignment="1">
      <alignment horizontal="center" vertical="center" wrapText="1"/>
    </xf>
    <xf numFmtId="0" fontId="183" fillId="14" borderId="0" xfId="66" applyFont="1" applyFill="1" applyAlignment="1">
      <alignment horizontal="center" vertical="center" wrapText="1"/>
    </xf>
    <xf numFmtId="0" fontId="190" fillId="2" borderId="0" xfId="66" applyFont="1" applyFill="1" applyAlignment="1">
      <alignment horizontal="center" vertical="center" wrapText="1"/>
    </xf>
    <xf numFmtId="0" fontId="190" fillId="2" borderId="2" xfId="66" applyFont="1" applyFill="1" applyBorder="1" applyAlignment="1">
      <alignment horizontal="center" vertical="center" wrapText="1"/>
    </xf>
    <xf numFmtId="0" fontId="9" fillId="2" borderId="13" xfId="66" applyFont="1" applyFill="1" applyBorder="1" applyAlignment="1">
      <alignment horizontal="right" vertical="center"/>
    </xf>
    <xf numFmtId="0" fontId="9" fillId="2" borderId="0" xfId="66" applyFont="1" applyFill="1" applyAlignment="1">
      <alignment horizontal="right" vertical="center"/>
    </xf>
    <xf numFmtId="0" fontId="9" fillId="2" borderId="19" xfId="66" applyFont="1" applyFill="1" applyBorder="1" applyAlignment="1">
      <alignment horizontal="right" vertical="center"/>
    </xf>
    <xf numFmtId="0" fontId="9" fillId="2" borderId="18" xfId="66" applyFont="1" applyFill="1" applyBorder="1" applyAlignment="1">
      <alignment horizontal="right" vertical="center"/>
    </xf>
    <xf numFmtId="0" fontId="186" fillId="2" borderId="0" xfId="33" applyFont="1" applyFill="1" applyAlignment="1">
      <alignment horizontal="center" vertical="center" wrapText="1"/>
    </xf>
    <xf numFmtId="198" fontId="178" fillId="14" borderId="0" xfId="33" applyNumberFormat="1" applyFont="1" applyFill="1" applyAlignment="1">
      <alignment horizontal="center" vertical="center"/>
    </xf>
    <xf numFmtId="0" fontId="188" fillId="2" borderId="0" xfId="33" applyFont="1" applyFill="1" applyAlignment="1">
      <alignment horizontal="center" vertical="center" wrapText="1"/>
    </xf>
    <xf numFmtId="0" fontId="187" fillId="2" borderId="0" xfId="33" applyFont="1" applyFill="1" applyAlignment="1">
      <alignment horizontal="center" vertical="center" wrapText="1"/>
    </xf>
    <xf numFmtId="198" fontId="167" fillId="33" borderId="0" xfId="33" applyNumberFormat="1" applyFont="1" applyFill="1" applyAlignment="1">
      <alignment horizontal="center" vertical="center"/>
    </xf>
    <xf numFmtId="0" fontId="137" fillId="2" borderId="145" xfId="2" applyFont="1" applyFill="1" applyBorder="1" applyAlignment="1">
      <alignment horizontal="center" vertical="center" wrapText="1"/>
    </xf>
    <xf numFmtId="0" fontId="163" fillId="2" borderId="0" xfId="66" applyFont="1" applyFill="1" applyAlignment="1">
      <alignment horizontal="left" vertical="center" wrapText="1"/>
    </xf>
    <xf numFmtId="0" fontId="126" fillId="2" borderId="97" xfId="66" applyFont="1" applyFill="1" applyBorder="1" applyAlignment="1">
      <alignment horizontal="center" vertical="center" wrapText="1"/>
    </xf>
    <xf numFmtId="0" fontId="72" fillId="24" borderId="405" xfId="2" applyFont="1" applyFill="1" applyBorder="1" applyAlignment="1">
      <alignment horizontal="center"/>
    </xf>
    <xf numFmtId="0" fontId="72" fillId="24" borderId="406" xfId="2" applyFont="1" applyFill="1" applyBorder="1" applyAlignment="1">
      <alignment horizontal="center"/>
    </xf>
    <xf numFmtId="0" fontId="72" fillId="24" borderId="407" xfId="2" applyFont="1" applyFill="1" applyBorder="1" applyAlignment="1">
      <alignment horizontal="center"/>
    </xf>
    <xf numFmtId="0" fontId="72" fillId="24" borderId="13" xfId="2" applyFont="1" applyFill="1" applyBorder="1" applyAlignment="1">
      <alignment horizontal="center"/>
    </xf>
    <xf numFmtId="0" fontId="72" fillId="24" borderId="0" xfId="2" applyFont="1" applyFill="1" applyAlignment="1">
      <alignment horizontal="center"/>
    </xf>
    <xf numFmtId="0" fontId="72" fillId="24" borderId="12" xfId="2" applyFont="1" applyFill="1" applyBorder="1" applyAlignment="1">
      <alignment horizontal="center"/>
    </xf>
    <xf numFmtId="0" fontId="160" fillId="2" borderId="13" xfId="66" applyFont="1" applyFill="1" applyBorder="1" applyAlignment="1">
      <alignment horizontal="center" vertical="center" wrapText="1"/>
    </xf>
    <xf numFmtId="0" fontId="160" fillId="2" borderId="0" xfId="66" applyFont="1" applyFill="1" applyAlignment="1">
      <alignment horizontal="center" vertical="center" wrapText="1"/>
    </xf>
    <xf numFmtId="0" fontId="160" fillId="2" borderId="12" xfId="66" applyFont="1" applyFill="1" applyBorder="1" applyAlignment="1">
      <alignment horizontal="center" vertical="center" wrapText="1"/>
    </xf>
    <xf numFmtId="0" fontId="160" fillId="2" borderId="13" xfId="66" applyFont="1" applyFill="1" applyBorder="1" applyAlignment="1">
      <alignment horizontal="center" wrapText="1"/>
    </xf>
    <xf numFmtId="0" fontId="160" fillId="2" borderId="0" xfId="66" applyFont="1" applyFill="1" applyAlignment="1">
      <alignment horizontal="center" wrapText="1"/>
    </xf>
    <xf numFmtId="0" fontId="160" fillId="2" borderId="12" xfId="66" applyFont="1" applyFill="1" applyBorder="1" applyAlignment="1">
      <alignment horizontal="center" wrapText="1"/>
    </xf>
    <xf numFmtId="0" fontId="160" fillId="2" borderId="13" xfId="66" applyFont="1" applyFill="1" applyBorder="1" applyAlignment="1">
      <alignment horizontal="left" wrapText="1"/>
    </xf>
    <xf numFmtId="0" fontId="160" fillId="2" borderId="0" xfId="66" applyFont="1" applyFill="1" applyAlignment="1">
      <alignment horizontal="left" wrapText="1"/>
    </xf>
    <xf numFmtId="0" fontId="160" fillId="2" borderId="12" xfId="66" applyFont="1" applyFill="1" applyBorder="1" applyAlignment="1">
      <alignment horizontal="left" wrapText="1"/>
    </xf>
    <xf numFmtId="0" fontId="14" fillId="17" borderId="13" xfId="2" applyFont="1" applyFill="1" applyBorder="1" applyAlignment="1">
      <alignment horizontal="right" vertical="center"/>
    </xf>
    <xf numFmtId="0" fontId="14" fillId="17" borderId="0" xfId="2" applyFont="1" applyFill="1" applyAlignment="1">
      <alignment horizontal="right" vertical="center"/>
    </xf>
    <xf numFmtId="0" fontId="159" fillId="17" borderId="0" xfId="2" applyFont="1" applyFill="1" applyAlignment="1">
      <alignment horizontal="center" vertical="center"/>
    </xf>
    <xf numFmtId="0" fontId="14" fillId="17" borderId="0" xfId="2" applyFont="1" applyFill="1" applyAlignment="1">
      <alignment horizontal="center" vertical="center"/>
    </xf>
    <xf numFmtId="0" fontId="14" fillId="17" borderId="0" xfId="2" quotePrefix="1" applyFont="1" applyFill="1" applyAlignment="1">
      <alignment horizontal="center" vertical="center" wrapText="1"/>
    </xf>
    <xf numFmtId="0" fontId="14" fillId="5" borderId="0" xfId="2" applyFont="1" applyFill="1" applyAlignment="1">
      <alignment horizontal="center" vertical="center"/>
    </xf>
    <xf numFmtId="0" fontId="14" fillId="2" borderId="145" xfId="2" applyFont="1" applyFill="1" applyBorder="1" applyAlignment="1" applyProtection="1">
      <alignment horizontal="center" vertical="center"/>
      <protection hidden="1"/>
    </xf>
    <xf numFmtId="0" fontId="39" fillId="2" borderId="145" xfId="2" applyFont="1" applyFill="1" applyBorder="1" applyAlignment="1" applyProtection="1">
      <alignment horizontal="center" vertical="center"/>
      <protection hidden="1"/>
    </xf>
    <xf numFmtId="194" fontId="690" fillId="13" borderId="13" xfId="2" applyNumberFormat="1" applyFont="1" applyFill="1" applyBorder="1" applyAlignment="1" applyProtection="1">
      <alignment horizontal="center" vertical="center"/>
      <protection hidden="1"/>
    </xf>
    <xf numFmtId="194" fontId="690" fillId="13" borderId="481" xfId="2" applyNumberFormat="1" applyFont="1" applyFill="1" applyBorder="1" applyAlignment="1" applyProtection="1">
      <alignment horizontal="center" vertical="center"/>
      <protection hidden="1"/>
    </xf>
    <xf numFmtId="166" fontId="34" fillId="5" borderId="412" xfId="2" applyNumberFormat="1" applyFont="1" applyFill="1" applyBorder="1" applyAlignment="1" applyProtection="1">
      <alignment horizontal="center" vertical="center"/>
      <protection hidden="1"/>
    </xf>
    <xf numFmtId="193" fontId="690" fillId="13" borderId="13" xfId="2" applyNumberFormat="1" applyFont="1" applyFill="1" applyBorder="1" applyAlignment="1" applyProtection="1">
      <alignment horizontal="center" vertical="center"/>
      <protection hidden="1"/>
    </xf>
    <xf numFmtId="193" fontId="690" fillId="13" borderId="481" xfId="2" applyNumberFormat="1" applyFont="1" applyFill="1" applyBorder="1" applyAlignment="1" applyProtection="1">
      <alignment horizontal="center" vertical="center"/>
      <protection hidden="1"/>
    </xf>
    <xf numFmtId="169" fontId="14" fillId="5" borderId="12" xfId="2" applyNumberFormat="1" applyFont="1" applyFill="1" applyBorder="1" applyAlignment="1">
      <alignment horizontal="center" vertical="center"/>
    </xf>
    <xf numFmtId="0" fontId="158" fillId="2" borderId="13" xfId="66" applyFont="1" applyFill="1" applyBorder="1" applyAlignment="1">
      <alignment horizontal="center" vertical="center" wrapText="1"/>
    </xf>
    <xf numFmtId="0" fontId="158" fillId="2" borderId="0" xfId="66" applyFont="1" applyFill="1" applyAlignment="1">
      <alignment horizontal="center" vertical="center" wrapText="1"/>
    </xf>
    <xf numFmtId="0" fontId="158" fillId="2" borderId="12" xfId="66" applyFont="1" applyFill="1" applyBorder="1" applyAlignment="1">
      <alignment horizontal="center" vertical="center" wrapText="1"/>
    </xf>
    <xf numFmtId="49" fontId="72" fillId="24" borderId="405" xfId="2" applyNumberFormat="1" applyFont="1" applyFill="1" applyBorder="1" applyAlignment="1">
      <alignment horizontal="center" vertical="center"/>
    </xf>
    <xf numFmtId="49" fontId="72" fillId="24" borderId="406" xfId="2" applyNumberFormat="1" applyFont="1" applyFill="1" applyBorder="1" applyAlignment="1">
      <alignment horizontal="center" vertical="center"/>
    </xf>
    <xf numFmtId="49" fontId="72" fillId="24" borderId="407" xfId="2" applyNumberFormat="1" applyFont="1" applyFill="1" applyBorder="1" applyAlignment="1">
      <alignment horizontal="center" vertical="center"/>
    </xf>
    <xf numFmtId="49" fontId="155" fillId="0" borderId="76" xfId="13" applyNumberFormat="1" applyFont="1" applyBorder="1" applyAlignment="1">
      <alignment horizontal="center" vertical="center"/>
    </xf>
    <xf numFmtId="49" fontId="155" fillId="0" borderId="75" xfId="13" applyNumberFormat="1" applyFont="1" applyBorder="1" applyAlignment="1">
      <alignment horizontal="center" vertical="center"/>
    </xf>
    <xf numFmtId="49" fontId="155" fillId="0" borderId="74" xfId="13" applyNumberFormat="1" applyFont="1" applyBorder="1" applyAlignment="1">
      <alignment horizontal="center" vertical="center"/>
    </xf>
    <xf numFmtId="0" fontId="154" fillId="8" borderId="500" xfId="10" applyFont="1" applyFill="1" applyBorder="1" applyAlignment="1" applyProtection="1">
      <alignment horizontal="center" vertical="center" wrapText="1"/>
      <protection locked="0"/>
    </xf>
    <xf numFmtId="0" fontId="154" fillId="8" borderId="501" xfId="10" applyFont="1" applyFill="1" applyBorder="1" applyAlignment="1" applyProtection="1">
      <alignment horizontal="center" vertical="center" wrapText="1"/>
      <protection locked="0"/>
    </xf>
    <xf numFmtId="0" fontId="154" fillId="8" borderId="502" xfId="10" applyFont="1" applyFill="1" applyBorder="1" applyAlignment="1" applyProtection="1">
      <alignment horizontal="center" vertical="center" wrapText="1"/>
      <protection locked="0"/>
    </xf>
    <xf numFmtId="0" fontId="69" fillId="8" borderId="490" xfId="2" applyFont="1" applyFill="1" applyBorder="1" applyAlignment="1">
      <alignment horizontal="center" vertical="center"/>
    </xf>
    <xf numFmtId="0" fontId="69" fillId="8" borderId="325" xfId="2" applyFont="1" applyFill="1" applyBorder="1" applyAlignment="1">
      <alignment horizontal="center" vertical="center"/>
    </xf>
    <xf numFmtId="0" fontId="69" fillId="8" borderId="491" xfId="2" applyFont="1" applyFill="1" applyBorder="1" applyAlignment="1">
      <alignment horizontal="center" vertical="center"/>
    </xf>
    <xf numFmtId="0" fontId="69" fillId="8" borderId="316" xfId="2" applyFont="1" applyFill="1" applyBorder="1" applyAlignment="1">
      <alignment horizontal="center" vertical="center"/>
    </xf>
    <xf numFmtId="0" fontId="69" fillId="8" borderId="405" xfId="2" applyFont="1" applyFill="1" applyBorder="1" applyAlignment="1">
      <alignment horizontal="center" vertical="center" wrapText="1"/>
    </xf>
    <xf numFmtId="0" fontId="69" fillId="8" borderId="406" xfId="2" applyFont="1" applyFill="1" applyBorder="1" applyAlignment="1">
      <alignment horizontal="center" vertical="center" wrapText="1"/>
    </xf>
    <xf numFmtId="0" fontId="95" fillId="8" borderId="406" xfId="2" applyFont="1" applyFill="1" applyBorder="1" applyAlignment="1">
      <alignment horizontal="center" vertical="center" wrapText="1"/>
    </xf>
    <xf numFmtId="0" fontId="64" fillId="8" borderId="406" xfId="2" applyFont="1" applyFill="1" applyBorder="1" applyAlignment="1">
      <alignment horizontal="center" vertical="center" wrapText="1"/>
    </xf>
    <xf numFmtId="0" fontId="95" fillId="8" borderId="407" xfId="2" applyFont="1" applyFill="1" applyBorder="1" applyAlignment="1">
      <alignment horizontal="center" vertical="center"/>
    </xf>
    <xf numFmtId="0" fontId="10" fillId="32" borderId="405" xfId="66" applyFont="1" applyFill="1" applyBorder="1" applyAlignment="1">
      <alignment horizontal="center" vertical="center" wrapText="1"/>
    </xf>
    <xf numFmtId="0" fontId="10" fillId="32" borderId="406" xfId="66" applyFont="1" applyFill="1" applyBorder="1" applyAlignment="1">
      <alignment horizontal="center" vertical="center" wrapText="1"/>
    </xf>
    <xf numFmtId="0" fontId="10" fillId="32" borderId="407" xfId="66" applyFont="1" applyFill="1" applyBorder="1" applyAlignment="1">
      <alignment horizontal="center" vertical="center" wrapText="1"/>
    </xf>
    <xf numFmtId="0" fontId="10" fillId="32" borderId="481" xfId="66" applyFont="1" applyFill="1" applyBorder="1" applyAlignment="1">
      <alignment horizontal="center" vertical="center" wrapText="1"/>
    </xf>
    <xf numFmtId="0" fontId="10" fillId="32" borderId="412" xfId="66" applyFont="1" applyFill="1" applyBorder="1" applyAlignment="1">
      <alignment horizontal="center" vertical="center" wrapText="1"/>
    </xf>
    <xf numFmtId="0" fontId="10" fillId="32" borderId="413" xfId="66" applyFont="1" applyFill="1" applyBorder="1" applyAlignment="1">
      <alignment horizontal="center" vertical="center" wrapText="1"/>
    </xf>
    <xf numFmtId="0" fontId="94" fillId="0" borderId="203" xfId="66" applyFont="1" applyBorder="1" applyAlignment="1">
      <alignment horizontal="center" vertical="center"/>
    </xf>
    <xf numFmtId="0" fontId="94" fillId="0" borderId="325" xfId="66" applyFont="1" applyBorder="1" applyAlignment="1">
      <alignment horizontal="center" vertical="center"/>
    </xf>
    <xf numFmtId="0" fontId="94" fillId="0" borderId="326" xfId="66" applyFont="1" applyBorder="1" applyAlignment="1">
      <alignment horizontal="center" vertical="center"/>
    </xf>
    <xf numFmtId="49" fontId="7" fillId="2" borderId="94" xfId="66" applyNumberFormat="1" applyFill="1" applyBorder="1" applyAlignment="1">
      <alignment horizontal="center" vertical="center"/>
    </xf>
    <xf numFmtId="49" fontId="7" fillId="2" borderId="93" xfId="66" applyNumberFormat="1" applyFill="1" applyBorder="1" applyAlignment="1">
      <alignment horizontal="center" vertical="center"/>
    </xf>
    <xf numFmtId="49" fontId="7" fillId="2" borderId="92" xfId="66" applyNumberFormat="1" applyFill="1" applyBorder="1" applyAlignment="1">
      <alignment horizontal="center" vertical="center"/>
    </xf>
    <xf numFmtId="49" fontId="114" fillId="0" borderId="13" xfId="66" applyNumberFormat="1" applyFont="1" applyBorder="1" applyAlignment="1">
      <alignment horizontal="center" vertical="center" wrapText="1"/>
    </xf>
    <xf numFmtId="49" fontId="114" fillId="0" borderId="52" xfId="66" applyNumberFormat="1" applyFont="1" applyBorder="1" applyAlignment="1">
      <alignment horizontal="center" vertical="center" wrapText="1"/>
    </xf>
    <xf numFmtId="49" fontId="114" fillId="0" borderId="0" xfId="66" applyNumberFormat="1" applyFont="1" applyAlignment="1">
      <alignment horizontal="center" vertical="center" wrapText="1"/>
    </xf>
    <xf numFmtId="49" fontId="114" fillId="0" borderId="51" xfId="66" applyNumberFormat="1" applyFont="1" applyBorder="1" applyAlignment="1">
      <alignment horizontal="center" vertical="center" wrapText="1"/>
    </xf>
    <xf numFmtId="49" fontId="114" fillId="0" borderId="12" xfId="66" applyNumberFormat="1" applyFont="1" applyBorder="1" applyAlignment="1">
      <alignment horizontal="center" vertical="center" wrapText="1"/>
    </xf>
    <xf numFmtId="49" fontId="114" fillId="0" borderId="50" xfId="66" applyNumberFormat="1" applyFont="1" applyBorder="1" applyAlignment="1">
      <alignment horizontal="center" vertical="center" wrapText="1"/>
    </xf>
    <xf numFmtId="0" fontId="13" fillId="2" borderId="316" xfId="2" applyFill="1" applyBorder="1" applyAlignment="1">
      <alignment horizontal="center" vertical="center" wrapText="1"/>
    </xf>
    <xf numFmtId="0" fontId="13" fillId="2" borderId="402" xfId="2" applyFill="1" applyBorder="1" applyAlignment="1">
      <alignment horizontal="center" vertical="center" wrapText="1"/>
    </xf>
    <xf numFmtId="0" fontId="13" fillId="2" borderId="403" xfId="2" applyFill="1" applyBorder="1" applyAlignment="1">
      <alignment horizontal="center" vertical="center" wrapText="1"/>
    </xf>
    <xf numFmtId="0" fontId="13" fillId="2" borderId="404" xfId="2" applyFill="1" applyBorder="1" applyAlignment="1">
      <alignment horizontal="center" vertical="center" wrapText="1"/>
    </xf>
    <xf numFmtId="175" fontId="146" fillId="0" borderId="547" xfId="4" applyNumberFormat="1" applyFont="1" applyBorder="1" applyAlignment="1">
      <alignment horizontal="center" vertical="center"/>
    </xf>
    <xf numFmtId="175" fontId="146" fillId="0" borderId="548" xfId="4" applyNumberFormat="1" applyFont="1" applyBorder="1" applyAlignment="1">
      <alignment horizontal="center" vertical="center"/>
    </xf>
    <xf numFmtId="168" fontId="145" fillId="29" borderId="0" xfId="66" applyNumberFormat="1" applyFont="1" applyFill="1" applyAlignment="1" applyProtection="1">
      <alignment horizontal="right" vertical="center" wrapText="1"/>
      <protection locked="0"/>
    </xf>
    <xf numFmtId="168" fontId="145" fillId="29" borderId="548" xfId="66" applyNumberFormat="1" applyFont="1" applyFill="1" applyBorder="1" applyAlignment="1" applyProtection="1">
      <alignment horizontal="right" vertical="center" wrapText="1"/>
      <protection locked="0"/>
    </xf>
    <xf numFmtId="2" fontId="51" fillId="29" borderId="12" xfId="4" applyNumberFormat="1" applyFont="1" applyFill="1" applyBorder="1" applyAlignment="1">
      <alignment horizontal="center" vertical="center"/>
    </xf>
    <xf numFmtId="2" fontId="51" fillId="29" borderId="549" xfId="4" applyNumberFormat="1" applyFont="1" applyFill="1" applyBorder="1" applyAlignment="1">
      <alignment horizontal="center" vertical="center"/>
    </xf>
    <xf numFmtId="0" fontId="13" fillId="2" borderId="481" xfId="2" applyFill="1" applyBorder="1" applyAlignment="1">
      <alignment horizontal="center" vertical="center"/>
    </xf>
    <xf numFmtId="0" fontId="13" fillId="2" borderId="412" xfId="2" applyFill="1" applyBorder="1" applyAlignment="1">
      <alignment horizontal="center" vertical="center"/>
    </xf>
    <xf numFmtId="174" fontId="7" fillId="0" borderId="12" xfId="66" applyNumberFormat="1" applyBorder="1" applyAlignment="1">
      <alignment horizontal="center" vertical="center"/>
    </xf>
    <xf numFmtId="174" fontId="109" fillId="9" borderId="550" xfId="4" applyNumberFormat="1" applyFont="1" applyFill="1" applyBorder="1" applyAlignment="1">
      <alignment horizontal="center" vertical="center"/>
    </xf>
    <xf numFmtId="174" fontId="109" fillId="9" borderId="13" xfId="4" applyNumberFormat="1" applyFont="1" applyFill="1" applyBorder="1" applyAlignment="1">
      <alignment horizontal="center" vertical="center"/>
    </xf>
    <xf numFmtId="174" fontId="109" fillId="9" borderId="551" xfId="4" applyNumberFormat="1" applyFont="1" applyFill="1" applyBorder="1" applyAlignment="1">
      <alignment horizontal="center" vertical="center"/>
    </xf>
    <xf numFmtId="174" fontId="109" fillId="9" borderId="0" xfId="4" applyNumberFormat="1" applyFont="1" applyFill="1" applyAlignment="1">
      <alignment horizontal="center" vertical="center"/>
    </xf>
    <xf numFmtId="174" fontId="109" fillId="9" borderId="552" xfId="4" applyNumberFormat="1" applyFont="1" applyFill="1" applyBorder="1" applyAlignment="1">
      <alignment horizontal="center" vertical="center"/>
    </xf>
    <xf numFmtId="174" fontId="109" fillId="9" borderId="12" xfId="4" applyNumberFormat="1" applyFont="1" applyFill="1" applyBorder="1" applyAlignment="1">
      <alignment horizontal="center" vertical="center"/>
    </xf>
    <xf numFmtId="174" fontId="14" fillId="0" borderId="13" xfId="66" applyNumberFormat="1" applyFont="1" applyBorder="1" applyAlignment="1">
      <alignment horizontal="center" vertical="center"/>
    </xf>
    <xf numFmtId="174" fontId="14" fillId="0" borderId="0" xfId="66" applyNumberFormat="1" applyFont="1" applyAlignment="1">
      <alignment horizontal="center" vertical="center"/>
    </xf>
    <xf numFmtId="174" fontId="76" fillId="19" borderId="13" xfId="66" applyNumberFormat="1" applyFont="1" applyFill="1" applyBorder="1" applyAlignment="1" applyProtection="1">
      <alignment horizontal="center" vertical="center"/>
      <protection locked="0"/>
    </xf>
    <xf numFmtId="174" fontId="70" fillId="9" borderId="0" xfId="66" applyNumberFormat="1" applyFont="1" applyFill="1" applyAlignment="1" applyProtection="1">
      <alignment horizontal="center" vertical="center"/>
      <protection locked="0"/>
    </xf>
    <xf numFmtId="170" fontId="76" fillId="19" borderId="12" xfId="66" applyNumberFormat="1" applyFont="1" applyFill="1" applyBorder="1" applyAlignment="1" applyProtection="1">
      <alignment horizontal="center" vertical="center"/>
      <protection locked="0"/>
    </xf>
    <xf numFmtId="0" fontId="125" fillId="9" borderId="13" xfId="4" applyFont="1" applyFill="1" applyBorder="1" applyAlignment="1">
      <alignment horizontal="center" vertical="center"/>
    </xf>
    <xf numFmtId="0" fontId="125" fillId="9" borderId="553" xfId="4" applyFont="1" applyFill="1" applyBorder="1" applyAlignment="1">
      <alignment horizontal="center" vertical="center"/>
    </xf>
    <xf numFmtId="0" fontId="125" fillId="9" borderId="0" xfId="4" applyFont="1" applyFill="1" applyAlignment="1">
      <alignment horizontal="center" vertical="center"/>
    </xf>
    <xf numFmtId="0" fontId="125" fillId="9" borderId="554" xfId="4" applyFont="1" applyFill="1" applyBorder="1" applyAlignment="1">
      <alignment horizontal="center" vertical="center"/>
    </xf>
    <xf numFmtId="0" fontId="125" fillId="9" borderId="12" xfId="4" applyFont="1" applyFill="1" applyBorder="1" applyAlignment="1">
      <alignment horizontal="center" vertical="center"/>
    </xf>
    <xf numFmtId="0" fontId="125" fillId="9" borderId="555" xfId="4" applyFont="1" applyFill="1" applyBorder="1" applyAlignment="1">
      <alignment horizontal="center" vertical="center"/>
    </xf>
    <xf numFmtId="174" fontId="14" fillId="2" borderId="16" xfId="66" applyNumberFormat="1" applyFont="1" applyFill="1" applyBorder="1" applyAlignment="1">
      <alignment horizontal="center" vertical="center"/>
    </xf>
    <xf numFmtId="174" fontId="14" fillId="2" borderId="15" xfId="66" applyNumberFormat="1" applyFont="1" applyFill="1" applyBorder="1" applyAlignment="1">
      <alignment horizontal="center" vertical="center"/>
    </xf>
    <xf numFmtId="174" fontId="14" fillId="2" borderId="14" xfId="66" applyNumberFormat="1" applyFont="1" applyFill="1" applyBorder="1" applyAlignment="1">
      <alignment horizontal="center" vertical="center"/>
    </xf>
    <xf numFmtId="174" fontId="9" fillId="2" borderId="54" xfId="66" applyNumberFormat="1" applyFont="1" applyFill="1" applyBorder="1" applyAlignment="1">
      <alignment horizontal="center" vertical="center"/>
    </xf>
    <xf numFmtId="174" fontId="9" fillId="2" borderId="31" xfId="66" applyNumberFormat="1" applyFont="1" applyFill="1" applyBorder="1" applyAlignment="1">
      <alignment horizontal="center" vertical="center"/>
    </xf>
    <xf numFmtId="174" fontId="9" fillId="2" borderId="77" xfId="66" applyNumberFormat="1" applyFont="1" applyFill="1" applyBorder="1" applyAlignment="1">
      <alignment horizontal="center" vertical="center"/>
    </xf>
    <xf numFmtId="175" fontId="144" fillId="29" borderId="556" xfId="4" applyNumberFormat="1" applyFont="1" applyFill="1" applyBorder="1" applyAlignment="1">
      <alignment horizontal="right" vertical="center"/>
    </xf>
    <xf numFmtId="175" fontId="144" fillId="29" borderId="416" xfId="4" applyNumberFormat="1" applyFont="1" applyFill="1" applyBorder="1" applyAlignment="1">
      <alignment horizontal="right" vertical="center"/>
    </xf>
    <xf numFmtId="0" fontId="96" fillId="29" borderId="557" xfId="66" applyFont="1" applyFill="1" applyBorder="1" applyAlignment="1">
      <alignment horizontal="center" vertical="center"/>
    </xf>
    <xf numFmtId="0" fontId="96" fillId="29" borderId="403" xfId="66" applyFont="1" applyFill="1" applyBorder="1" applyAlignment="1">
      <alignment horizontal="center" vertical="center"/>
    </xf>
    <xf numFmtId="0" fontId="143" fillId="29" borderId="557" xfId="66" applyFont="1" applyFill="1" applyBorder="1" applyAlignment="1">
      <alignment horizontal="right" vertical="center"/>
    </xf>
    <xf numFmtId="0" fontId="143" fillId="29" borderId="403" xfId="66" applyFont="1" applyFill="1" applyBorder="1" applyAlignment="1">
      <alignment horizontal="right" vertical="center"/>
    </xf>
    <xf numFmtId="167" fontId="96" fillId="29" borderId="558" xfId="66" applyNumberFormat="1" applyFont="1" applyFill="1" applyBorder="1" applyAlignment="1">
      <alignment horizontal="center" vertical="center"/>
    </xf>
    <xf numFmtId="167" fontId="96" fillId="29" borderId="410" xfId="66" applyNumberFormat="1" applyFont="1" applyFill="1" applyBorder="1" applyAlignment="1">
      <alignment horizontal="center" vertical="center"/>
    </xf>
    <xf numFmtId="0" fontId="68" fillId="24" borderId="481" xfId="66" applyFont="1" applyFill="1" applyBorder="1" applyAlignment="1">
      <alignment horizontal="center" vertical="center"/>
    </xf>
    <xf numFmtId="0" fontId="68" fillId="24" borderId="412" xfId="66" applyFont="1" applyFill="1" applyBorder="1" applyAlignment="1">
      <alignment horizontal="center" vertical="center"/>
    </xf>
    <xf numFmtId="0" fontId="68" fillId="24" borderId="413" xfId="66" applyFont="1" applyFill="1" applyBorder="1" applyAlignment="1">
      <alignment horizontal="center" vertical="center"/>
    </xf>
    <xf numFmtId="0" fontId="68" fillId="24" borderId="76" xfId="66" applyFont="1" applyFill="1" applyBorder="1" applyAlignment="1">
      <alignment horizontal="center" vertical="center" wrapText="1"/>
    </xf>
    <xf numFmtId="0" fontId="68" fillId="24" borderId="75" xfId="66" applyFont="1" applyFill="1" applyBorder="1" applyAlignment="1">
      <alignment horizontal="center" vertical="center" wrapText="1"/>
    </xf>
    <xf numFmtId="0" fontId="68" fillId="24" borderId="74" xfId="66" applyFont="1" applyFill="1" applyBorder="1" applyAlignment="1">
      <alignment horizontal="center" vertical="center" wrapText="1"/>
    </xf>
    <xf numFmtId="0" fontId="691" fillId="5" borderId="559" xfId="66" applyFont="1" applyFill="1" applyBorder="1" applyAlignment="1">
      <alignment horizontal="center" vertical="center"/>
    </xf>
    <xf numFmtId="0" fontId="691" fillId="5" borderId="560" xfId="66" applyFont="1" applyFill="1" applyBorder="1" applyAlignment="1">
      <alignment horizontal="center" vertical="center"/>
    </xf>
    <xf numFmtId="0" fontId="691" fillId="5" borderId="561" xfId="66" applyFont="1" applyFill="1" applyBorder="1" applyAlignment="1">
      <alignment horizontal="center" vertical="center"/>
    </xf>
    <xf numFmtId="0" fontId="691" fillId="5" borderId="562" xfId="66" applyFont="1" applyFill="1" applyBorder="1" applyAlignment="1">
      <alignment horizontal="center" vertical="center"/>
    </xf>
    <xf numFmtId="0" fontId="691" fillId="5" borderId="563" xfId="66" applyFont="1" applyFill="1" applyBorder="1" applyAlignment="1">
      <alignment horizontal="center" vertical="center"/>
    </xf>
    <xf numFmtId="0" fontId="691" fillId="5" borderId="564" xfId="66" applyFont="1" applyFill="1" applyBorder="1" applyAlignment="1">
      <alignment horizontal="center" vertical="center"/>
    </xf>
    <xf numFmtId="0" fontId="94" fillId="26" borderId="0" xfId="66" applyFont="1" applyFill="1" applyAlignment="1">
      <alignment horizontal="center"/>
    </xf>
    <xf numFmtId="0" fontId="139" fillId="2" borderId="405" xfId="2" applyFont="1" applyFill="1" applyBorder="1" applyAlignment="1" applyProtection="1">
      <alignment horizontal="center" vertical="center"/>
      <protection hidden="1"/>
    </xf>
    <xf numFmtId="0" fontId="139" fillId="2" borderId="406" xfId="2" applyFont="1" applyFill="1" applyBorder="1" applyAlignment="1" applyProtection="1">
      <alignment horizontal="center" vertical="center"/>
      <protection hidden="1"/>
    </xf>
    <xf numFmtId="0" fontId="139" fillId="2" borderId="407" xfId="2" applyFont="1" applyFill="1" applyBorder="1" applyAlignment="1" applyProtection="1">
      <alignment horizontal="center" vertical="center"/>
      <protection hidden="1"/>
    </xf>
    <xf numFmtId="0" fontId="138" fillId="2" borderId="13" xfId="33" applyFont="1" applyFill="1" applyBorder="1" applyAlignment="1">
      <alignment horizontal="center" vertical="center" wrapText="1"/>
    </xf>
    <xf numFmtId="0" fontId="138" fillId="2" borderId="0" xfId="33" applyFont="1" applyFill="1" applyAlignment="1">
      <alignment horizontal="center" vertical="center" wrapText="1"/>
    </xf>
    <xf numFmtId="0" fontId="138" fillId="2" borderId="12" xfId="33" applyFont="1" applyFill="1" applyBorder="1" applyAlignment="1">
      <alignment horizontal="center" vertical="center" wrapText="1"/>
    </xf>
    <xf numFmtId="0" fontId="138" fillId="2" borderId="416" xfId="33" applyFont="1" applyFill="1" applyBorder="1" applyAlignment="1">
      <alignment horizontal="center" vertical="center" wrapText="1"/>
    </xf>
    <xf numFmtId="0" fontId="138" fillId="2" borderId="403" xfId="33" applyFont="1" applyFill="1" applyBorder="1" applyAlignment="1">
      <alignment horizontal="center" vertical="center" wrapText="1"/>
    </xf>
    <xf numFmtId="0" fontId="138" fillId="2" borderId="410" xfId="33" applyFont="1" applyFill="1" applyBorder="1" applyAlignment="1">
      <alignment horizontal="center" vertical="center" wrapText="1"/>
    </xf>
    <xf numFmtId="0" fontId="39" fillId="25" borderId="490" xfId="66" applyFont="1" applyFill="1" applyBorder="1" applyAlignment="1">
      <alignment horizontal="center" vertical="center"/>
    </xf>
    <xf numFmtId="0" fontId="39" fillId="25" borderId="325" xfId="66" applyFont="1" applyFill="1" applyBorder="1" applyAlignment="1">
      <alignment horizontal="center" vertical="center"/>
    </xf>
    <xf numFmtId="0" fontId="39" fillId="25" borderId="491" xfId="66" applyFont="1" applyFill="1" applyBorder="1" applyAlignment="1">
      <alignment horizontal="center" vertical="center"/>
    </xf>
    <xf numFmtId="0" fontId="39" fillId="27" borderId="0" xfId="66" applyFont="1" applyFill="1" applyAlignment="1">
      <alignment horizontal="center" vertical="center"/>
    </xf>
    <xf numFmtId="0" fontId="39" fillId="27" borderId="41" xfId="66" applyFont="1" applyFill="1" applyBorder="1" applyAlignment="1">
      <alignment horizontal="center" vertical="center"/>
    </xf>
    <xf numFmtId="0" fontId="11" fillId="2" borderId="0" xfId="66" applyFont="1" applyFill="1" applyAlignment="1">
      <alignment horizontal="right" vertical="center"/>
    </xf>
    <xf numFmtId="0" fontId="126" fillId="2" borderId="203" xfId="66" applyFont="1" applyFill="1" applyBorder="1" applyAlignment="1">
      <alignment horizontal="center" vertical="center" wrapText="1"/>
    </xf>
    <xf numFmtId="0" fontId="126" fillId="2" borderId="325" xfId="66" applyFont="1" applyFill="1" applyBorder="1" applyAlignment="1">
      <alignment horizontal="center" vertical="center" wrapText="1"/>
    </xf>
    <xf numFmtId="0" fontId="126" fillId="2" borderId="326" xfId="66" applyFont="1" applyFill="1" applyBorder="1" applyAlignment="1">
      <alignment horizontal="center" vertical="center" wrapText="1"/>
    </xf>
    <xf numFmtId="0" fontId="68" fillId="24" borderId="13" xfId="66" applyFont="1" applyFill="1" applyBorder="1" applyAlignment="1">
      <alignment horizontal="center" vertical="center"/>
    </xf>
    <xf numFmtId="0" fontId="68" fillId="24" borderId="0" xfId="66" applyFont="1" applyFill="1" applyAlignment="1">
      <alignment horizontal="center" vertical="center"/>
    </xf>
    <xf numFmtId="0" fontId="68" fillId="24" borderId="203" xfId="66" applyFont="1" applyFill="1" applyBorder="1" applyAlignment="1">
      <alignment horizontal="center" vertical="center"/>
    </xf>
    <xf numFmtId="0" fontId="68" fillId="24" borderId="325" xfId="66" applyFont="1" applyFill="1" applyBorder="1" applyAlignment="1">
      <alignment horizontal="center" vertical="center"/>
    </xf>
    <xf numFmtId="0" fontId="101" fillId="2" borderId="405" xfId="66" applyFont="1" applyFill="1" applyBorder="1" applyAlignment="1">
      <alignment horizontal="center" vertical="center"/>
    </xf>
    <xf numFmtId="0" fontId="101" fillId="2" borderId="407" xfId="66" applyFont="1" applyFill="1" applyBorder="1" applyAlignment="1">
      <alignment horizontal="center" vertical="center"/>
    </xf>
    <xf numFmtId="0" fontId="39" fillId="2" borderId="405" xfId="66" applyFont="1" applyFill="1" applyBorder="1" applyAlignment="1">
      <alignment horizontal="center" wrapText="1"/>
    </xf>
    <xf numFmtId="0" fontId="39" fillId="2" borderId="407" xfId="66" applyFont="1" applyFill="1" applyBorder="1" applyAlignment="1">
      <alignment horizontal="center" wrapText="1"/>
    </xf>
    <xf numFmtId="0" fontId="39" fillId="2" borderId="13" xfId="66" applyFont="1" applyFill="1" applyBorder="1" applyAlignment="1">
      <alignment horizontal="center" wrapText="1"/>
    </xf>
    <xf numFmtId="0" fontId="39" fillId="2" borderId="12" xfId="66" applyFont="1" applyFill="1" applyBorder="1" applyAlignment="1">
      <alignment horizontal="center" wrapText="1"/>
    </xf>
    <xf numFmtId="0" fontId="116" fillId="2" borderId="13" xfId="66" applyFont="1" applyFill="1" applyBorder="1" applyAlignment="1">
      <alignment horizontal="center" vertical="center"/>
    </xf>
    <xf numFmtId="0" fontId="116" fillId="2" borderId="12" xfId="66" applyFont="1" applyFill="1" applyBorder="1" applyAlignment="1">
      <alignment horizontal="center" vertical="center"/>
    </xf>
    <xf numFmtId="0" fontId="39" fillId="25" borderId="13" xfId="66" applyFont="1" applyFill="1" applyBorder="1" applyAlignment="1">
      <alignment horizontal="center" vertical="center"/>
    </xf>
    <xf numFmtId="0" fontId="39" fillId="25" borderId="0" xfId="66" applyFont="1" applyFill="1" applyAlignment="1">
      <alignment horizontal="center" vertical="center"/>
    </xf>
    <xf numFmtId="0" fontId="39" fillId="25" borderId="12" xfId="66" applyFont="1" applyFill="1" applyBorder="1" applyAlignment="1">
      <alignment horizontal="center" vertical="center"/>
    </xf>
    <xf numFmtId="0" fontId="137" fillId="2" borderId="203" xfId="66" applyFont="1" applyFill="1" applyBorder="1" applyAlignment="1">
      <alignment horizontal="right" vertical="center"/>
    </xf>
    <xf numFmtId="0" fontId="137" fillId="2" borderId="325" xfId="66" applyFont="1" applyFill="1" applyBorder="1" applyAlignment="1">
      <alignment horizontal="right" vertical="center"/>
    </xf>
    <xf numFmtId="0" fontId="11" fillId="2" borderId="203" xfId="66" applyFont="1" applyFill="1" applyBorder="1" applyAlignment="1">
      <alignment horizontal="right" vertical="center"/>
    </xf>
    <xf numFmtId="0" fontId="11" fillId="2" borderId="325" xfId="66" applyFont="1" applyFill="1" applyBorder="1" applyAlignment="1">
      <alignment horizontal="right" vertical="center"/>
    </xf>
    <xf numFmtId="0" fontId="94" fillId="2" borderId="16" xfId="66" applyFont="1" applyFill="1" applyBorder="1" applyAlignment="1">
      <alignment horizontal="center" vertical="center"/>
    </xf>
    <xf numFmtId="0" fontId="94" fillId="2" borderId="14" xfId="66" applyFont="1" applyFill="1" applyBorder="1" applyAlignment="1">
      <alignment horizontal="center" vertical="center"/>
    </xf>
    <xf numFmtId="0" fontId="7" fillId="2" borderId="13" xfId="66" applyFill="1" applyBorder="1" applyAlignment="1">
      <alignment horizontal="center"/>
    </xf>
    <xf numFmtId="0" fontId="7" fillId="2" borderId="12" xfId="66" applyFill="1" applyBorder="1" applyAlignment="1">
      <alignment horizontal="center"/>
    </xf>
    <xf numFmtId="0" fontId="94" fillId="2" borderId="16" xfId="66" applyFont="1" applyFill="1" applyBorder="1" applyAlignment="1">
      <alignment horizontal="center"/>
    </xf>
    <xf numFmtId="0" fontId="94" fillId="2" borderId="14" xfId="66" applyFont="1" applyFill="1" applyBorder="1" applyAlignment="1">
      <alignment horizontal="center"/>
    </xf>
    <xf numFmtId="0" fontId="98" fillId="2" borderId="0" xfId="3" applyFont="1" applyFill="1" applyAlignment="1">
      <alignment horizontal="left" vertical="center"/>
    </xf>
    <xf numFmtId="0" fontId="11" fillId="0" borderId="63" xfId="66" applyFont="1" applyBorder="1" applyAlignment="1">
      <alignment horizontal="center"/>
    </xf>
    <xf numFmtId="0" fontId="11" fillId="0" borderId="62" xfId="66" applyFont="1" applyBorder="1" applyAlignment="1">
      <alignment horizontal="center"/>
    </xf>
    <xf numFmtId="0" fontId="9" fillId="2" borderId="13" xfId="66" applyFont="1" applyFill="1" applyBorder="1" applyAlignment="1">
      <alignment horizontal="center"/>
    </xf>
    <xf numFmtId="0" fontId="9" fillId="2" borderId="12" xfId="66" applyFont="1" applyFill="1" applyBorder="1" applyAlignment="1">
      <alignment horizontal="center"/>
    </xf>
    <xf numFmtId="0" fontId="7" fillId="2" borderId="63" xfId="66" applyFill="1" applyBorder="1" applyAlignment="1">
      <alignment horizontal="center"/>
    </xf>
    <xf numFmtId="0" fontId="7" fillId="2" borderId="62" xfId="66" applyFill="1" applyBorder="1" applyAlignment="1">
      <alignment horizontal="center"/>
    </xf>
    <xf numFmtId="0" fontId="94" fillId="2" borderId="405" xfId="66" applyFont="1" applyFill="1" applyBorder="1" applyAlignment="1">
      <alignment horizontal="center" vertical="center" wrapText="1"/>
    </xf>
    <xf numFmtId="0" fontId="94" fillId="2" borderId="407" xfId="66" applyFont="1" applyFill="1" applyBorder="1" applyAlignment="1">
      <alignment horizontal="center" vertical="center" wrapText="1"/>
    </xf>
    <xf numFmtId="0" fontId="94" fillId="2" borderId="13" xfId="66" applyFont="1" applyFill="1" applyBorder="1" applyAlignment="1">
      <alignment horizontal="center" vertical="center" wrapText="1"/>
    </xf>
    <xf numFmtId="0" fontId="94" fillId="2" borderId="12" xfId="66" applyFont="1" applyFill="1" applyBorder="1" applyAlignment="1">
      <alignment horizontal="center" vertical="center" wrapText="1"/>
    </xf>
    <xf numFmtId="0" fontId="69" fillId="2" borderId="316" xfId="66" applyFont="1" applyFill="1" applyBorder="1" applyAlignment="1">
      <alignment horizontal="center" vertical="center" wrapText="1"/>
    </xf>
    <xf numFmtId="0" fontId="69" fillId="2" borderId="0" xfId="66" applyFont="1" applyFill="1" applyAlignment="1">
      <alignment horizontal="center" vertical="center" wrapText="1"/>
    </xf>
    <xf numFmtId="0" fontId="69" fillId="2" borderId="0" xfId="66" applyFont="1" applyFill="1" applyAlignment="1">
      <alignment horizontal="center" vertical="center"/>
    </xf>
    <xf numFmtId="174" fontId="95" fillId="2" borderId="0" xfId="66" applyNumberFormat="1" applyFont="1" applyFill="1" applyAlignment="1" applyProtection="1">
      <alignment horizontal="center" vertical="center" wrapText="1"/>
      <protection locked="0"/>
    </xf>
    <xf numFmtId="174" fontId="95" fillId="2" borderId="41" xfId="66" applyNumberFormat="1" applyFont="1" applyFill="1" applyBorder="1" applyAlignment="1" applyProtection="1">
      <alignment horizontal="center" vertical="center" wrapText="1"/>
      <protection locked="0"/>
    </xf>
    <xf numFmtId="0" fontId="94" fillId="2" borderId="316" xfId="66" applyFont="1" applyFill="1" applyBorder="1" applyAlignment="1">
      <alignment horizontal="right" vertical="center"/>
    </xf>
    <xf numFmtId="0" fontId="94" fillId="2" borderId="0" xfId="66" applyFont="1" applyFill="1" applyAlignment="1">
      <alignment horizontal="right" vertical="center"/>
    </xf>
    <xf numFmtId="174" fontId="13" fillId="2" borderId="0" xfId="66" applyNumberFormat="1" applyFont="1" applyFill="1" applyAlignment="1" applyProtection="1">
      <alignment horizontal="center" vertical="center"/>
      <protection locked="0"/>
    </xf>
    <xf numFmtId="174" fontId="69" fillId="2" borderId="0" xfId="66" applyNumberFormat="1" applyFont="1" applyFill="1" applyAlignment="1" applyProtection="1">
      <alignment horizontal="center" vertical="center"/>
      <protection locked="0"/>
    </xf>
    <xf numFmtId="174" fontId="69" fillId="2" borderId="41" xfId="66" applyNumberFormat="1" applyFont="1" applyFill="1" applyBorder="1" applyAlignment="1" applyProtection="1">
      <alignment horizontal="center" vertical="center"/>
      <protection locked="0"/>
    </xf>
    <xf numFmtId="0" fontId="34" fillId="8" borderId="490" xfId="66" applyFont="1" applyFill="1" applyBorder="1" applyAlignment="1">
      <alignment horizontal="center" vertical="center"/>
    </xf>
    <xf numFmtId="0" fontId="34" fillId="8" borderId="221" xfId="66" applyFont="1" applyFill="1" applyBorder="1" applyAlignment="1">
      <alignment horizontal="center" vertical="center"/>
    </xf>
    <xf numFmtId="0" fontId="34" fillId="8" borderId="491" xfId="66" applyFont="1" applyFill="1" applyBorder="1" applyAlignment="1">
      <alignment horizontal="center" vertical="center"/>
    </xf>
    <xf numFmtId="0" fontId="7" fillId="2" borderId="316" xfId="66" applyFill="1" applyBorder="1" applyAlignment="1">
      <alignment horizontal="right" vertical="center"/>
    </xf>
    <xf numFmtId="0" fontId="7" fillId="2" borderId="0" xfId="66" applyFill="1" applyAlignment="1">
      <alignment horizontal="right" vertical="center"/>
    </xf>
    <xf numFmtId="0" fontId="90" fillId="15" borderId="405" xfId="7" applyFont="1" applyFill="1" applyBorder="1" applyAlignment="1">
      <alignment horizontal="center" vertical="center" wrapText="1"/>
    </xf>
    <xf numFmtId="0" fontId="90" fillId="15" borderId="406" xfId="7" applyFont="1" applyFill="1" applyBorder="1" applyAlignment="1">
      <alignment horizontal="center" vertical="center" wrapText="1"/>
    </xf>
    <xf numFmtId="0" fontId="90" fillId="15" borderId="407" xfId="7" applyFont="1" applyFill="1" applyBorder="1" applyAlignment="1">
      <alignment horizontal="center" vertical="center" wrapText="1"/>
    </xf>
    <xf numFmtId="175" fontId="80" fillId="2" borderId="0" xfId="4" applyNumberFormat="1" applyFont="1" applyFill="1" applyAlignment="1">
      <alignment horizontal="right" vertical="center" wrapText="1"/>
    </xf>
    <xf numFmtId="0" fontId="15" fillId="8" borderId="405" xfId="66" applyFont="1" applyFill="1" applyBorder="1" applyAlignment="1">
      <alignment horizontal="center" vertical="center"/>
    </xf>
    <xf numFmtId="0" fontId="15" fillId="8" borderId="406" xfId="66" applyFont="1" applyFill="1" applyBorder="1" applyAlignment="1">
      <alignment horizontal="center" vertical="center"/>
    </xf>
    <xf numFmtId="0" fontId="15" fillId="8" borderId="407" xfId="66" applyFont="1" applyFill="1" applyBorder="1" applyAlignment="1">
      <alignment horizontal="center" vertical="center"/>
    </xf>
    <xf numFmtId="0" fontId="78" fillId="2" borderId="13" xfId="66" applyFont="1" applyFill="1" applyBorder="1" applyAlignment="1">
      <alignment horizontal="left" vertical="center" wrapText="1"/>
    </xf>
    <xf numFmtId="0" fontId="78" fillId="2" borderId="0" xfId="66" applyFont="1" applyFill="1" applyAlignment="1">
      <alignment horizontal="left" vertical="center" wrapText="1"/>
    </xf>
    <xf numFmtId="0" fontId="78" fillId="2" borderId="12" xfId="66" applyFont="1" applyFill="1" applyBorder="1" applyAlignment="1">
      <alignment horizontal="left" vertical="center" wrapText="1"/>
    </xf>
    <xf numFmtId="0" fontId="78" fillId="2" borderId="52" xfId="66" applyFont="1" applyFill="1" applyBorder="1" applyAlignment="1">
      <alignment horizontal="left" vertical="center" wrapText="1"/>
    </xf>
    <xf numFmtId="0" fontId="78" fillId="2" borderId="51" xfId="66" applyFont="1" applyFill="1" applyBorder="1" applyAlignment="1">
      <alignment horizontal="left" vertical="center" wrapText="1"/>
    </xf>
    <xf numFmtId="0" fontId="78" fillId="2" borderId="50" xfId="66" applyFont="1" applyFill="1" applyBorder="1" applyAlignment="1">
      <alignment horizontal="left" vertical="center" wrapText="1"/>
    </xf>
    <xf numFmtId="0" fontId="34" fillId="18" borderId="0" xfId="66" applyFont="1" applyFill="1" applyAlignment="1">
      <alignment horizontal="center" vertical="center"/>
    </xf>
    <xf numFmtId="0" fontId="72" fillId="15" borderId="13" xfId="66" applyFont="1" applyFill="1" applyBorder="1" applyAlignment="1">
      <alignment horizontal="center" vertical="center"/>
    </xf>
    <xf numFmtId="175" fontId="70" fillId="2" borderId="0" xfId="4" applyNumberFormat="1" applyFont="1" applyFill="1" applyAlignment="1">
      <alignment horizontal="right" vertical="center" wrapText="1"/>
    </xf>
    <xf numFmtId="174" fontId="36" fillId="9" borderId="0" xfId="4" applyNumberFormat="1" applyFont="1" applyFill="1" applyAlignment="1">
      <alignment horizontal="center" vertical="center"/>
    </xf>
    <xf numFmtId="174" fontId="47" fillId="9" borderId="12" xfId="4" applyNumberFormat="1" applyFont="1" applyFill="1" applyBorder="1" applyAlignment="1">
      <alignment horizontal="center" vertical="center"/>
    </xf>
    <xf numFmtId="0" fontId="39" fillId="18" borderId="13" xfId="66" applyFont="1" applyFill="1" applyBorder="1" applyAlignment="1">
      <alignment horizontal="right" vertical="center" wrapText="1"/>
    </xf>
    <xf numFmtId="0" fontId="39" fillId="18" borderId="0" xfId="66" applyFont="1" applyFill="1" applyAlignment="1">
      <alignment horizontal="right" vertical="center" wrapText="1"/>
    </xf>
    <xf numFmtId="2" fontId="34" fillId="18" borderId="0" xfId="66" applyNumberFormat="1" applyFont="1" applyFill="1" applyAlignment="1">
      <alignment horizontal="center" vertical="center"/>
    </xf>
    <xf numFmtId="0" fontId="74" fillId="15" borderId="490" xfId="7" applyFont="1" applyFill="1" applyBorder="1" applyAlignment="1">
      <alignment horizontal="center" vertical="center"/>
    </xf>
    <xf numFmtId="0" fontId="74" fillId="15" borderId="221" xfId="7" applyFont="1" applyFill="1" applyBorder="1" applyAlignment="1">
      <alignment horizontal="center" vertical="center"/>
    </xf>
    <xf numFmtId="0" fontId="74" fillId="15" borderId="491" xfId="7" applyFont="1" applyFill="1" applyBorder="1" applyAlignment="1">
      <alignment horizontal="center" vertical="center"/>
    </xf>
    <xf numFmtId="0" fontId="72" fillId="15" borderId="316" xfId="7" applyFont="1" applyFill="1" applyBorder="1" applyAlignment="1">
      <alignment horizontal="center" vertical="center"/>
    </xf>
    <xf numFmtId="0" fontId="72" fillId="15" borderId="0" xfId="7" applyFont="1" applyFill="1" applyAlignment="1">
      <alignment horizontal="center" vertical="center"/>
    </xf>
    <xf numFmtId="0" fontId="72" fillId="15" borderId="41" xfId="7" applyFont="1" applyFill="1" applyBorder="1" applyAlignment="1">
      <alignment horizontal="center" vertical="center"/>
    </xf>
    <xf numFmtId="0" fontId="72" fillId="15" borderId="0" xfId="7" applyFont="1" applyFill="1" applyAlignment="1">
      <alignment horizontal="left" vertical="center"/>
    </xf>
    <xf numFmtId="0" fontId="72" fillId="15" borderId="41" xfId="7" applyFont="1" applyFill="1" applyBorder="1" applyAlignment="1">
      <alignment horizontal="left" vertical="center"/>
    </xf>
    <xf numFmtId="0" fontId="39" fillId="17" borderId="316" xfId="7" applyFont="1" applyFill="1" applyBorder="1" applyAlignment="1">
      <alignment horizontal="center" vertical="center"/>
    </xf>
    <xf numFmtId="0" fontId="39" fillId="17" borderId="0" xfId="7" applyFont="1" applyFill="1" applyAlignment="1">
      <alignment horizontal="center" vertical="center"/>
    </xf>
    <xf numFmtId="0" fontId="39" fillId="17" borderId="41" xfId="7" applyFont="1" applyFill="1" applyBorder="1" applyAlignment="1">
      <alignment horizontal="center" vertical="center"/>
    </xf>
    <xf numFmtId="0" fontId="71" fillId="2" borderId="316" xfId="7" applyFont="1" applyFill="1" applyBorder="1" applyAlignment="1">
      <alignment horizontal="center" vertical="center" wrapText="1"/>
    </xf>
    <xf numFmtId="174" fontId="45" fillId="5" borderId="0" xfId="4" applyNumberFormat="1" applyFont="1" applyFill="1" applyAlignment="1">
      <alignment horizontal="center" vertical="center"/>
    </xf>
    <xf numFmtId="174" fontId="45" fillId="5" borderId="12" xfId="4" applyNumberFormat="1" applyFont="1" applyFill="1" applyBorder="1" applyAlignment="1">
      <alignment horizontal="center" vertical="center"/>
    </xf>
    <xf numFmtId="0" fontId="34" fillId="5" borderId="13" xfId="66" applyFont="1" applyFill="1" applyBorder="1" applyAlignment="1">
      <alignment horizontal="right" vertical="center"/>
    </xf>
    <xf numFmtId="1" fontId="34" fillId="5" borderId="0" xfId="66" applyNumberFormat="1" applyFont="1" applyFill="1" applyAlignment="1">
      <alignment horizontal="center" vertical="center"/>
    </xf>
    <xf numFmtId="0" fontId="45" fillId="5" borderId="0" xfId="66" applyFont="1" applyFill="1" applyAlignment="1">
      <alignment horizontal="center" vertical="center"/>
    </xf>
    <xf numFmtId="0" fontId="14" fillId="5" borderId="0" xfId="66" applyFont="1" applyFill="1" applyAlignment="1">
      <alignment horizontal="center" vertical="center"/>
    </xf>
    <xf numFmtId="1" fontId="34" fillId="5" borderId="0" xfId="4" applyNumberFormat="1" applyFont="1" applyFill="1" applyAlignment="1">
      <alignment horizontal="center" vertical="center"/>
    </xf>
    <xf numFmtId="0" fontId="39" fillId="2" borderId="0" xfId="6" applyFont="1" applyFill="1" applyAlignment="1">
      <alignment horizontal="center" vertical="center"/>
    </xf>
    <xf numFmtId="0" fontId="39" fillId="2" borderId="41" xfId="6" applyFont="1" applyFill="1" applyBorder="1" applyAlignment="1">
      <alignment horizontal="center" wrapText="1"/>
    </xf>
    <xf numFmtId="165" fontId="70" fillId="2" borderId="316" xfId="6" applyNumberFormat="1" applyFont="1" applyFill="1" applyBorder="1" applyAlignment="1">
      <alignment horizontal="center" vertical="center"/>
    </xf>
    <xf numFmtId="165" fontId="70" fillId="2" borderId="0" xfId="6" applyNumberFormat="1" applyFont="1" applyFill="1" applyAlignment="1">
      <alignment horizontal="center" vertical="center"/>
    </xf>
    <xf numFmtId="0" fontId="70" fillId="2" borderId="0" xfId="6" applyFont="1" applyFill="1" applyAlignment="1">
      <alignment horizontal="center" vertical="center"/>
    </xf>
    <xf numFmtId="0" fontId="39" fillId="2" borderId="0" xfId="6" applyFont="1" applyFill="1" applyAlignment="1">
      <alignment horizontal="right" vertical="center"/>
    </xf>
    <xf numFmtId="0" fontId="72" fillId="16" borderId="316" xfId="7" applyFont="1" applyFill="1" applyBorder="1" applyAlignment="1">
      <alignment horizontal="center" vertical="center"/>
    </xf>
    <xf numFmtId="0" fontId="72" fillId="16" borderId="0" xfId="7" applyFont="1" applyFill="1" applyAlignment="1">
      <alignment horizontal="center" vertical="center"/>
    </xf>
    <xf numFmtId="0" fontId="72" fillId="16" borderId="41" xfId="7" applyFont="1" applyFill="1" applyBorder="1" applyAlignment="1">
      <alignment horizontal="center" vertical="center"/>
    </xf>
    <xf numFmtId="0" fontId="72" fillId="16" borderId="0" xfId="7" applyFont="1" applyFill="1" applyAlignment="1">
      <alignment horizontal="left" vertical="center"/>
    </xf>
    <xf numFmtId="0" fontId="72" fillId="16" borderId="41" xfId="7" applyFont="1" applyFill="1" applyBorder="1" applyAlignment="1">
      <alignment horizontal="left" vertical="center"/>
    </xf>
    <xf numFmtId="172" fontId="47" fillId="14" borderId="13" xfId="6" applyNumberFormat="1" applyFont="1" applyFill="1" applyBorder="1" applyAlignment="1">
      <alignment horizontal="center" vertical="center"/>
    </xf>
    <xf numFmtId="172" fontId="47" fillId="14" borderId="0" xfId="6" applyNumberFormat="1" applyFont="1" applyFill="1" applyAlignment="1">
      <alignment horizontal="center" vertical="center"/>
    </xf>
    <xf numFmtId="173" fontId="62" fillId="13" borderId="0" xfId="6" applyNumberFormat="1" applyFont="1" applyFill="1" applyAlignment="1">
      <alignment horizontal="center" vertical="center"/>
    </xf>
    <xf numFmtId="2" fontId="34" fillId="2" borderId="0" xfId="6" applyNumberFormat="1" applyFont="1" applyFill="1" applyAlignment="1">
      <alignment horizontal="center" vertical="center"/>
    </xf>
    <xf numFmtId="0" fontId="67" fillId="2" borderId="0" xfId="6" applyFont="1" applyFill="1" applyAlignment="1">
      <alignment horizontal="left" vertical="center"/>
    </xf>
    <xf numFmtId="0" fontId="67" fillId="2" borderId="12" xfId="6" applyFont="1" applyFill="1" applyBorder="1" applyAlignment="1">
      <alignment horizontal="left" vertical="center"/>
    </xf>
    <xf numFmtId="172" fontId="34" fillId="3" borderId="13" xfId="6" applyNumberFormat="1" applyFont="1" applyFill="1" applyBorder="1" applyAlignment="1">
      <alignment horizontal="center" vertical="center"/>
    </xf>
    <xf numFmtId="172" fontId="34" fillId="3" borderId="0" xfId="6" applyNumberFormat="1" applyFont="1" applyFill="1" applyAlignment="1">
      <alignment horizontal="center" vertical="center"/>
    </xf>
    <xf numFmtId="172" fontId="34" fillId="3" borderId="12" xfId="6" applyNumberFormat="1" applyFont="1" applyFill="1" applyBorder="1" applyAlignment="1">
      <alignment horizontal="center" vertical="center"/>
    </xf>
    <xf numFmtId="172" fontId="65" fillId="2" borderId="13" xfId="6" applyNumberFormat="1" applyFont="1" applyFill="1" applyBorder="1" applyAlignment="1">
      <alignment horizontal="center" vertical="center"/>
    </xf>
    <xf numFmtId="172" fontId="65" fillId="2" borderId="0" xfId="6" applyNumberFormat="1" applyFont="1" applyFill="1" applyAlignment="1">
      <alignment horizontal="center" vertical="center"/>
    </xf>
    <xf numFmtId="173" fontId="65" fillId="2" borderId="0" xfId="6" applyNumberFormat="1" applyFont="1" applyFill="1" applyAlignment="1">
      <alignment horizontal="center" vertical="center"/>
    </xf>
    <xf numFmtId="0" fontId="692" fillId="14" borderId="405" xfId="7" applyFont="1" applyFill="1" applyBorder="1" applyAlignment="1">
      <alignment horizontal="center" vertical="center" wrapText="1"/>
    </xf>
    <xf numFmtId="0" fontId="692" fillId="14" borderId="406" xfId="7" applyFont="1" applyFill="1" applyBorder="1" applyAlignment="1">
      <alignment horizontal="center" vertical="center" wrapText="1"/>
    </xf>
    <xf numFmtId="0" fontId="692" fillId="14" borderId="13" xfId="7" applyFont="1" applyFill="1" applyBorder="1" applyAlignment="1">
      <alignment horizontal="center" vertical="center" wrapText="1"/>
    </xf>
    <xf numFmtId="0" fontId="692" fillId="14" borderId="0" xfId="7" applyFont="1" applyFill="1" applyAlignment="1">
      <alignment horizontal="center" vertical="center" wrapText="1"/>
    </xf>
    <xf numFmtId="0" fontId="61" fillId="13" borderId="406" xfId="6" applyFont="1" applyFill="1" applyBorder="1" applyAlignment="1">
      <alignment horizontal="center" vertical="center" wrapText="1"/>
    </xf>
    <xf numFmtId="0" fontId="61" fillId="13" borderId="0" xfId="6" applyFont="1" applyFill="1" applyAlignment="1">
      <alignment horizontal="center" vertical="center" wrapText="1"/>
    </xf>
    <xf numFmtId="0" fontId="69" fillId="2" borderId="406" xfId="6" applyFont="1" applyFill="1" applyBorder="1" applyAlignment="1">
      <alignment horizontal="center" vertical="center" wrapText="1"/>
    </xf>
    <xf numFmtId="0" fontId="68" fillId="15" borderId="406" xfId="7" applyFont="1" applyFill="1" applyBorder="1" applyAlignment="1">
      <alignment horizontal="center" vertical="center"/>
    </xf>
    <xf numFmtId="0" fontId="68" fillId="15" borderId="407" xfId="7" applyFont="1" applyFill="1" applyBorder="1" applyAlignment="1">
      <alignment horizontal="center" vertical="center"/>
    </xf>
    <xf numFmtId="172" fontId="65" fillId="2" borderId="481" xfId="6" applyNumberFormat="1" applyFont="1" applyFill="1" applyBorder="1" applyAlignment="1">
      <alignment horizontal="left" vertical="center" wrapText="1"/>
    </xf>
    <xf numFmtId="172" fontId="65" fillId="2" borderId="412" xfId="6" applyNumberFormat="1" applyFont="1" applyFill="1" applyBorder="1" applyAlignment="1">
      <alignment horizontal="left" vertical="center" wrapText="1"/>
    </xf>
    <xf numFmtId="172" fontId="65" fillId="2" borderId="413" xfId="6" applyNumberFormat="1" applyFont="1" applyFill="1" applyBorder="1" applyAlignment="1">
      <alignment horizontal="left" vertical="center" wrapText="1"/>
    </xf>
    <xf numFmtId="0" fontId="63" fillId="146" borderId="403" xfId="2" applyFont="1" applyFill="1" applyBorder="1" applyAlignment="1" applyProtection="1">
      <alignment horizontal="center" vertical="center"/>
      <protection hidden="1"/>
    </xf>
    <xf numFmtId="0" fontId="27" fillId="0" borderId="316" xfId="4" applyFont="1" applyBorder="1" applyAlignment="1" applyProtection="1">
      <alignment horizontal="center" vertical="center"/>
      <protection locked="0"/>
    </xf>
    <xf numFmtId="0" fontId="51" fillId="12" borderId="406" xfId="4" applyFont="1" applyFill="1" applyBorder="1" applyAlignment="1">
      <alignment horizontal="center" vertical="center"/>
    </xf>
    <xf numFmtId="0" fontId="49" fillId="8" borderId="405" xfId="2" applyFont="1" applyFill="1" applyBorder="1" applyAlignment="1" applyProtection="1">
      <alignment horizontal="center" vertical="center" wrapText="1"/>
      <protection hidden="1"/>
    </xf>
    <xf numFmtId="0" fontId="49" fillId="8" borderId="406" xfId="2" applyFont="1" applyFill="1" applyBorder="1" applyAlignment="1" applyProtection="1">
      <alignment horizontal="center" vertical="center" wrapText="1"/>
      <protection hidden="1"/>
    </xf>
    <xf numFmtId="0" fontId="50" fillId="8" borderId="407" xfId="4" applyFont="1" applyFill="1" applyBorder="1" applyAlignment="1">
      <alignment horizontal="center" vertical="center"/>
    </xf>
    <xf numFmtId="0" fontId="7" fillId="6" borderId="12" xfId="66" applyFill="1" applyBorder="1" applyAlignment="1">
      <alignment horizontal="center"/>
    </xf>
    <xf numFmtId="0" fontId="49" fillId="2" borderId="13" xfId="33" applyFont="1" applyFill="1" applyBorder="1" applyAlignment="1">
      <alignment horizontal="center" vertical="center" wrapText="1"/>
    </xf>
    <xf numFmtId="0" fontId="49" fillId="2" borderId="0" xfId="33" applyFont="1" applyFill="1" applyAlignment="1">
      <alignment horizontal="center" vertical="center" wrapText="1"/>
    </xf>
    <xf numFmtId="0" fontId="49" fillId="2" borderId="12" xfId="33" applyFont="1" applyFill="1" applyBorder="1" applyAlignment="1">
      <alignment horizontal="center" vertical="center" wrapText="1"/>
    </xf>
    <xf numFmtId="0" fontId="33" fillId="2" borderId="13" xfId="33" applyFont="1" applyFill="1" applyBorder="1" applyAlignment="1">
      <alignment horizontal="center" vertical="center" wrapText="1"/>
    </xf>
    <xf numFmtId="0" fontId="33" fillId="2" borderId="0" xfId="33" applyFont="1" applyFill="1" applyAlignment="1">
      <alignment horizontal="center" vertical="center" wrapText="1"/>
    </xf>
    <xf numFmtId="0" fontId="33" fillId="2" borderId="12" xfId="33" applyFont="1" applyFill="1" applyBorder="1" applyAlignment="1">
      <alignment horizontal="center" vertical="center" wrapText="1"/>
    </xf>
    <xf numFmtId="0" fontId="48" fillId="4" borderId="403" xfId="2" applyFont="1" applyFill="1" applyBorder="1" applyAlignment="1">
      <alignment horizontal="center" vertical="center"/>
    </xf>
    <xf numFmtId="165" fontId="23" fillId="7" borderId="15" xfId="33" applyNumberFormat="1" applyFont="1" applyFill="1" applyBorder="1" applyAlignment="1">
      <alignment horizontal="left" vertical="center"/>
    </xf>
    <xf numFmtId="165" fontId="23" fillId="7" borderId="14" xfId="33" applyNumberFormat="1" applyFont="1" applyFill="1" applyBorder="1" applyAlignment="1">
      <alignment horizontal="left" vertical="center"/>
    </xf>
    <xf numFmtId="165" fontId="23" fillId="7" borderId="0" xfId="33" applyNumberFormat="1" applyFont="1" applyFill="1" applyAlignment="1">
      <alignment horizontal="left" vertical="center"/>
    </xf>
    <xf numFmtId="165" fontId="23" fillId="7" borderId="12" xfId="33" applyNumberFormat="1" applyFont="1" applyFill="1" applyBorder="1" applyAlignment="1">
      <alignment horizontal="left" vertical="center"/>
    </xf>
    <xf numFmtId="0" fontId="22" fillId="4" borderId="481" xfId="4" applyFont="1" applyFill="1" applyBorder="1" applyAlignment="1">
      <alignment horizontal="center" vertical="center"/>
    </xf>
    <xf numFmtId="0" fontId="22" fillId="4" borderId="412" xfId="4" applyFont="1" applyFill="1" applyBorder="1" applyAlignment="1">
      <alignment horizontal="center" vertical="center"/>
    </xf>
    <xf numFmtId="0" fontId="22" fillId="4" borderId="413" xfId="4" applyFont="1" applyFill="1" applyBorder="1" applyAlignment="1">
      <alignment horizontal="center" vertical="center"/>
    </xf>
    <xf numFmtId="0" fontId="47" fillId="9" borderId="500" xfId="66" applyFont="1" applyFill="1" applyBorder="1" applyAlignment="1">
      <alignment horizontal="center" vertical="center"/>
    </xf>
    <xf numFmtId="0" fontId="47" fillId="9" borderId="502" xfId="66" applyFont="1" applyFill="1" applyBorder="1" applyAlignment="1">
      <alignment horizontal="center" vertical="center"/>
    </xf>
    <xf numFmtId="0" fontId="24" fillId="4" borderId="574" xfId="66" applyFont="1" applyFill="1" applyBorder="1" applyAlignment="1">
      <alignment horizontal="center" vertical="center" wrapText="1"/>
    </xf>
    <xf numFmtId="0" fontId="24" fillId="4" borderId="575" xfId="66" applyFont="1" applyFill="1" applyBorder="1" applyAlignment="1">
      <alignment horizontal="center" vertical="center" wrapText="1"/>
    </xf>
    <xf numFmtId="0" fontId="24" fillId="4" borderId="576" xfId="66" applyFont="1" applyFill="1" applyBorder="1" applyAlignment="1">
      <alignment horizontal="center" vertical="center" wrapText="1"/>
    </xf>
    <xf numFmtId="0" fontId="24" fillId="4" borderId="19" xfId="66" applyFont="1" applyFill="1" applyBorder="1" applyAlignment="1">
      <alignment horizontal="center" vertical="center" wrapText="1"/>
    </xf>
    <xf numFmtId="0" fontId="24" fillId="4" borderId="18" xfId="66" applyFont="1" applyFill="1" applyBorder="1" applyAlignment="1">
      <alignment horizontal="center" vertical="center" wrapText="1"/>
    </xf>
    <xf numFmtId="0" fontId="24" fillId="4" borderId="17" xfId="66" applyFont="1" applyFill="1" applyBorder="1" applyAlignment="1">
      <alignment horizontal="center" vertical="center" wrapText="1"/>
    </xf>
    <xf numFmtId="0" fontId="693" fillId="5" borderId="417" xfId="66" applyFont="1" applyFill="1" applyBorder="1" applyAlignment="1">
      <alignment horizontal="center" vertical="center"/>
    </xf>
    <xf numFmtId="0" fontId="693" fillId="5" borderId="0" xfId="66" applyFont="1" applyFill="1" applyAlignment="1">
      <alignment horizontal="center" vertical="center"/>
    </xf>
    <xf numFmtId="0" fontId="28" fillId="9" borderId="500" xfId="66" applyFont="1" applyFill="1" applyBorder="1" applyAlignment="1">
      <alignment horizontal="center" vertical="center"/>
    </xf>
    <xf numFmtId="0" fontId="28" fillId="9" borderId="502" xfId="66" applyFont="1" applyFill="1" applyBorder="1" applyAlignment="1">
      <alignment horizontal="center" vertical="center"/>
    </xf>
    <xf numFmtId="165" fontId="47" fillId="9" borderId="0" xfId="33" applyNumberFormat="1" applyFont="1" applyFill="1" applyAlignment="1">
      <alignment horizontal="center" vertical="center"/>
    </xf>
    <xf numFmtId="0" fontId="138" fillId="2" borderId="0" xfId="2" applyFont="1" applyFill="1" applyAlignment="1" applyProtection="1">
      <alignment horizontal="left" vertical="center" wrapText="1"/>
      <protection hidden="1"/>
    </xf>
    <xf numFmtId="0" fontId="475" fillId="17" borderId="0" xfId="2" applyFont="1" applyFill="1" applyAlignment="1">
      <alignment horizontal="center" vertical="center"/>
    </xf>
    <xf numFmtId="0" fontId="219" fillId="0" borderId="578" xfId="2" applyFont="1" applyBorder="1" applyAlignment="1">
      <alignment horizontal="center" vertical="center"/>
    </xf>
    <xf numFmtId="0" fontId="138" fillId="0" borderId="578" xfId="2" applyFont="1" applyBorder="1" applyAlignment="1">
      <alignment horizontal="center" vertical="center" wrapText="1"/>
    </xf>
    <xf numFmtId="0" fontId="219" fillId="61" borderId="579" xfId="2" applyFont="1" applyFill="1" applyBorder="1" applyAlignment="1">
      <alignment horizontal="center" vertical="center" wrapText="1"/>
    </xf>
    <xf numFmtId="0" fontId="219" fillId="61" borderId="580" xfId="2" applyFont="1" applyFill="1" applyBorder="1" applyAlignment="1">
      <alignment horizontal="center" vertical="center" wrapText="1"/>
    </xf>
    <xf numFmtId="0" fontId="219" fillId="61" borderId="408" xfId="2" applyFont="1" applyFill="1" applyBorder="1" applyAlignment="1">
      <alignment horizontal="center" vertical="center" wrapText="1"/>
    </xf>
    <xf numFmtId="0" fontId="696" fillId="2" borderId="0" xfId="2" applyFont="1" applyFill="1" applyAlignment="1" applyProtection="1">
      <alignment horizontal="center" vertical="center"/>
      <protection hidden="1"/>
    </xf>
    <xf numFmtId="0" fontId="278" fillId="2" borderId="0" xfId="2" applyFont="1" applyFill="1" applyAlignment="1" applyProtection="1">
      <alignment horizontal="center" vertical="center"/>
      <protection hidden="1"/>
    </xf>
    <xf numFmtId="0" fontId="278" fillId="2" borderId="0" xfId="2" applyFont="1" applyFill="1" applyAlignment="1" applyProtection="1">
      <alignment horizontal="center" vertical="center" wrapText="1"/>
      <protection hidden="1"/>
    </xf>
    <xf numFmtId="0" fontId="216" fillId="0" borderId="0" xfId="3" applyFont="1" applyBorder="1" applyAlignment="1">
      <alignment horizontal="center" vertical="center" wrapText="1"/>
    </xf>
    <xf numFmtId="0" fontId="101" fillId="2" borderId="0" xfId="2" applyFont="1" applyFill="1" applyAlignment="1" applyProtection="1">
      <alignment horizontal="center" vertical="center" wrapText="1"/>
      <protection hidden="1"/>
    </xf>
    <xf numFmtId="0" fontId="281" fillId="2" borderId="0" xfId="2" applyFont="1" applyFill="1" applyAlignment="1" applyProtection="1">
      <alignment horizontal="center" vertical="center" wrapText="1"/>
      <protection hidden="1"/>
    </xf>
    <xf numFmtId="0" fontId="138" fillId="2" borderId="0" xfId="2" applyFont="1" applyFill="1" applyAlignment="1" applyProtection="1">
      <alignment horizontal="center" vertical="center" wrapText="1"/>
      <protection hidden="1"/>
    </xf>
    <xf numFmtId="0" fontId="138" fillId="2" borderId="0" xfId="2" applyFont="1" applyFill="1" applyAlignment="1" applyProtection="1">
      <alignment horizontal="center" vertical="center"/>
      <protection hidden="1"/>
    </xf>
    <xf numFmtId="0" fontId="603" fillId="23" borderId="0" xfId="2" applyFont="1" applyFill="1" applyAlignment="1">
      <alignment horizontal="center" vertical="center" wrapText="1"/>
    </xf>
    <xf numFmtId="0" fontId="603" fillId="23" borderId="56" xfId="2" applyFont="1" applyFill="1" applyBorder="1" applyAlignment="1">
      <alignment horizontal="center" vertical="center" wrapText="1"/>
    </xf>
    <xf numFmtId="0" fontId="603" fillId="40" borderId="0" xfId="2" applyFont="1" applyFill="1" applyAlignment="1">
      <alignment horizontal="center" vertical="center" wrapText="1"/>
    </xf>
    <xf numFmtId="0" fontId="603" fillId="40" borderId="56" xfId="2" applyFont="1" applyFill="1" applyBorder="1" applyAlignment="1">
      <alignment horizontal="center" vertical="center" wrapText="1"/>
    </xf>
    <xf numFmtId="0" fontId="603" fillId="40" borderId="41" xfId="2" applyFont="1" applyFill="1" applyBorder="1" applyAlignment="1">
      <alignment horizontal="center" vertical="center" wrapText="1"/>
    </xf>
    <xf numFmtId="0" fontId="716" fillId="0" borderId="0" xfId="25" applyFont="1" applyAlignment="1">
      <alignment horizontal="right" vertical="center"/>
    </xf>
    <xf numFmtId="0" fontId="603" fillId="23" borderId="41" xfId="2" applyFont="1" applyFill="1" applyBorder="1" applyAlignment="1">
      <alignment horizontal="center" vertical="center" wrapText="1"/>
    </xf>
    <xf numFmtId="0" fontId="716" fillId="0" borderId="41" xfId="25" applyFont="1" applyBorder="1" applyAlignment="1">
      <alignment horizontal="right" vertical="center"/>
    </xf>
    <xf numFmtId="0" fontId="193" fillId="41" borderId="0" xfId="2" applyFont="1" applyFill="1" applyAlignment="1">
      <alignment horizontal="center" vertical="center" wrapText="1"/>
    </xf>
    <xf numFmtId="0" fontId="193" fillId="41" borderId="56" xfId="2" applyFont="1" applyFill="1" applyBorder="1" applyAlignment="1">
      <alignment horizontal="center" vertical="center" wrapText="1"/>
    </xf>
    <xf numFmtId="0" fontId="193" fillId="41" borderId="41" xfId="2" applyFont="1" applyFill="1" applyBorder="1" applyAlignment="1">
      <alignment horizontal="center" vertical="center" wrapText="1"/>
    </xf>
    <xf numFmtId="0" fontId="193" fillId="137" borderId="0" xfId="2" applyFont="1" applyFill="1" applyAlignment="1">
      <alignment horizontal="center" vertical="center" wrapText="1"/>
    </xf>
    <xf numFmtId="0" fontId="193" fillId="137" borderId="56" xfId="2" applyFont="1" applyFill="1" applyBorder="1" applyAlignment="1">
      <alignment horizontal="center" vertical="center" wrapText="1"/>
    </xf>
    <xf numFmtId="0" fontId="193" fillId="137" borderId="41" xfId="2" applyFont="1" applyFill="1" applyBorder="1" applyAlignment="1">
      <alignment horizontal="center" vertical="center" wrapText="1"/>
    </xf>
    <xf numFmtId="0" fontId="736" fillId="17" borderId="8" xfId="2" applyFont="1" applyFill="1" applyBorder="1" applyAlignment="1">
      <alignment horizontal="center" vertical="center" wrapText="1"/>
    </xf>
    <xf numFmtId="0" fontId="736" fillId="17" borderId="7" xfId="2" applyFont="1" applyFill="1" applyBorder="1" applyAlignment="1">
      <alignment horizontal="center" vertical="center" wrapText="1"/>
    </xf>
    <xf numFmtId="0" fontId="736" fillId="17" borderId="6" xfId="2" applyFont="1" applyFill="1" applyBorder="1" applyAlignment="1">
      <alignment horizontal="center" vertical="center" wrapText="1"/>
    </xf>
    <xf numFmtId="0" fontId="736" fillId="17" borderId="3" xfId="2" applyFont="1" applyFill="1" applyBorder="1" applyAlignment="1">
      <alignment horizontal="center" vertical="center" wrapText="1"/>
    </xf>
    <xf numFmtId="0" fontId="736" fillId="17" borderId="2" xfId="2" applyFont="1" applyFill="1" applyBorder="1" applyAlignment="1">
      <alignment horizontal="center" vertical="center" wrapText="1"/>
    </xf>
    <xf numFmtId="0" fontId="736" fillId="17" borderId="1" xfId="2" applyFont="1" applyFill="1" applyBorder="1" applyAlignment="1">
      <alignment horizontal="center" vertical="center" wrapText="1"/>
    </xf>
    <xf numFmtId="0" fontId="737" fillId="0" borderId="490" xfId="25" applyFont="1" applyBorder="1" applyAlignment="1">
      <alignment horizontal="center" vertical="center" wrapText="1"/>
    </xf>
    <xf numFmtId="0" fontId="737" fillId="0" borderId="221" xfId="25" applyFont="1" applyBorder="1" applyAlignment="1">
      <alignment horizontal="center" vertical="center" wrapText="1"/>
    </xf>
    <xf numFmtId="0" fontId="737" fillId="0" borderId="491" xfId="25" applyFont="1" applyBorder="1" applyAlignment="1">
      <alignment horizontal="center" vertical="center" wrapText="1"/>
    </xf>
    <xf numFmtId="0" fontId="737" fillId="0" borderId="316" xfId="25" applyFont="1" applyBorder="1" applyAlignment="1">
      <alignment horizontal="center" vertical="center" wrapText="1"/>
    </xf>
    <xf numFmtId="0" fontId="737" fillId="0" borderId="0" xfId="25" applyFont="1" applyAlignment="1">
      <alignment horizontal="center" vertical="center" wrapText="1"/>
    </xf>
    <xf numFmtId="0" fontId="737" fillId="0" borderId="41" xfId="25" applyFont="1" applyBorder="1" applyAlignment="1">
      <alignment horizontal="center" vertical="center" wrapText="1"/>
    </xf>
    <xf numFmtId="0" fontId="737" fillId="0" borderId="402" xfId="25" applyFont="1" applyBorder="1" applyAlignment="1">
      <alignment horizontal="center" vertical="center" wrapText="1"/>
    </xf>
    <xf numFmtId="0" fontId="737" fillId="0" borderId="403" xfId="25" applyFont="1" applyBorder="1" applyAlignment="1">
      <alignment horizontal="center" vertical="center" wrapText="1"/>
    </xf>
    <xf numFmtId="0" fontId="737" fillId="0" borderId="404" xfId="25" applyFont="1" applyBorder="1" applyAlignment="1">
      <alignment horizontal="center" vertical="center" wrapText="1"/>
    </xf>
    <xf numFmtId="0" fontId="247" fillId="0" borderId="0" xfId="2" applyFont="1" applyAlignment="1">
      <alignment horizontal="center" vertical="center"/>
    </xf>
    <xf numFmtId="0" fontId="603" fillId="15" borderId="0" xfId="2" applyFont="1" applyFill="1" applyAlignment="1">
      <alignment horizontal="center" vertical="center" wrapText="1"/>
    </xf>
    <xf numFmtId="0" fontId="603" fillId="15" borderId="41" xfId="2" applyFont="1" applyFill="1" applyBorder="1" applyAlignment="1">
      <alignment horizontal="center" vertical="center" wrapText="1"/>
    </xf>
    <xf numFmtId="0" fontId="603" fillId="15" borderId="56" xfId="2" applyFont="1" applyFill="1" applyBorder="1" applyAlignment="1">
      <alignment horizontal="center" vertical="center" wrapText="1"/>
    </xf>
    <xf numFmtId="0" fontId="193" fillId="30" borderId="0" xfId="2" applyFont="1" applyFill="1" applyAlignment="1">
      <alignment horizontal="center" vertical="center" wrapText="1"/>
    </xf>
    <xf numFmtId="0" fontId="193" fillId="30" borderId="56" xfId="2" applyFont="1" applyFill="1" applyBorder="1" applyAlignment="1">
      <alignment horizontal="center" vertical="center" wrapText="1"/>
    </xf>
    <xf numFmtId="0" fontId="193" fillId="30" borderId="41" xfId="2" applyFont="1" applyFill="1" applyBorder="1" applyAlignment="1">
      <alignment horizontal="center" vertical="center" wrapText="1"/>
    </xf>
    <xf numFmtId="0" fontId="773" fillId="178" borderId="0" xfId="25" applyFont="1" applyFill="1" applyAlignment="1">
      <alignment horizontal="center" vertical="center"/>
    </xf>
    <xf numFmtId="0" fontId="604" fillId="178" borderId="0" xfId="25" applyFont="1" applyFill="1" applyAlignment="1">
      <alignment horizontal="right" vertical="center"/>
    </xf>
    <xf numFmtId="0" fontId="538" fillId="17" borderId="405" xfId="25" applyFont="1" applyFill="1" applyBorder="1" applyAlignment="1">
      <alignment horizontal="center" vertical="center"/>
    </xf>
    <xf numFmtId="0" fontId="538" fillId="17" borderId="406" xfId="25" applyFont="1" applyFill="1" applyBorder="1" applyAlignment="1">
      <alignment horizontal="center" vertical="center"/>
    </xf>
    <xf numFmtId="0" fontId="538" fillId="17" borderId="407" xfId="25" applyFont="1" applyFill="1" applyBorder="1" applyAlignment="1">
      <alignment horizontal="center" vertical="center"/>
    </xf>
    <xf numFmtId="0" fontId="538" fillId="17" borderId="13" xfId="25" applyFont="1" applyFill="1" applyBorder="1" applyAlignment="1">
      <alignment horizontal="center" vertical="center"/>
    </xf>
    <xf numFmtId="0" fontId="538" fillId="17" borderId="0" xfId="25" applyFont="1" applyFill="1" applyAlignment="1">
      <alignment horizontal="center" vertical="center"/>
    </xf>
    <xf numFmtId="0" fontId="538" fillId="17" borderId="12" xfId="25" applyFont="1" applyFill="1" applyBorder="1" applyAlignment="1">
      <alignment horizontal="center" vertical="center"/>
    </xf>
    <xf numFmtId="0" fontId="138" fillId="17" borderId="13" xfId="25" applyFont="1" applyFill="1" applyBorder="1" applyAlignment="1">
      <alignment horizontal="center" vertical="center" wrapText="1"/>
    </xf>
    <xf numFmtId="0" fontId="138" fillId="17" borderId="0" xfId="25" applyFont="1" applyFill="1" applyAlignment="1">
      <alignment horizontal="center" vertical="center" wrapText="1"/>
    </xf>
    <xf numFmtId="0" fontId="138" fillId="17" borderId="12" xfId="25" applyFont="1" applyFill="1" applyBorder="1" applyAlignment="1">
      <alignment horizontal="center" vertical="center" wrapText="1"/>
    </xf>
    <xf numFmtId="0" fontId="138" fillId="17" borderId="481" xfId="25" applyFont="1" applyFill="1" applyBorder="1" applyAlignment="1">
      <alignment horizontal="center" vertical="center" wrapText="1"/>
    </xf>
    <xf numFmtId="0" fontId="138" fillId="17" borderId="412" xfId="25" applyFont="1" applyFill="1" applyBorder="1" applyAlignment="1">
      <alignment horizontal="center" vertical="center" wrapText="1"/>
    </xf>
    <xf numFmtId="0" fontId="138" fillId="17" borderId="584" xfId="25" applyFont="1" applyFill="1" applyBorder="1" applyAlignment="1">
      <alignment horizontal="center" vertical="center" wrapText="1"/>
    </xf>
    <xf numFmtId="0" fontId="796" fillId="178" borderId="0" xfId="25" applyFont="1" applyFill="1" applyAlignment="1">
      <alignment horizontal="center" vertical="center"/>
    </xf>
    <xf numFmtId="0" fontId="402" fillId="0" borderId="0" xfId="66" applyFont="1" applyAlignment="1">
      <alignment horizontal="center" vertical="center"/>
    </xf>
    <xf numFmtId="2" fontId="34" fillId="83" borderId="0" xfId="25" applyNumberFormat="1" applyFont="1" applyFill="1" applyAlignment="1" applyProtection="1">
      <alignment horizontal="center" vertical="center"/>
      <protection locked="0"/>
    </xf>
    <xf numFmtId="2" fontId="34" fillId="84" borderId="0" xfId="66" applyNumberFormat="1" applyFont="1" applyFill="1" applyAlignment="1" applyProtection="1">
      <alignment horizontal="center" vertical="center"/>
      <protection locked="0"/>
    </xf>
    <xf numFmtId="2" fontId="96" fillId="91" borderId="0" xfId="25" applyNumberFormat="1" applyFont="1" applyFill="1" applyAlignment="1" applyProtection="1">
      <alignment horizontal="center" vertical="center"/>
      <protection locked="0"/>
    </xf>
    <xf numFmtId="2" fontId="96" fillId="96" borderId="0" xfId="66" applyNumberFormat="1" applyFont="1" applyFill="1" applyAlignment="1" applyProtection="1">
      <alignment horizontal="center" vertical="center"/>
      <protection locked="0"/>
    </xf>
    <xf numFmtId="2" fontId="34" fillId="103" borderId="0" xfId="66" applyNumberFormat="1" applyFont="1" applyFill="1" applyAlignment="1" applyProtection="1">
      <alignment horizontal="center" vertical="center"/>
      <protection locked="0"/>
    </xf>
    <xf numFmtId="0" fontId="145" fillId="91" borderId="0" xfId="25" applyFont="1" applyFill="1" applyAlignment="1">
      <alignment horizontal="center"/>
    </xf>
    <xf numFmtId="2" fontId="34" fillId="112" borderId="0" xfId="66" applyNumberFormat="1" applyFont="1" applyFill="1" applyAlignment="1" applyProtection="1">
      <alignment horizontal="center" vertical="center"/>
      <protection locked="0"/>
    </xf>
    <xf numFmtId="2" fontId="96" fillId="86" borderId="0" xfId="66" applyNumberFormat="1" applyFont="1" applyFill="1" applyAlignment="1" applyProtection="1">
      <alignment horizontal="center" vertical="center"/>
      <protection locked="0"/>
    </xf>
    <xf numFmtId="2" fontId="34" fillId="25" borderId="0" xfId="25" applyNumberFormat="1" applyFont="1" applyFill="1" applyAlignment="1" applyProtection="1">
      <alignment horizontal="center" vertical="center"/>
      <protection locked="0"/>
    </xf>
    <xf numFmtId="0" fontId="34" fillId="20" borderId="0" xfId="66" applyFont="1" applyFill="1" applyAlignment="1">
      <alignment horizontal="center" vertical="center"/>
    </xf>
    <xf numFmtId="2" fontId="34" fillId="130" borderId="0" xfId="66" applyNumberFormat="1" applyFont="1" applyFill="1" applyAlignment="1" applyProtection="1">
      <alignment horizontal="center" vertical="center"/>
      <protection locked="0"/>
    </xf>
    <xf numFmtId="0" fontId="404" fillId="0" borderId="0" xfId="27" applyFont="1" applyAlignment="1" applyProtection="1">
      <alignment horizontal="center" vertical="center" wrapText="1"/>
    </xf>
    <xf numFmtId="0" fontId="404" fillId="0" borderId="585" xfId="27" applyFont="1" applyBorder="1" applyAlignment="1" applyProtection="1">
      <alignment horizontal="center" vertical="center" wrapText="1"/>
    </xf>
    <xf numFmtId="49" fontId="34" fillId="6" borderId="0" xfId="25" applyNumberFormat="1" applyFont="1" applyFill="1" applyAlignment="1" applyProtection="1">
      <alignment horizontal="center" vertical="center"/>
      <protection locked="0"/>
    </xf>
    <xf numFmtId="2" fontId="34" fillId="51" borderId="0" xfId="66" applyNumberFormat="1" applyFont="1" applyFill="1" applyAlignment="1" applyProtection="1">
      <alignment horizontal="center" vertical="center"/>
      <protection locked="0"/>
    </xf>
    <xf numFmtId="0" fontId="19" fillId="4" borderId="586" xfId="26" applyFont="1" applyFill="1" applyBorder="1" applyAlignment="1">
      <alignment horizontal="center" vertical="center"/>
    </xf>
    <xf numFmtId="0" fontId="19" fillId="4" borderId="587" xfId="26" applyFont="1" applyFill="1" applyBorder="1" applyAlignment="1">
      <alignment horizontal="center" vertical="center"/>
    </xf>
    <xf numFmtId="0" fontId="19" fillId="4" borderId="588" xfId="26" applyFont="1" applyFill="1" applyBorder="1" applyAlignment="1">
      <alignment horizontal="center" vertical="center"/>
    </xf>
    <xf numFmtId="2" fontId="34" fillId="137" borderId="0" xfId="66" applyNumberFormat="1" applyFont="1" applyFill="1" applyAlignment="1" applyProtection="1">
      <alignment horizontal="center" vertical="center"/>
      <protection locked="0"/>
    </xf>
    <xf numFmtId="0" fontId="13" fillId="6" borderId="0" xfId="25" applyFill="1" applyAlignment="1">
      <alignment horizontal="center"/>
    </xf>
    <xf numFmtId="2" fontId="96" fillId="131" borderId="0" xfId="66" applyNumberFormat="1" applyFont="1" applyFill="1" applyAlignment="1" applyProtection="1">
      <alignment horizontal="center" vertical="center"/>
      <protection locked="0"/>
    </xf>
    <xf numFmtId="2" fontId="96" fillId="132" borderId="0" xfId="66" applyNumberFormat="1" applyFont="1" applyFill="1" applyAlignment="1" applyProtection="1">
      <alignment horizontal="center" vertical="center"/>
      <protection locked="0"/>
    </xf>
    <xf numFmtId="0" fontId="145" fillId="86" borderId="0" xfId="25" applyFont="1" applyFill="1" applyAlignment="1">
      <alignment horizontal="center"/>
    </xf>
    <xf numFmtId="2" fontId="34" fillId="133" borderId="0" xfId="66" applyNumberFormat="1" applyFont="1" applyFill="1" applyAlignment="1" applyProtection="1">
      <alignment horizontal="center" vertical="center"/>
      <protection locked="0"/>
    </xf>
    <xf numFmtId="2" fontId="96" fillId="134" borderId="0" xfId="66" applyNumberFormat="1" applyFont="1" applyFill="1" applyAlignment="1" applyProtection="1">
      <alignment horizontal="center" vertical="center"/>
      <protection locked="0"/>
    </xf>
    <xf numFmtId="0" fontId="145" fillId="38" borderId="0" xfId="25" applyFont="1" applyFill="1" applyAlignment="1">
      <alignment horizontal="center"/>
    </xf>
    <xf numFmtId="2" fontId="96" fillId="40" borderId="0" xfId="66" applyNumberFormat="1" applyFont="1" applyFill="1" applyAlignment="1" applyProtection="1">
      <alignment horizontal="center" vertical="center"/>
      <protection locked="0"/>
    </xf>
    <xf numFmtId="0" fontId="34" fillId="135" borderId="0" xfId="66" applyFont="1" applyFill="1" applyAlignment="1">
      <alignment horizontal="center" vertical="center"/>
    </xf>
    <xf numFmtId="2" fontId="96" fillId="136" borderId="0" xfId="66" applyNumberFormat="1" applyFont="1" applyFill="1" applyAlignment="1" applyProtection="1">
      <alignment horizontal="center" vertical="center"/>
      <protection locked="0"/>
    </xf>
    <xf numFmtId="0" fontId="13" fillId="0" borderId="594" xfId="25" applyBorder="1" applyAlignment="1">
      <alignment horizontal="center" vertical="center" wrapText="1"/>
    </xf>
    <xf numFmtId="0" fontId="13" fillId="0" borderId="0" xfId="25" applyAlignment="1">
      <alignment horizontal="center" vertical="center" wrapText="1"/>
    </xf>
    <xf numFmtId="0" fontId="13" fillId="0" borderId="395" xfId="25" applyBorder="1" applyAlignment="1">
      <alignment horizontal="center" vertical="center" wrapText="1"/>
    </xf>
    <xf numFmtId="0" fontId="13" fillId="0" borderId="595" xfId="25" applyBorder="1" applyAlignment="1">
      <alignment horizontal="center" vertical="center" wrapText="1"/>
    </xf>
    <xf numFmtId="0" fontId="13" fillId="0" borderId="585" xfId="25" applyBorder="1" applyAlignment="1">
      <alignment horizontal="center" vertical="center" wrapText="1"/>
    </xf>
    <xf numFmtId="0" fontId="13" fillId="0" borderId="590" xfId="25" applyBorder="1" applyAlignment="1">
      <alignment horizontal="center" vertical="center" wrapText="1"/>
    </xf>
    <xf numFmtId="0" fontId="147" fillId="4" borderId="591" xfId="27" applyFill="1" applyBorder="1" applyAlignment="1" applyProtection="1">
      <alignment horizontal="center" vertical="center" wrapText="1"/>
    </xf>
    <xf numFmtId="0" fontId="147" fillId="4" borderId="592" xfId="27" applyFill="1" applyBorder="1" applyAlignment="1" applyProtection="1">
      <alignment horizontal="center" vertical="center" wrapText="1"/>
    </xf>
    <xf numFmtId="0" fontId="147" fillId="4" borderId="593" xfId="27" applyFill="1" applyBorder="1" applyAlignment="1" applyProtection="1">
      <alignment horizontal="center" vertical="center" wrapText="1"/>
    </xf>
    <xf numFmtId="0" fontId="147" fillId="4" borderId="594" xfId="27" applyFill="1" applyBorder="1" applyAlignment="1" applyProtection="1">
      <alignment horizontal="center" vertical="center" wrapText="1"/>
    </xf>
    <xf numFmtId="0" fontId="147" fillId="4" borderId="0" xfId="27" applyFill="1" applyBorder="1" applyAlignment="1" applyProtection="1">
      <alignment horizontal="center" vertical="center" wrapText="1"/>
    </xf>
    <xf numFmtId="0" fontId="147" fillId="4" borderId="395" xfId="27" applyFill="1" applyBorder="1" applyAlignment="1" applyProtection="1">
      <alignment horizontal="center" vertical="center" wrapText="1"/>
    </xf>
    <xf numFmtId="2" fontId="820" fillId="0" borderId="0" xfId="78" applyNumberFormat="1" applyFont="1" applyAlignment="1">
      <alignment horizontal="center"/>
    </xf>
    <xf numFmtId="0" fontId="1" fillId="2" borderId="0" xfId="78" applyFill="1" applyAlignment="1">
      <alignment horizontal="center" vertical="center"/>
    </xf>
    <xf numFmtId="0" fontId="9" fillId="0" borderId="0" xfId="78" applyFont="1" applyAlignment="1">
      <alignment horizontal="left" vertical="center"/>
    </xf>
    <xf numFmtId="0" fontId="1" fillId="0" borderId="0" xfId="78"/>
    <xf numFmtId="0" fontId="604" fillId="0" borderId="0" xfId="78" applyFont="1" applyAlignment="1">
      <alignment horizontal="center" vertical="center"/>
    </xf>
    <xf numFmtId="0" fontId="479" fillId="42" borderId="611" xfId="31" applyFont="1" applyFill="1" applyBorder="1" applyAlignment="1" applyProtection="1">
      <alignment horizontal="center" vertical="center" textRotation="90"/>
      <protection locked="0"/>
    </xf>
    <xf numFmtId="0" fontId="233" fillId="8" borderId="612" xfId="31" applyFont="1" applyFill="1" applyBorder="1" applyAlignment="1" applyProtection="1">
      <alignment horizontal="center" vertical="center" wrapText="1"/>
      <protection hidden="1"/>
    </xf>
    <xf numFmtId="0" fontId="233" fillId="8" borderId="607" xfId="31" applyFont="1" applyFill="1" applyBorder="1" applyAlignment="1" applyProtection="1">
      <alignment horizontal="center" vertical="center" wrapText="1"/>
      <protection hidden="1"/>
    </xf>
    <xf numFmtId="0" fontId="233" fillId="8" borderId="613" xfId="31" applyFont="1" applyFill="1" applyBorder="1" applyAlignment="1" applyProtection="1">
      <alignment horizontal="center" vertical="center" wrapText="1"/>
      <protection hidden="1"/>
    </xf>
    <xf numFmtId="0" fontId="1" fillId="0" borderId="0" xfId="78" applyAlignment="1">
      <alignment horizontal="center" vertical="center"/>
    </xf>
    <xf numFmtId="0" fontId="385" fillId="50" borderId="0" xfId="31" applyFont="1" applyFill="1" applyAlignment="1">
      <alignment horizontal="center" vertical="center"/>
    </xf>
    <xf numFmtId="0" fontId="479" fillId="42" borderId="360" xfId="31" applyFont="1" applyFill="1" applyBorder="1" applyAlignment="1" applyProtection="1">
      <alignment horizontal="center" vertical="center" textRotation="90"/>
      <protection locked="0"/>
    </xf>
    <xf numFmtId="0" fontId="233" fillId="8" borderId="42" xfId="31" applyFont="1" applyFill="1" applyBorder="1" applyAlignment="1" applyProtection="1">
      <alignment horizontal="center" vertical="center" wrapText="1"/>
      <protection hidden="1"/>
    </xf>
    <xf numFmtId="0" fontId="233" fillId="8" borderId="0" xfId="31" applyFont="1" applyFill="1" applyAlignment="1" applyProtection="1">
      <alignment horizontal="center" vertical="center" wrapText="1"/>
      <protection hidden="1"/>
    </xf>
    <xf numFmtId="0" fontId="233" fillId="8" borderId="401" xfId="31" applyFont="1" applyFill="1" applyBorder="1" applyAlignment="1" applyProtection="1">
      <alignment horizontal="center" vertical="center" wrapText="1"/>
      <protection hidden="1"/>
    </xf>
    <xf numFmtId="0" fontId="101" fillId="8" borderId="438" xfId="31" applyFont="1" applyFill="1" applyBorder="1" applyAlignment="1" applyProtection="1">
      <alignment horizontal="center" vertical="center" textRotation="90"/>
      <protection locked="0"/>
    </xf>
    <xf numFmtId="2" fontId="138" fillId="2" borderId="42" xfId="78" applyNumberFormat="1" applyFont="1" applyFill="1" applyBorder="1" applyAlignment="1">
      <alignment horizontal="center" vertical="center"/>
    </xf>
    <xf numFmtId="2" fontId="138" fillId="2" borderId="0" xfId="78" applyNumberFormat="1" applyFont="1" applyFill="1" applyAlignment="1">
      <alignment horizontal="center" vertical="center"/>
    </xf>
    <xf numFmtId="2" fontId="138" fillId="2" borderId="401" xfId="78" applyNumberFormat="1" applyFont="1" applyFill="1" applyBorder="1" applyAlignment="1">
      <alignment horizontal="center" vertical="center"/>
    </xf>
    <xf numFmtId="0" fontId="385" fillId="50" borderId="0" xfId="31" applyFont="1" applyFill="1" applyAlignment="1">
      <alignment horizontal="center" vertical="center" wrapText="1"/>
    </xf>
    <xf numFmtId="2" fontId="138" fillId="2" borderId="42" xfId="78" applyNumberFormat="1" applyFont="1" applyFill="1" applyBorder="1" applyAlignment="1">
      <alignment horizontal="left" vertical="center" wrapText="1"/>
    </xf>
    <xf numFmtId="2" fontId="138" fillId="2" borderId="0" xfId="78" applyNumberFormat="1" applyFont="1" applyFill="1" applyAlignment="1">
      <alignment horizontal="left" vertical="center" wrapText="1"/>
    </xf>
    <xf numFmtId="2" fontId="138" fillId="2" borderId="401" xfId="78" applyNumberFormat="1" applyFont="1" applyFill="1" applyBorder="1" applyAlignment="1">
      <alignment horizontal="left" vertical="center" wrapText="1"/>
    </xf>
    <xf numFmtId="0" fontId="833" fillId="13" borderId="42" xfId="31" applyFont="1" applyFill="1" applyBorder="1" applyAlignment="1">
      <alignment horizontal="center" vertical="center"/>
    </xf>
    <xf numFmtId="0" fontId="833" fillId="13" borderId="0" xfId="31" applyFont="1" applyFill="1" applyAlignment="1">
      <alignment horizontal="center" vertical="center"/>
    </xf>
    <xf numFmtId="0" fontId="833" fillId="13" borderId="401" xfId="31" applyFont="1" applyFill="1" applyBorder="1" applyAlignment="1">
      <alignment horizontal="center" vertical="center"/>
    </xf>
    <xf numFmtId="0" fontId="833" fillId="13" borderId="487" xfId="31" applyFont="1" applyFill="1" applyBorder="1" applyAlignment="1">
      <alignment horizontal="center" vertical="center" wrapText="1"/>
    </xf>
    <xf numFmtId="0" fontId="511" fillId="13" borderId="42" xfId="31" applyFont="1" applyFill="1" applyBorder="1" applyAlignment="1">
      <alignment horizontal="center" vertical="center"/>
    </xf>
    <xf numFmtId="0" fontId="834" fillId="8" borderId="0" xfId="78" applyFont="1" applyFill="1" applyAlignment="1">
      <alignment horizontal="right"/>
    </xf>
    <xf numFmtId="0" fontId="833" fillId="137" borderId="401" xfId="31" applyFont="1" applyFill="1" applyBorder="1" applyAlignment="1">
      <alignment horizontal="center" vertical="center" wrapText="1"/>
    </xf>
    <xf numFmtId="0" fontId="385" fillId="50" borderId="0" xfId="31" applyFont="1" applyFill="1" applyAlignment="1">
      <alignment horizontal="left" vertical="center"/>
    </xf>
    <xf numFmtId="0" fontId="833" fillId="13" borderId="487" xfId="31" applyFont="1" applyFill="1" applyBorder="1" applyAlignment="1">
      <alignment horizontal="center" vertical="center" wrapText="1"/>
    </xf>
    <xf numFmtId="0" fontId="210" fillId="13" borderId="42" xfId="31" applyFont="1" applyFill="1" applyBorder="1" applyAlignment="1">
      <alignment horizontal="center" vertical="center" wrapText="1"/>
    </xf>
    <xf numFmtId="0" fontId="834" fillId="8" borderId="0" xfId="78" applyFont="1" applyFill="1" applyAlignment="1">
      <alignment horizontal="right" vertical="center"/>
    </xf>
    <xf numFmtId="0" fontId="209" fillId="137" borderId="401" xfId="31" applyFont="1" applyFill="1" applyBorder="1" applyAlignment="1">
      <alignment horizontal="center" vertical="center" wrapText="1"/>
    </xf>
    <xf numFmtId="0" fontId="385" fillId="50" borderId="0" xfId="31" applyFont="1" applyFill="1" applyAlignment="1">
      <alignment horizontal="left" vertical="center" wrapText="1"/>
    </xf>
    <xf numFmtId="0" fontId="833" fillId="13" borderId="614" xfId="31" applyFont="1" applyFill="1" applyBorder="1" applyAlignment="1">
      <alignment horizontal="center" vertical="center" wrapText="1"/>
    </xf>
    <xf numFmtId="0" fontId="210" fillId="13" borderId="615" xfId="31" applyFont="1" applyFill="1" applyBorder="1" applyAlignment="1">
      <alignment horizontal="center" vertical="center" wrapText="1"/>
    </xf>
    <xf numFmtId="0" fontId="209" fillId="137" borderId="616" xfId="31" applyFont="1" applyFill="1" applyBorder="1" applyAlignment="1">
      <alignment horizontal="center" vertical="center" wrapText="1"/>
    </xf>
    <xf numFmtId="0" fontId="521" fillId="0" borderId="487" xfId="25" applyFont="1" applyBorder="1" applyAlignment="1">
      <alignment horizontal="center" vertical="center"/>
    </xf>
    <xf numFmtId="0" fontId="210" fillId="13" borderId="42" xfId="25" applyFont="1" applyFill="1" applyBorder="1" applyAlignment="1">
      <alignment horizontal="center" vertical="center"/>
    </xf>
    <xf numFmtId="0" fontId="834" fillId="8" borderId="0" xfId="25" applyFont="1" applyFill="1" applyAlignment="1">
      <alignment horizontal="right"/>
    </xf>
    <xf numFmtId="0" fontId="835" fillId="2" borderId="617" xfId="78" applyFont="1" applyFill="1" applyBorder="1" applyAlignment="1">
      <alignment horizontal="left" vertical="center"/>
    </xf>
    <xf numFmtId="0" fontId="835" fillId="2" borderId="618" xfId="78" applyFont="1" applyFill="1" applyBorder="1" applyAlignment="1">
      <alignment horizontal="left" vertical="center"/>
    </xf>
    <xf numFmtId="0" fontId="521" fillId="13" borderId="0" xfId="25" applyFont="1" applyFill="1" applyAlignment="1">
      <alignment horizontal="center" vertical="center"/>
    </xf>
    <xf numFmtId="0" fontId="209" fillId="8" borderId="619" xfId="78" applyFont="1" applyFill="1" applyBorder="1" applyAlignment="1">
      <alignment horizontal="center"/>
    </xf>
    <xf numFmtId="0" fontId="209" fillId="8" borderId="607" xfId="78" applyFont="1" applyFill="1" applyBorder="1" applyAlignment="1">
      <alignment horizontal="center"/>
    </xf>
    <xf numFmtId="0" fontId="209" fillId="8" borderId="613" xfId="78" applyFont="1" applyFill="1" applyBorder="1" applyAlignment="1">
      <alignment horizontal="center"/>
    </xf>
    <xf numFmtId="0" fontId="90" fillId="175" borderId="619" xfId="78" applyFont="1" applyFill="1" applyBorder="1" applyAlignment="1">
      <alignment horizontal="center" vertical="center"/>
    </xf>
    <xf numFmtId="0" fontId="90" fillId="175" borderId="607" xfId="78" applyFont="1" applyFill="1" applyBorder="1" applyAlignment="1">
      <alignment horizontal="center" vertical="center"/>
    </xf>
    <xf numFmtId="0" fontId="90" fillId="175" borderId="613" xfId="78" applyFont="1" applyFill="1" applyBorder="1" applyAlignment="1">
      <alignment horizontal="center" vertical="center"/>
    </xf>
    <xf numFmtId="0" fontId="137" fillId="2" borderId="438" xfId="78" applyFont="1" applyFill="1" applyBorder="1" applyAlignment="1">
      <alignment horizontal="center" vertical="center" wrapText="1"/>
    </xf>
    <xf numFmtId="0" fontId="137" fillId="2" borderId="0" xfId="78" applyFont="1" applyFill="1" applyAlignment="1">
      <alignment horizontal="center" vertical="center" wrapText="1"/>
    </xf>
    <xf numFmtId="0" fontId="137" fillId="2" borderId="401" xfId="78" applyFont="1" applyFill="1" applyBorder="1" applyAlignment="1">
      <alignment horizontal="center" vertical="center" wrapText="1"/>
    </xf>
    <xf numFmtId="0" fontId="183" fillId="2" borderId="438" xfId="31" applyFont="1" applyFill="1" applyBorder="1" applyAlignment="1">
      <alignment horizontal="center" vertical="center" wrapText="1"/>
    </xf>
    <xf numFmtId="0" fontId="183" fillId="2" borderId="0" xfId="31" applyFont="1" applyFill="1" applyAlignment="1">
      <alignment horizontal="center" vertical="center" wrapText="1"/>
    </xf>
    <xf numFmtId="0" fontId="183" fillId="2" borderId="401" xfId="31" applyFont="1" applyFill="1" applyBorder="1" applyAlignment="1">
      <alignment horizontal="center" vertical="center" wrapText="1"/>
    </xf>
    <xf numFmtId="0" fontId="137" fillId="2" borderId="438" xfId="78" applyFont="1" applyFill="1" applyBorder="1" applyAlignment="1">
      <alignment horizontal="center" vertical="center"/>
    </xf>
    <xf numFmtId="0" fontId="137" fillId="2" borderId="0" xfId="78" applyFont="1" applyFill="1" applyAlignment="1">
      <alignment horizontal="center" vertical="center"/>
    </xf>
    <xf numFmtId="0" fontId="137" fillId="2" borderId="401" xfId="78" applyFont="1" applyFill="1" applyBorder="1" applyAlignment="1">
      <alignment horizontal="center" vertical="center"/>
    </xf>
    <xf numFmtId="0" fontId="183" fillId="2" borderId="438" xfId="31" applyFont="1" applyFill="1" applyBorder="1" applyAlignment="1">
      <alignment horizontal="center" vertical="center"/>
    </xf>
    <xf numFmtId="0" fontId="183" fillId="2" borderId="0" xfId="31" applyFont="1" applyFill="1" applyAlignment="1">
      <alignment horizontal="center" vertical="center"/>
    </xf>
    <xf numFmtId="0" fontId="183" fillId="2" borderId="401" xfId="31" applyFont="1" applyFill="1" applyBorder="1" applyAlignment="1">
      <alignment horizontal="center" vertical="center"/>
    </xf>
    <xf numFmtId="0" fontId="137" fillId="2" borderId="438" xfId="78" applyFont="1" applyFill="1" applyBorder="1" applyAlignment="1">
      <alignment vertical="center"/>
    </xf>
    <xf numFmtId="0" fontId="137" fillId="2" borderId="0" xfId="78" applyFont="1" applyFill="1" applyAlignment="1">
      <alignment vertical="center"/>
    </xf>
    <xf numFmtId="0" fontId="1" fillId="2" borderId="401" xfId="78" applyFill="1" applyBorder="1"/>
    <xf numFmtId="0" fontId="1" fillId="2" borderId="438" xfId="78" applyFill="1" applyBorder="1"/>
    <xf numFmtId="0" fontId="1" fillId="2" borderId="0" xfId="78" applyFill="1"/>
    <xf numFmtId="0" fontId="835" fillId="2" borderId="620" xfId="78" applyFont="1" applyFill="1" applyBorder="1" applyAlignment="1">
      <alignment horizontal="left" vertical="center"/>
    </xf>
    <xf numFmtId="0" fontId="137" fillId="2" borderId="438" xfId="78" applyFont="1" applyFill="1" applyBorder="1" applyAlignment="1">
      <alignment horizontal="center" wrapText="1"/>
    </xf>
    <xf numFmtId="0" fontId="137" fillId="2" borderId="0" xfId="78" applyFont="1" applyFill="1" applyAlignment="1">
      <alignment horizontal="center" wrapText="1"/>
    </xf>
    <xf numFmtId="0" fontId="137" fillId="2" borderId="401" xfId="78" applyFont="1" applyFill="1" applyBorder="1" applyAlignment="1">
      <alignment horizontal="center" wrapText="1"/>
    </xf>
    <xf numFmtId="0" fontId="101" fillId="8" borderId="481" xfId="31" applyFont="1" applyFill="1" applyBorder="1" applyAlignment="1" applyProtection="1">
      <alignment horizontal="center" vertical="center" textRotation="90"/>
      <protection locked="0"/>
    </xf>
    <xf numFmtId="0" fontId="1" fillId="8" borderId="75" xfId="78" applyFill="1" applyBorder="1" applyAlignment="1">
      <alignment horizontal="center" vertical="center"/>
    </xf>
    <xf numFmtId="0" fontId="1" fillId="8" borderId="74" xfId="78" applyFill="1" applyBorder="1" applyAlignment="1">
      <alignment horizontal="center" vertical="center"/>
    </xf>
    <xf numFmtId="0" fontId="137" fillId="2" borderId="481" xfId="78" applyFont="1" applyFill="1" applyBorder="1"/>
    <xf numFmtId="0" fontId="1" fillId="2" borderId="412" xfId="78" applyFill="1" applyBorder="1"/>
    <xf numFmtId="0" fontId="1" fillId="2" borderId="597" xfId="78" applyFill="1" applyBorder="1"/>
    <xf numFmtId="0" fontId="1" fillId="2" borderId="481" xfId="78" applyFill="1" applyBorder="1"/>
  </cellXfs>
  <cellStyles count="79">
    <cellStyle name="Bordure orange" xfId="50" xr:uid="{00000000-0005-0000-0000-000000000000}"/>
    <cellStyle name="Bordure orange 2" xfId="65" xr:uid="{00000000-0005-0000-0000-000001000000}"/>
    <cellStyle name="Bordure orange 2" xfId="54" xr:uid="{00000000-0005-0000-0000-000002000000}"/>
    <cellStyle name="Cellule grise" xfId="53" xr:uid="{00000000-0005-0000-0000-000003000000}"/>
    <cellStyle name="Cellule grise 2" xfId="64" xr:uid="{00000000-0005-0000-0000-000004000000}"/>
    <cellStyle name="Cellule grise 2" xfId="58" xr:uid="{00000000-0005-0000-0000-000005000000}"/>
    <cellStyle name="Cellule grise 2 2" xfId="51" xr:uid="{00000000-0005-0000-0000-000006000000}"/>
    <cellStyle name="Cellule jaune" xfId="61" xr:uid="{00000000-0005-0000-0000-000007000000}"/>
    <cellStyle name="Cellule jaune 2" xfId="63" xr:uid="{00000000-0005-0000-0000-000008000000}"/>
    <cellStyle name="Cellule jaune 2" xfId="59" xr:uid="{00000000-0005-0000-0000-000009000000}"/>
    <cellStyle name="Cellule jaune 2 2" xfId="52" xr:uid="{00000000-0005-0000-0000-00000A000000}"/>
    <cellStyle name="En-tête 3 2" xfId="49" xr:uid="{00000000-0005-0000-0000-00000B000000}"/>
    <cellStyle name="Lien hypertexte" xfId="17" builtinId="8"/>
    <cellStyle name="Lien hypertexte 2" xfId="39" xr:uid="{00000000-0005-0000-0000-00000D000000}"/>
    <cellStyle name="Lien hypertexte 2 2" xfId="20" xr:uid="{00000000-0005-0000-0000-00000E000000}"/>
    <cellStyle name="Lien hypertexte 2 2 2" xfId="42" xr:uid="{00000000-0005-0000-0000-00000F000000}"/>
    <cellStyle name="Lien hypertexte 2 2 2 2" xfId="70" xr:uid="{DBA46710-DAC2-4F61-93D6-431DCD807FCF}"/>
    <cellStyle name="Lien hypertexte 2 2 3" xfId="71" xr:uid="{41A8C9FB-D5EC-47D1-A014-6A54A3983A2B}"/>
    <cellStyle name="Lien hypertexte 3" xfId="3" xr:uid="{00000000-0005-0000-0000-000010000000}"/>
    <cellStyle name="Lien hypertexte 3 2" xfId="11" xr:uid="{00000000-0005-0000-0000-000011000000}"/>
    <cellStyle name="Lien hypertexte 3 2 2" xfId="35" xr:uid="{00000000-0005-0000-0000-000012000000}"/>
    <cellStyle name="Lien hypertexte 3 2 3" xfId="40" xr:uid="{00000000-0005-0000-0000-000013000000}"/>
    <cellStyle name="Lien hypertexte 4" xfId="14" xr:uid="{00000000-0005-0000-0000-000014000000}"/>
    <cellStyle name="Lien hypertexte 5" xfId="13" xr:uid="{00000000-0005-0000-0000-000015000000}"/>
    <cellStyle name="Lien hypertexte 5 2" xfId="44" xr:uid="{00000000-0005-0000-0000-000016000000}"/>
    <cellStyle name="Lien hypertexte 6" xfId="19" xr:uid="{00000000-0005-0000-0000-000017000000}"/>
    <cellStyle name="Lien hypertexte 7" xfId="55" xr:uid="{00000000-0005-0000-0000-000018000000}"/>
    <cellStyle name="Lien hypertexte_Copie de cc2_festival_menus_gemrcn_2011" xfId="27" xr:uid="{00000000-0005-0000-0000-000019000000}"/>
    <cellStyle name="Lien hypertexte_PG Positionnement 2009 2" xfId="43" xr:uid="{00000000-0005-0000-0000-00001B000000}"/>
    <cellStyle name="Milliers 2" xfId="62" xr:uid="{00000000-0005-0000-0000-00001C000000}"/>
    <cellStyle name="Normal" xfId="0" builtinId="0"/>
    <cellStyle name="Normal 10 2" xfId="73" xr:uid="{A8051245-80A2-4C8D-83B4-C594EFB7F801}"/>
    <cellStyle name="Normal 12" xfId="25" xr:uid="{00000000-0005-0000-0000-00001E000000}"/>
    <cellStyle name="Normal 2" xfId="24" xr:uid="{00000000-0005-0000-0000-00001F000000}"/>
    <cellStyle name="Normal 2 2" xfId="2" xr:uid="{00000000-0005-0000-0000-000020000000}"/>
    <cellStyle name="Normal 2 2 2" xfId="12" xr:uid="{00000000-0005-0000-0000-000021000000}"/>
    <cellStyle name="Normal 2 2 2 2" xfId="31" xr:uid="{00000000-0005-0000-0000-000022000000}"/>
    <cellStyle name="Normal 2 2 3" xfId="45" xr:uid="{00000000-0005-0000-0000-000023000000}"/>
    <cellStyle name="Normal 2 3" xfId="37" xr:uid="{00000000-0005-0000-0000-000024000000}"/>
    <cellStyle name="Normal 2 4" xfId="41" xr:uid="{00000000-0005-0000-0000-000025000000}"/>
    <cellStyle name="Normal 2 4 2" xfId="75" xr:uid="{C2616E3B-78E9-4F24-8883-D3944DDA64FC}"/>
    <cellStyle name="Normal 3" xfId="30" xr:uid="{00000000-0005-0000-0000-000026000000}"/>
    <cellStyle name="Normal 3 2" xfId="47" xr:uid="{00000000-0005-0000-0000-000027000000}"/>
    <cellStyle name="Normal 3 3 2" xfId="46" xr:uid="{00000000-0005-0000-0000-000028000000}"/>
    <cellStyle name="Normal 4" xfId="1" xr:uid="{00000000-0005-0000-0000-000029000000}"/>
    <cellStyle name="Normal 4 2" xfId="66" xr:uid="{00000000-0005-0000-0000-00002A000000}"/>
    <cellStyle name="Normal 4 2 2 2 2 2 2 6 2 2" xfId="77" xr:uid="{E511E1DD-0A85-4E4A-839E-2F50D6B9EC54}"/>
    <cellStyle name="Normal 4 2 2 2 3 2 2" xfId="74" xr:uid="{282FE429-1727-4083-9628-CBA96E67C78B}"/>
    <cellStyle name="Normal 4 3 4" xfId="36" xr:uid="{00000000-0005-0000-0000-00002B000000}"/>
    <cellStyle name="Normal 4 3 4 2" xfId="67" xr:uid="{00000000-0005-0000-0000-00002C000000}"/>
    <cellStyle name="Normal 4 3 4 2 2" xfId="72" xr:uid="{44940DCC-7411-4220-A38C-269511071D3F}"/>
    <cellStyle name="Normal 4 3 4 2 3" xfId="76" xr:uid="{986CCA2F-FC11-4873-9DDC-D086EB665BB1}"/>
    <cellStyle name="Normal 4 3 4 3" xfId="69" xr:uid="{21154B5D-EBCB-415E-AAB4-E083E9FF8A52}"/>
    <cellStyle name="Normal 4 7" xfId="78" xr:uid="{F19E42C1-48DB-4C34-9C6D-3050BD021743}"/>
    <cellStyle name="Normal 5" xfId="38" xr:uid="{00000000-0005-0000-0000-00002D000000}"/>
    <cellStyle name="Normal 6" xfId="48" xr:uid="{00000000-0005-0000-0000-00002E000000}"/>
    <cellStyle name="Normal 2" xfId="60" xr:uid="{00000000-0005-0000-0000-00002F000000}"/>
    <cellStyle name="Normal 3" xfId="57" xr:uid="{00000000-0005-0000-0000-000030000000}"/>
    <cellStyle name="Normal_Base de données recettes (1)" xfId="29" xr:uid="{00000000-0005-0000-0000-000031000000}"/>
    <cellStyle name="Normal_Bons de commande livraison" xfId="6" xr:uid="{00000000-0005-0000-0000-000032000000}"/>
    <cellStyle name="Normal_Comparer recettes 2009 OK 2" xfId="5" xr:uid="{00000000-0005-0000-0000-000033000000}"/>
    <cellStyle name="Normal_Comparer recettes 2009 OK 2 2" xfId="33" xr:uid="{00000000-0005-0000-0000-000034000000}"/>
    <cellStyle name="Normal_Conditionnement 3 décembre" xfId="7" xr:uid="{00000000-0005-0000-0000-000035000000}"/>
    <cellStyle name="Normal_Cuissons Températures portait16-11-2006" xfId="8" xr:uid="{00000000-0005-0000-0000-000036000000}"/>
    <cellStyle name="Normal_EFECTIF1 2" xfId="18" xr:uid="{00000000-0005-0000-0000-000037000000}"/>
    <cellStyle name="Normal_Effectif Conditionnement Goulin" xfId="23" xr:uid="{00000000-0005-0000-0000-000038000000}"/>
    <cellStyle name="Normal_Forum Marais 15 09 2001" xfId="4" xr:uid="{00000000-0005-0000-0000-000039000000}"/>
    <cellStyle name="Normal_Forum Marais 15 09 2001 2 2" xfId="9" xr:uid="{00000000-0005-0000-0000-00003A000000}"/>
    <cellStyle name="Normal_Forum Marais 15 09 2001 2 2 2" xfId="68" xr:uid="{00000000-0005-0000-0000-00003B000000}"/>
    <cellStyle name="Normal_Forum Marais 15 09 2001_Fiche technique C2 Mars 2008 " xfId="32" xr:uid="{00000000-0005-0000-0000-00003C000000}"/>
    <cellStyle name="Normal_Gantt 27 janvier 2" xfId="34" xr:uid="{00000000-0005-0000-0000-00003D000000}"/>
    <cellStyle name="Normal_GERMCN UPC brouillon" xfId="26" xr:uid="{00000000-0005-0000-0000-00003E000000}"/>
    <cellStyle name="Normal_Marché 2002 filtre automatique" xfId="21" xr:uid="{00000000-0005-0000-0000-00003F000000}"/>
    <cellStyle name="Normal_Menussuite" xfId="28" xr:uid="{00000000-0005-0000-0000-000040000000}"/>
    <cellStyle name="Normal_MS Définitions_1" xfId="16" xr:uid="{00000000-0005-0000-0000-000041000000}"/>
    <cellStyle name="Normal_rapport d'analyse 04-2008" xfId="22" xr:uid="{00000000-0005-0000-0000-000042000000}"/>
    <cellStyle name="Normal_Salaires 2002 Modèle" xfId="10" xr:uid="{00000000-0005-0000-0000-000043000000}"/>
    <cellStyle name="Normal_space" xfId="15" xr:uid="{00000000-0005-0000-0000-000044000000}"/>
    <cellStyle name="Texte de la colonne z A" xfId="56" xr:uid="{00000000-0005-0000-0000-000045000000}"/>
  </cellStyles>
  <dxfs count="96">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0"/>
        <name val="Calibri"/>
        <scheme val="minor"/>
      </font>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ndense val="0"/>
        <extend val="0"/>
        <color indexed="9"/>
      </font>
    </dxf>
    <dxf>
      <font>
        <condense val="0"/>
        <extend val="0"/>
        <color indexed="9"/>
      </font>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condense val="0"/>
        <extend val="0"/>
        <color indexed="9"/>
      </font>
    </dxf>
    <dxf>
      <font>
        <condense val="0"/>
        <extend val="0"/>
        <color indexed="9"/>
      </font>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0000FF"/>
      <color rgb="FFFFFFCC"/>
      <color rgb="FFCCCCFF"/>
      <color rgb="FF00FF00"/>
      <color rgb="FFEEECE1"/>
      <color rgb="FFFF6600"/>
      <color rgb="FFFFD966"/>
      <color rgb="FFCCFFCC"/>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3.png"/></Relationships>
</file>

<file path=xl/drawings/_rels/drawing11.xml.rels><?xml version="1.0" encoding="UTF-8" standalone="yes"?>
<Relationships xmlns="http://schemas.openxmlformats.org/package/2006/relationships"><Relationship Id="rId8" Type="http://schemas.openxmlformats.org/officeDocument/2006/relationships/hyperlink" Target="https://support.office.com/fr-fr/article/utiliser-excel-comme-une-calculatrice-a1abc057-ed11-443a-a635-68216555ad0a?omkt=fr-FR&amp;ui=fr-FR&amp;rs=fr-FR&amp;ad=FR" TargetMode="External"/><Relationship Id="rId13" Type="http://schemas.openxmlformats.org/officeDocument/2006/relationships/hyperlink" Target="https://support.office.com/fr-FR/article/excel-functions-alphabetical-b3944572-255d-4efb-bb96-c6d90033e188?ui=fr-FR&amp;rs=en-001&amp;ad=us" TargetMode="External"/><Relationship Id="rId18" Type="http://schemas.openxmlformats.org/officeDocument/2006/relationships/image" Target="../media/image8.svg"/><Relationship Id="rId3" Type="http://schemas.openxmlformats.org/officeDocument/2006/relationships/hyperlink" Target="#'Informations de base'!A60"/><Relationship Id="rId7" Type="http://schemas.openxmlformats.org/officeDocument/2006/relationships/image" Target="../media/image97.svg"/><Relationship Id="rId12" Type="http://schemas.openxmlformats.org/officeDocument/2006/relationships/hyperlink" Target="https://support.office.com/fr-FR/article/excel-functions-by-category-5f91f4e9-7b42-46d2-9bd1-63f26a86c0eb?ui=fr-FR&amp;rs=en-001&amp;ad=us" TargetMode="External"/><Relationship Id="rId17" Type="http://schemas.openxmlformats.org/officeDocument/2006/relationships/image" Target="../media/image7.png"/><Relationship Id="rId2" Type="http://schemas.openxmlformats.org/officeDocument/2006/relationships/image" Target="../media/image95.png"/><Relationship Id="rId16" Type="http://schemas.openxmlformats.org/officeDocument/2006/relationships/image" Target="../media/image99.svg"/><Relationship Id="rId1" Type="http://schemas.openxmlformats.org/officeDocument/2006/relationships/image" Target="../media/image94.png"/><Relationship Id="rId6" Type="http://schemas.openxmlformats.org/officeDocument/2006/relationships/image" Target="../media/image96.png"/><Relationship Id="rId11" Type="http://schemas.openxmlformats.org/officeDocument/2006/relationships/hyperlink" Target="https://support.office.com/fr-FR/article/overview-of-formulas-in-excel-ecfdc708-9162-49e8-b993-c311f47ca173?ui=fr-FR&amp;rs=en-001&amp;ad=us" TargetMode="External"/><Relationship Id="rId5" Type="http://schemas.openxmlformats.org/officeDocument/2006/relationships/hyperlink" Target="#'Commencer'!A1"/><Relationship Id="rId15" Type="http://schemas.openxmlformats.org/officeDocument/2006/relationships/image" Target="../media/image98.png"/><Relationship Id="rId10" Type="http://schemas.openxmlformats.org/officeDocument/2006/relationships/image" Target="../media/image10.svg"/><Relationship Id="rId19" Type="http://schemas.openxmlformats.org/officeDocument/2006/relationships/image" Target="../media/image100.png"/><Relationship Id="rId4" Type="http://schemas.openxmlformats.org/officeDocument/2006/relationships/hyperlink" Target="#'Introduction aux fonctions'!A1"/><Relationship Id="rId9" Type="http://schemas.openxmlformats.org/officeDocument/2006/relationships/image" Target="../media/image9.png"/><Relationship Id="rId14" Type="http://schemas.openxmlformats.org/officeDocument/2006/relationships/hyperlink" Target="https://support.office.com/fr-FR/article/excel-for-windows-training-9bc05390-e94c-46af-a5b3-d7c22f6990bb?ui=fr-FR&amp;rs=en-001&amp;ad=us" TargetMode="External"/></Relationships>
</file>

<file path=xl/drawings/_rels/drawing12.xml.rels><?xml version="1.0" encoding="UTF-8" standalone="yes"?>
<Relationships xmlns="http://schemas.openxmlformats.org/package/2006/relationships"><Relationship Id="rId8" Type="http://schemas.openxmlformats.org/officeDocument/2006/relationships/hyperlink" Target="https://support.office.com/fr-FR/article/excel-for-windows-training-9bc05390-e94c-46af-a5b3-d7c22f6990bb?ui=fr-FR&amp;rs=en-001&amp;ad=us" TargetMode="External"/><Relationship Id="rId13" Type="http://schemas.openxmlformats.org/officeDocument/2006/relationships/image" Target="../media/image99.svg"/><Relationship Id="rId3" Type="http://schemas.openxmlformats.org/officeDocument/2006/relationships/hyperlink" Target="https://support.office.com/fr-FR/article/sum-function-043e1c7d-7726-4e80-8f32-07b23e057f89?ui=fr-FR&amp;rs=en-001&amp;ad=us" TargetMode="External"/><Relationship Id="rId7" Type="http://schemas.openxmlformats.org/officeDocument/2006/relationships/hyperlink" Target="https://support.office.com/fr-FR/article/count-function-a59cd7fc-b623-4d93-87a4-d23bf411294c?ui=fr-FR&amp;rs=en-001&amp;ad=us" TargetMode="External"/><Relationship Id="rId12" Type="http://schemas.openxmlformats.org/officeDocument/2006/relationships/image" Target="../media/image98.png"/><Relationship Id="rId17" Type="http://schemas.openxmlformats.org/officeDocument/2006/relationships/hyperlink" Target="#'Introduction aux fonctions'!A63"/><Relationship Id="rId2" Type="http://schemas.openxmlformats.org/officeDocument/2006/relationships/hyperlink" Target="#MOYENNE!A1"/><Relationship Id="rId16" Type="http://schemas.openxmlformats.org/officeDocument/2006/relationships/image" Target="../media/image102.png"/><Relationship Id="rId1" Type="http://schemas.openxmlformats.org/officeDocument/2006/relationships/hyperlink" Target="#'Introduction aux fonctions'!A1"/><Relationship Id="rId6" Type="http://schemas.openxmlformats.org/officeDocument/2006/relationships/hyperlink" Target="https://support.office.com/fr-FR/article/use-autosum-to-sum-numbers-543941e7-e783-44ef-8317-7d1bb85fe706?ui=fr-FR&amp;rs=en-001&amp;ad=us" TargetMode="External"/><Relationship Id="rId11" Type="http://schemas.openxmlformats.org/officeDocument/2006/relationships/image" Target="../media/image101.png"/><Relationship Id="rId5" Type="http://schemas.openxmlformats.org/officeDocument/2006/relationships/image" Target="../media/image10.svg"/><Relationship Id="rId15" Type="http://schemas.openxmlformats.org/officeDocument/2006/relationships/image" Target="../media/image97.svg"/><Relationship Id="rId10" Type="http://schemas.openxmlformats.org/officeDocument/2006/relationships/image" Target="../media/image12.svg"/><Relationship Id="rId4" Type="http://schemas.openxmlformats.org/officeDocument/2006/relationships/image" Target="../media/image9.png"/><Relationship Id="rId9" Type="http://schemas.openxmlformats.org/officeDocument/2006/relationships/image" Target="../media/image11.png"/><Relationship Id="rId14" Type="http://schemas.openxmlformats.org/officeDocument/2006/relationships/image" Target="../media/image96.png"/></Relationships>
</file>

<file path=xl/drawings/_rels/drawing13.xml.rels><?xml version="1.0" encoding="UTF-8" standalone="yes"?>
<Relationships xmlns="http://schemas.openxmlformats.org/package/2006/relationships"><Relationship Id="rId8" Type="http://schemas.openxmlformats.org/officeDocument/2006/relationships/hyperlink" Target="https://support.office.com/fr-FR/article/median-function-d0916313-4753-414c-8537-ce85bdd967d2?ui=fr-FR&amp;rs=en-001&amp;ad=us" TargetMode="External"/><Relationship Id="rId3" Type="http://schemas.openxmlformats.org/officeDocument/2006/relationships/hyperlink" Target="#'Introduction aux fonctions'!A1"/><Relationship Id="rId7" Type="http://schemas.openxmlformats.org/officeDocument/2006/relationships/image" Target="../media/image10.svg"/><Relationship Id="rId12" Type="http://schemas.openxmlformats.org/officeDocument/2006/relationships/image" Target="../media/image99.svg"/><Relationship Id="rId2" Type="http://schemas.openxmlformats.org/officeDocument/2006/relationships/image" Target="../media/image97.svg"/><Relationship Id="rId1" Type="http://schemas.openxmlformats.org/officeDocument/2006/relationships/image" Target="../media/image96.png"/><Relationship Id="rId6" Type="http://schemas.openxmlformats.org/officeDocument/2006/relationships/image" Target="../media/image9.png"/><Relationship Id="rId11" Type="http://schemas.openxmlformats.org/officeDocument/2006/relationships/image" Target="../media/image98.png"/><Relationship Id="rId5" Type="http://schemas.openxmlformats.org/officeDocument/2006/relationships/hyperlink" Target="https://support.office.com/fr-FR/article/average-function-047bac88-d466-426c-a32b-8f33eb960cf6?ui=fr-FR&amp;rs=en-001&amp;ad=us" TargetMode="External"/><Relationship Id="rId10" Type="http://schemas.openxmlformats.org/officeDocument/2006/relationships/hyperlink" Target="https://support.office.com/fr-FR/article/excel-for-windows-training-9bc05390-e94c-46af-a5b3-d7c22f6990bb?ui=fr-FR&amp;rs=en-001&amp;ad=us" TargetMode="External"/><Relationship Id="rId4" Type="http://schemas.openxmlformats.org/officeDocument/2006/relationships/hyperlink" Target="#'MIN et MAX'!A1"/><Relationship Id="rId9" Type="http://schemas.openxmlformats.org/officeDocument/2006/relationships/hyperlink" Target="https://support.office.com/fr-FR/article/mode-function-e45192ce-9122-4980-82ed-4bdc34973120?ocmsassetid=e45192ce-9122-4980-82ed-4bdc34973120&amp;ui=fr-FR&amp;rs=en-001&amp;ad=us" TargetMode="External"/></Relationships>
</file>

<file path=xl/drawings/_rels/drawing14.xml.rels><?xml version="1.0" encoding="UTF-8" standalone="yes"?>
<Relationships xmlns="http://schemas.openxmlformats.org/package/2006/relationships"><Relationship Id="rId8" Type="http://schemas.openxmlformats.org/officeDocument/2006/relationships/hyperlink" Target="#MOYENNE!A1"/><Relationship Id="rId3" Type="http://schemas.openxmlformats.org/officeDocument/2006/relationships/image" Target="../media/image10.svg"/><Relationship Id="rId7" Type="http://schemas.openxmlformats.org/officeDocument/2006/relationships/image" Target="../media/image8.svg"/><Relationship Id="rId2" Type="http://schemas.openxmlformats.org/officeDocument/2006/relationships/image" Target="../media/image9.png"/><Relationship Id="rId1" Type="http://schemas.openxmlformats.org/officeDocument/2006/relationships/hyperlink" Target="https://support.office.com/fr-FR/article/min-function-61635d12-920f-4ce2-a70f-96f202dcc152?ui=fr-FR&amp;rs=en-001&amp;ad=us" TargetMode="External"/><Relationship Id="rId6" Type="http://schemas.openxmlformats.org/officeDocument/2006/relationships/image" Target="../media/image7.png"/><Relationship Id="rId5" Type="http://schemas.openxmlformats.org/officeDocument/2006/relationships/hyperlink" Target="https://support.office.com/fr-FR/article/excel-for-windows-training-9bc05390-e94c-46af-a5b3-d7c22f6990bb?ui=fr-FR&amp;rs=en-001&amp;ad=us" TargetMode="External"/><Relationship Id="rId4" Type="http://schemas.openxmlformats.org/officeDocument/2006/relationships/hyperlink" Target="https://support.office.com/fr-FR/article/max-function-e0012414-9ac8-4b34-9a47-73e662c08098?ui=fr-FR&amp;rs=en-001&amp;ad=us" TargetMode="External"/><Relationship Id="rId9" Type="http://schemas.openxmlformats.org/officeDocument/2006/relationships/hyperlink" Target="#'Date et heure'!A1"/></Relationships>
</file>

<file path=xl/drawings/_rels/drawing15.xml.rels><?xml version="1.0" encoding="UTF-8" standalone="yes"?>
<Relationships xmlns="http://schemas.openxmlformats.org/package/2006/relationships"><Relationship Id="rId8" Type="http://schemas.openxmlformats.org/officeDocument/2006/relationships/hyperlink" Target="https://support.office.com/fr-FR/article/combine-text-and-numbers-a32c8e0e-90a2-435b-8635-5dd2209044ad?ui=fr-FR&amp;rs=en-001&amp;ad=us" TargetMode="External"/><Relationship Id="rId3" Type="http://schemas.openxmlformats.org/officeDocument/2006/relationships/image" Target="../media/image103.png"/><Relationship Id="rId7" Type="http://schemas.openxmlformats.org/officeDocument/2006/relationships/image" Target="../media/image10.svg"/><Relationship Id="rId12" Type="http://schemas.openxmlformats.org/officeDocument/2006/relationships/image" Target="../media/image99.svg"/><Relationship Id="rId2" Type="http://schemas.openxmlformats.org/officeDocument/2006/relationships/hyperlink" Target="#'Instructions SI'!A1"/><Relationship Id="rId1" Type="http://schemas.openxmlformats.org/officeDocument/2006/relationships/hyperlink" Target="#'Date et heure'!A1"/><Relationship Id="rId6" Type="http://schemas.openxmlformats.org/officeDocument/2006/relationships/image" Target="../media/image9.png"/><Relationship Id="rId11" Type="http://schemas.openxmlformats.org/officeDocument/2006/relationships/image" Target="../media/image98.png"/><Relationship Id="rId5" Type="http://schemas.openxmlformats.org/officeDocument/2006/relationships/hyperlink" Target="https://support.office.com/fr-FR/article/text-function-20d5ac4d-7b94-49fd-bb38-93d29371225c?ui=fr-FR&amp;rs=en-001&amp;ad=us" TargetMode="External"/><Relationship Id="rId10" Type="http://schemas.openxmlformats.org/officeDocument/2006/relationships/hyperlink" Target="#'Combiner texte et nombres'!A60"/><Relationship Id="rId4" Type="http://schemas.openxmlformats.org/officeDocument/2006/relationships/image" Target="../media/image104.svg"/><Relationship Id="rId9" Type="http://schemas.openxmlformats.org/officeDocument/2006/relationships/hyperlink" Target="https://support.office.com/fr-FR/article/excel-for-windows-training-9bc05390-e94c-46af-a5b3-d7c22f6990bb?ui=fr-FR&amp;rs=en-001&amp;ad=us" TargetMode="External"/></Relationships>
</file>

<file path=xl/drawings/_rels/drawing16.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0.svg"/><Relationship Id="rId3" Type="http://schemas.openxmlformats.org/officeDocument/2006/relationships/image" Target="../media/image12.svg"/><Relationship Id="rId7" Type="http://schemas.openxmlformats.org/officeDocument/2006/relationships/image" Target="../media/image7.png"/><Relationship Id="rId12" Type="http://schemas.openxmlformats.org/officeDocument/2006/relationships/image" Target="../media/image9.png"/><Relationship Id="rId17" Type="http://schemas.openxmlformats.org/officeDocument/2006/relationships/image" Target="../media/image107.png"/><Relationship Id="rId2" Type="http://schemas.openxmlformats.org/officeDocument/2006/relationships/image" Target="../media/image11.png"/><Relationship Id="rId16" Type="http://schemas.openxmlformats.org/officeDocument/2006/relationships/hyperlink" Target="https://support.office.com/fr-FR/article/if-function-&#8211;-nested-formulas-and-avoiding-pitfalls-0b22ff44-f149-44ba-aeb5-4ef99da241c8?ui=fr-FR&amp;rs=en-001&amp;ad=us" TargetMode="External"/><Relationship Id="rId1" Type="http://schemas.openxmlformats.org/officeDocument/2006/relationships/hyperlink" Target="#RECHERCHEV!A1"/><Relationship Id="rId6" Type="http://schemas.openxmlformats.org/officeDocument/2006/relationships/hyperlink" Target="https://support.office.com/fr-fr/article/d%c3%a9finir-et-utiliser-des-noms-dans-les-formules-4d0f13ac-53b7-422e-afd2-abd7ff379c64?omkt=fr-FR&amp;ui=fr-FR&amp;rs=fr-FR&amp;ad=FR53B7-422E-AFD2-ABD7FF379C64" TargetMode="External"/><Relationship Id="rId11" Type="http://schemas.openxmlformats.org/officeDocument/2006/relationships/hyperlink" Target="https://support.office.com/fr-FR/article/if-function-69aed7c9-4e8a-4755-a9bc-aa8bbff73be2?ui=fr-FR&amp;rs=en-001&amp;ad=us" TargetMode="External"/><Relationship Id="rId5" Type="http://schemas.openxmlformats.org/officeDocument/2006/relationships/image" Target="../media/image106.svg"/><Relationship Id="rId15" Type="http://schemas.openxmlformats.org/officeDocument/2006/relationships/hyperlink" Target="https://support.office.com/fr-FR/article/excel-for-windows-training-9bc05390-e94c-46af-a5b3-d7c22f6990bb?ui=fr-FR&amp;rs=en-001&amp;ad=us" TargetMode="External"/><Relationship Id="rId10" Type="http://schemas.openxmlformats.org/officeDocument/2006/relationships/hyperlink" Target="#'Combiner texte et nombres'!A1"/><Relationship Id="rId4" Type="http://schemas.openxmlformats.org/officeDocument/2006/relationships/image" Target="../media/image105.png"/><Relationship Id="rId9" Type="http://schemas.openxmlformats.org/officeDocument/2006/relationships/hyperlink" Target="#'Instructions SI'!A60"/><Relationship Id="rId14" Type="http://schemas.openxmlformats.org/officeDocument/2006/relationships/hyperlink" Target="https://support.office.com/fr-FR/article/ifs-function-36329a26-37b2-467c-972b-4a39bd951d45?ui=fr-FR&amp;rs=en-001&amp;ad=us" TargetMode="External"/></Relationships>
</file>

<file path=xl/drawings/_rels/drawing17.xml.rels><?xml version="1.0" encoding="UTF-8" standalone="yes"?>
<Relationships xmlns="http://schemas.openxmlformats.org/package/2006/relationships"><Relationship Id="rId8" Type="http://schemas.openxmlformats.org/officeDocument/2006/relationships/hyperlink" Target="https://support.office.com/fr-FR/article/create-a-pivottable-to-analyze-worksheet-data-a9a84538-bfe9-40a9-a8e9-f99134456576?ui=fr-FR&amp;rs=en-001&amp;ad=us" TargetMode="External"/><Relationship Id="rId13" Type="http://schemas.openxmlformats.org/officeDocument/2006/relationships/image" Target="../media/image108.png"/><Relationship Id="rId3" Type="http://schemas.openxmlformats.org/officeDocument/2006/relationships/image" Target="../media/image9.png"/><Relationship Id="rId7" Type="http://schemas.openxmlformats.org/officeDocument/2006/relationships/hyperlink" Target="https://support.office.com/fr-FR/article/iferror-function-c526fd07-caeb-47b8-8bb6-63f3e417f611?ui=fr-FR&amp;rs=en-001&amp;ad=us" TargetMode="External"/><Relationship Id="rId12" Type="http://schemas.openxmlformats.org/officeDocument/2006/relationships/image" Target="../media/image12.svg"/><Relationship Id="rId2" Type="http://schemas.openxmlformats.org/officeDocument/2006/relationships/hyperlink" Target="https://support.office.com/fr-FR/article/vlookup-function-0bbc8083-26fe-4963-8ab8-93a18ad188a1" TargetMode="External"/><Relationship Id="rId1" Type="http://schemas.openxmlformats.org/officeDocument/2006/relationships/hyperlink" Target="#'Fonctions conditionnelles'!A1"/><Relationship Id="rId6" Type="http://schemas.openxmlformats.org/officeDocument/2006/relationships/hyperlink" Target="https://support.office.com/fr-FR/article/excel-for-windows-training-9bc05390-e94c-46af-a5b3-d7c22f6990bb?ui=fr-FR&amp;rs=en-001&amp;ad=us" TargetMode="External"/><Relationship Id="rId11" Type="http://schemas.openxmlformats.org/officeDocument/2006/relationships/image" Target="../media/image11.png"/><Relationship Id="rId5" Type="http://schemas.openxmlformats.org/officeDocument/2006/relationships/hyperlink" Target="https://support.office.com/fr-FR/article/match-function-e8dffd45-c762-47d6-bf89-533f4a37673a" TargetMode="External"/><Relationship Id="rId10" Type="http://schemas.openxmlformats.org/officeDocument/2006/relationships/hyperlink" Target="#'Instructions SI'!A1"/><Relationship Id="rId4" Type="http://schemas.openxmlformats.org/officeDocument/2006/relationships/image" Target="../media/image10.svg"/><Relationship Id="rId9" Type="http://schemas.openxmlformats.org/officeDocument/2006/relationships/hyperlink" Target="#RECHERCHEV!A62"/><Relationship Id="rId14" Type="http://schemas.openxmlformats.org/officeDocument/2006/relationships/image" Target="../media/image109.svg"/></Relationships>
</file>

<file path=xl/drawings/_rels/drawing18.xml.rels><?xml version="1.0" encoding="UTF-8" standalone="yes"?>
<Relationships xmlns="http://schemas.openxmlformats.org/package/2006/relationships"><Relationship Id="rId8" Type="http://schemas.openxmlformats.org/officeDocument/2006/relationships/hyperlink" Target="https://support.office.com/fr-FR/article/maxifs-function-dfd611e6-da2c-488a-919b-9b6376b28883?ui=fr-FR&amp;rs=en-001&amp;ad=us" TargetMode="External"/><Relationship Id="rId13" Type="http://schemas.openxmlformats.org/officeDocument/2006/relationships/hyperlink" Target="https://support.office.com/fr-FR/article/sumifs-function-c9e748f5-7ea7-455d-9406-611cebce642b?ui=fr-FR&amp;rs=en-001&amp;ad=us" TargetMode="External"/><Relationship Id="rId18" Type="http://schemas.openxmlformats.org/officeDocument/2006/relationships/image" Target="../media/image105.png"/><Relationship Id="rId3" Type="http://schemas.openxmlformats.org/officeDocument/2006/relationships/hyperlink" Target="#'Assistant Fonction'!A1"/><Relationship Id="rId21" Type="http://schemas.openxmlformats.org/officeDocument/2006/relationships/hyperlink" Target="#'Fonctions conditionnelles'!A130"/><Relationship Id="rId7" Type="http://schemas.openxmlformats.org/officeDocument/2006/relationships/image" Target="../media/image10.svg"/><Relationship Id="rId12" Type="http://schemas.openxmlformats.org/officeDocument/2006/relationships/hyperlink" Target="https://support.office.com/fr-FR/article/countifs-function-dda3dc6e-f74e-4aee-88bc-aa8c2a866842?ui=fr-FR&amp;rs=en-001&amp;ad=us" TargetMode="External"/><Relationship Id="rId17" Type="http://schemas.openxmlformats.org/officeDocument/2006/relationships/hyperlink" Target="https://support.office.com/fr-fr/article/cr%c3%a9er-un-tableau-crois%c3%a9-dynamique-pour-analyser-des-donn%c3%a9es-de-feuille-de-calcul-a9a84538-bfe9-40a9-a8e9-f99134456576?omkt=fr-FR&amp;ui=fr-FR&amp;rs=fr-FR&amp;ad=FR" TargetMode="External"/><Relationship Id="rId2" Type="http://schemas.openxmlformats.org/officeDocument/2006/relationships/image" Target="../media/image8.svg"/><Relationship Id="rId16" Type="http://schemas.openxmlformats.org/officeDocument/2006/relationships/hyperlink" Target="https://support.office.com/fr-FR/article/create-a-drop-down-list-7693307a-59ef-400a-b769-c5402dce407b?ui=fr-FR&amp;rs=en-001&amp;ad=us" TargetMode="External"/><Relationship Id="rId20" Type="http://schemas.openxmlformats.org/officeDocument/2006/relationships/hyperlink" Target="#'Fonctions conditionnelles'!A85"/><Relationship Id="rId1" Type="http://schemas.openxmlformats.org/officeDocument/2006/relationships/image" Target="../media/image7.png"/><Relationship Id="rId6" Type="http://schemas.openxmlformats.org/officeDocument/2006/relationships/image" Target="../media/image9.png"/><Relationship Id="rId11" Type="http://schemas.openxmlformats.org/officeDocument/2006/relationships/hyperlink" Target="https://support.office.com/fr-FR/article/minifs-function-6ca1ddaa-079b-4e74-80cc-72eef32e6599?ui=fr-FR&amp;rs=en-001&amp;ad=us" TargetMode="External"/><Relationship Id="rId5" Type="http://schemas.openxmlformats.org/officeDocument/2006/relationships/hyperlink" Target="https://support.office.com/fr-FR/article/excel-for-windows-training-9bc05390-e94c-46af-a5b3-d7c22f6990bb?ui=fr-FR&amp;rs=en-001&amp;ad=us" TargetMode="External"/><Relationship Id="rId15" Type="http://schemas.openxmlformats.org/officeDocument/2006/relationships/hyperlink" Target="https://support.office.com/fr-FR/article/countif-function-e0de10c6-f885-4e71-abb4-1f464816df34?ui=fr-FR&amp;rs=en-001&amp;ad=us" TargetMode="External"/><Relationship Id="rId10" Type="http://schemas.openxmlformats.org/officeDocument/2006/relationships/hyperlink" Target="https://support.office.com/fr-FR/article/averageif-function-faec8e2e-0dec-4308-af69-f5576d8ac642?ui=fr-FR&amp;rs=en-001&amp;ad=us" TargetMode="External"/><Relationship Id="rId19" Type="http://schemas.openxmlformats.org/officeDocument/2006/relationships/image" Target="../media/image106.svg"/><Relationship Id="rId4" Type="http://schemas.openxmlformats.org/officeDocument/2006/relationships/hyperlink" Target="#'Fonctions conditionnelles'!A1"/><Relationship Id="rId9" Type="http://schemas.openxmlformats.org/officeDocument/2006/relationships/hyperlink" Target="https://support.office.com/fr-FR/article/averageifs-function-48910c45-1fc0-4389-a028-f7c5c3001690?ui=fr-FR&amp;rs=en-001&amp;ad=us" TargetMode="External"/><Relationship Id="rId14" Type="http://schemas.openxmlformats.org/officeDocument/2006/relationships/hyperlink" Target="https://support.office.com/fr-FR/article/sumif-function-169b8c99-c05c-4483-a712-1697a653039b?ui=fr-FR&amp;rs=en-001&amp;ad=us" TargetMode="External"/><Relationship Id="rId22" Type="http://schemas.openxmlformats.org/officeDocument/2006/relationships/hyperlink" Target="#'Fonctions conditionnelles'!A138"/></Relationships>
</file>

<file path=xl/drawings/_rels/drawing19.xml.rels><?xml version="1.0" encoding="UTF-8" standalone="yes"?>
<Relationships xmlns="http://schemas.openxmlformats.org/package/2006/relationships"><Relationship Id="rId8" Type="http://schemas.openxmlformats.org/officeDocument/2006/relationships/hyperlink" Target="https://support.office.com/fr-FR/article/excel-functions-alphabetical-b3944572-255d-4efb-bb96-c6d90033e188?ui=fr-FR&amp;rs=en-001&amp;ad=us" TargetMode="External"/><Relationship Id="rId13" Type="http://schemas.openxmlformats.org/officeDocument/2006/relationships/image" Target="../media/image8.svg"/><Relationship Id="rId3" Type="http://schemas.openxmlformats.org/officeDocument/2006/relationships/hyperlink" Target="https://support.office.com/fr-FR/article/overview-of-formulas-in-excel-ecfdc708-9162-49e8-b993-c311f47ca173?ui=fr-FR&amp;rs=en-001&amp;ad=us" TargetMode="External"/><Relationship Id="rId7" Type="http://schemas.openxmlformats.org/officeDocument/2006/relationships/hyperlink" Target="https://support.office.com/fr-FR/article/excel-for-windows-training-9bc05390-e94c-46af-a5b3-d7c22f6990bb?ui=fr-FR&amp;rs=en-001&amp;ad=us" TargetMode="External"/><Relationship Id="rId12" Type="http://schemas.openxmlformats.org/officeDocument/2006/relationships/image" Target="../media/image7.png"/><Relationship Id="rId2" Type="http://schemas.openxmlformats.org/officeDocument/2006/relationships/image" Target="../media/image99.svg"/><Relationship Id="rId1" Type="http://schemas.openxmlformats.org/officeDocument/2006/relationships/image" Target="../media/image98.png"/><Relationship Id="rId6" Type="http://schemas.openxmlformats.org/officeDocument/2006/relationships/hyperlink" Target="https://support.office.com/fr-FR/article/excel-functions-by-category-5f91f4e9-7b42-46d2-9bd1-63f26a86c0eb?ui=fr-FR&amp;rs=en-001&amp;ad=us" TargetMode="External"/><Relationship Id="rId11" Type="http://schemas.openxmlformats.org/officeDocument/2006/relationships/image" Target="../media/image110.png"/><Relationship Id="rId5" Type="http://schemas.openxmlformats.org/officeDocument/2006/relationships/image" Target="../media/image10.svg"/><Relationship Id="rId10" Type="http://schemas.openxmlformats.org/officeDocument/2006/relationships/hyperlink" Target="#'Erreurs dans les formules'!A1"/><Relationship Id="rId4" Type="http://schemas.openxmlformats.org/officeDocument/2006/relationships/image" Target="../media/image9.png"/><Relationship Id="rId9" Type="http://schemas.openxmlformats.org/officeDocument/2006/relationships/hyperlink" Target="#'Fonctions conditionnelles'!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hyperlink" Target="https://support.office.com/fr-FR/article/excel-for-windows-training-9bc05390-e94c-46af-a5b3-d7c22f6990bb?ui=fr-FR&amp;rs=en-001&amp;ad=us" TargetMode="External"/><Relationship Id="rId3" Type="http://schemas.openxmlformats.org/officeDocument/2006/relationships/hyperlink" Target="#'Assistant Fonction'!A1"/><Relationship Id="rId7" Type="http://schemas.openxmlformats.org/officeDocument/2006/relationships/image" Target="../media/image7.png"/><Relationship Id="rId12" Type="http://schemas.openxmlformats.org/officeDocument/2006/relationships/hyperlink" Target="https://support.office.com/fr-FR/article/how-to-avoid-broken-formulas-8309381d-33e8-42f6-b889-84ef6df1d586?ui=fr-FR&amp;rs=en-001&amp;ad=us" TargetMode="External"/><Relationship Id="rId2" Type="http://schemas.openxmlformats.org/officeDocument/2006/relationships/image" Target="../media/image112.png"/><Relationship Id="rId1" Type="http://schemas.openxmlformats.org/officeDocument/2006/relationships/image" Target="../media/image111.png"/><Relationship Id="rId6" Type="http://schemas.openxmlformats.org/officeDocument/2006/relationships/image" Target="../media/image109.svg"/><Relationship Id="rId11" Type="http://schemas.openxmlformats.org/officeDocument/2006/relationships/image" Target="../media/image10.svg"/><Relationship Id="rId5" Type="http://schemas.openxmlformats.org/officeDocument/2006/relationships/image" Target="../media/image108.png"/><Relationship Id="rId10" Type="http://schemas.openxmlformats.org/officeDocument/2006/relationships/image" Target="../media/image9.png"/><Relationship Id="rId4" Type="http://schemas.openxmlformats.org/officeDocument/2006/relationships/hyperlink" Target="#'En savoir plus'!A1"/><Relationship Id="rId9" Type="http://schemas.openxmlformats.org/officeDocument/2006/relationships/hyperlink" Target="https://support.office.com/fr-FR/article/detect-errors-in-formulas-3a8acca5-1d61-4702-80e0-99a36a2822c1?ui=fr-FR&amp;rs=en-001&amp;ad=us" TargetMode="External"/><Relationship Id="rId14" Type="http://schemas.openxmlformats.org/officeDocument/2006/relationships/hyperlink" Target="https://support.office.com/fr-FR/article/evaluate-a-nested-formula-one-step-at-a-time-59a201ae-d1dc-4b15-8586-a70aa409b8a7?ui=fr-FR&amp;rs=en-001&amp;ad=us" TargetMode="External"/></Relationships>
</file>

<file path=xl/drawings/_rels/drawing21.xml.rels><?xml version="1.0" encoding="UTF-8" standalone="yes"?>
<Relationships xmlns="http://schemas.openxmlformats.org/package/2006/relationships"><Relationship Id="rId8" Type="http://schemas.openxmlformats.org/officeDocument/2006/relationships/image" Target="../media/image120.gif"/><Relationship Id="rId13" Type="http://schemas.openxmlformats.org/officeDocument/2006/relationships/image" Target="../media/image125.png"/><Relationship Id="rId3" Type="http://schemas.openxmlformats.org/officeDocument/2006/relationships/image" Target="../media/image115.gif"/><Relationship Id="rId7" Type="http://schemas.openxmlformats.org/officeDocument/2006/relationships/image" Target="../media/image119.gif"/><Relationship Id="rId12" Type="http://schemas.openxmlformats.org/officeDocument/2006/relationships/image" Target="../media/image124.png"/><Relationship Id="rId17" Type="http://schemas.openxmlformats.org/officeDocument/2006/relationships/image" Target="../media/image129.jpeg"/><Relationship Id="rId2" Type="http://schemas.openxmlformats.org/officeDocument/2006/relationships/image" Target="../media/image114.gif"/><Relationship Id="rId16" Type="http://schemas.openxmlformats.org/officeDocument/2006/relationships/image" Target="../media/image128.jpeg"/><Relationship Id="rId1" Type="http://schemas.openxmlformats.org/officeDocument/2006/relationships/image" Target="../media/image113.gif"/><Relationship Id="rId6" Type="http://schemas.openxmlformats.org/officeDocument/2006/relationships/image" Target="../media/image118.gif"/><Relationship Id="rId11" Type="http://schemas.openxmlformats.org/officeDocument/2006/relationships/image" Target="../media/image123.png"/><Relationship Id="rId5" Type="http://schemas.openxmlformats.org/officeDocument/2006/relationships/image" Target="../media/image117.gif"/><Relationship Id="rId15" Type="http://schemas.openxmlformats.org/officeDocument/2006/relationships/image" Target="../media/image127.jpeg"/><Relationship Id="rId10" Type="http://schemas.openxmlformats.org/officeDocument/2006/relationships/image" Target="../media/image122.png"/><Relationship Id="rId4" Type="http://schemas.openxmlformats.org/officeDocument/2006/relationships/image" Target="../media/image116.gif"/><Relationship Id="rId9" Type="http://schemas.openxmlformats.org/officeDocument/2006/relationships/image" Target="../media/image121.gif"/><Relationship Id="rId14" Type="http://schemas.openxmlformats.org/officeDocument/2006/relationships/image" Target="../media/image12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32.png"/><Relationship Id="rId2" Type="http://schemas.openxmlformats.org/officeDocument/2006/relationships/image" Target="../media/image131.png"/><Relationship Id="rId1" Type="http://schemas.openxmlformats.org/officeDocument/2006/relationships/image" Target="../media/image13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34.png"/><Relationship Id="rId2" Type="http://schemas.openxmlformats.org/officeDocument/2006/relationships/image" Target="../media/image133.png"/><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image" Target="../media/image137.png"/><Relationship Id="rId2" Type="http://schemas.openxmlformats.org/officeDocument/2006/relationships/image" Target="../media/image136.png"/><Relationship Id="rId1" Type="http://schemas.openxmlformats.org/officeDocument/2006/relationships/image" Target="../media/image135.png"/><Relationship Id="rId5" Type="http://schemas.openxmlformats.org/officeDocument/2006/relationships/image" Target="../media/image139.png"/><Relationship Id="rId4" Type="http://schemas.openxmlformats.org/officeDocument/2006/relationships/image" Target="../media/image13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42.png"/><Relationship Id="rId2" Type="http://schemas.openxmlformats.org/officeDocument/2006/relationships/image" Target="../media/image141.png"/><Relationship Id="rId1" Type="http://schemas.openxmlformats.org/officeDocument/2006/relationships/image" Target="../media/image140.png"/></Relationships>
</file>

<file path=xl/drawings/_rels/drawing26.xml.rels><?xml version="1.0" encoding="UTF-8" standalone="yes"?>
<Relationships xmlns="http://schemas.openxmlformats.org/package/2006/relationships"><Relationship Id="rId8" Type="http://schemas.openxmlformats.org/officeDocument/2006/relationships/image" Target="../media/image5.jpeg"/><Relationship Id="rId13" Type="http://schemas.openxmlformats.org/officeDocument/2006/relationships/image" Target="../media/image152.png"/><Relationship Id="rId18" Type="http://schemas.openxmlformats.org/officeDocument/2006/relationships/image" Target="../media/image157.png"/><Relationship Id="rId26" Type="http://schemas.openxmlformats.org/officeDocument/2006/relationships/image" Target="../media/image132.png"/><Relationship Id="rId3" Type="http://schemas.openxmlformats.org/officeDocument/2006/relationships/image" Target="../media/image144.png"/><Relationship Id="rId21" Type="http://schemas.openxmlformats.org/officeDocument/2006/relationships/diagramQuickStyle" Target="../diagrams/quickStyle1.xml"/><Relationship Id="rId7" Type="http://schemas.openxmlformats.org/officeDocument/2006/relationships/image" Target="../media/image148.png"/><Relationship Id="rId12" Type="http://schemas.openxmlformats.org/officeDocument/2006/relationships/image" Target="../media/image151.png"/><Relationship Id="rId17" Type="http://schemas.openxmlformats.org/officeDocument/2006/relationships/image" Target="../media/image156.png"/><Relationship Id="rId25" Type="http://schemas.openxmlformats.org/officeDocument/2006/relationships/image" Target="../media/image131.png"/><Relationship Id="rId2" Type="http://schemas.openxmlformats.org/officeDocument/2006/relationships/image" Target="../media/image143.png"/><Relationship Id="rId16" Type="http://schemas.openxmlformats.org/officeDocument/2006/relationships/image" Target="../media/image155.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147.png"/><Relationship Id="rId11" Type="http://schemas.openxmlformats.org/officeDocument/2006/relationships/image" Target="../media/image150.png"/><Relationship Id="rId24" Type="http://schemas.openxmlformats.org/officeDocument/2006/relationships/image" Target="../media/image130.png"/><Relationship Id="rId5" Type="http://schemas.openxmlformats.org/officeDocument/2006/relationships/image" Target="../media/image146.png"/><Relationship Id="rId15" Type="http://schemas.openxmlformats.org/officeDocument/2006/relationships/image" Target="../media/image154.png"/><Relationship Id="rId23" Type="http://schemas.microsoft.com/office/2007/relationships/diagramDrawing" Target="../diagrams/drawing1.xml"/><Relationship Id="rId28" Type="http://schemas.openxmlformats.org/officeDocument/2006/relationships/image" Target="../media/image3.png"/><Relationship Id="rId10" Type="http://schemas.openxmlformats.org/officeDocument/2006/relationships/image" Target="../media/image149.png"/><Relationship Id="rId19" Type="http://schemas.openxmlformats.org/officeDocument/2006/relationships/diagramData" Target="../diagrams/data1.xml"/><Relationship Id="rId4" Type="http://schemas.openxmlformats.org/officeDocument/2006/relationships/image" Target="../media/image145.png"/><Relationship Id="rId9" Type="http://schemas.openxmlformats.org/officeDocument/2006/relationships/image" Target="../media/image6.png"/><Relationship Id="rId14" Type="http://schemas.openxmlformats.org/officeDocument/2006/relationships/image" Target="../media/image153.png"/><Relationship Id="rId22" Type="http://schemas.openxmlformats.org/officeDocument/2006/relationships/diagramColors" Target="../diagrams/colors1.xml"/><Relationship Id="rId27" Type="http://schemas.openxmlformats.org/officeDocument/2006/relationships/image" Target="../media/image2.png"/></Relationships>
</file>

<file path=xl/drawings/_rels/drawing27.xml.rels><?xml version="1.0" encoding="UTF-8" standalone="yes"?>
<Relationships xmlns="http://schemas.openxmlformats.org/package/2006/relationships"><Relationship Id="rId8" Type="http://schemas.openxmlformats.org/officeDocument/2006/relationships/image" Target="../media/image164.png"/><Relationship Id="rId3" Type="http://schemas.openxmlformats.org/officeDocument/2006/relationships/image" Target="../media/image160.png"/><Relationship Id="rId7" Type="http://schemas.openxmlformats.org/officeDocument/2006/relationships/image" Target="../media/image137.png"/><Relationship Id="rId2" Type="http://schemas.openxmlformats.org/officeDocument/2006/relationships/image" Target="../media/image159.png"/><Relationship Id="rId1" Type="http://schemas.openxmlformats.org/officeDocument/2006/relationships/image" Target="../media/image158.png"/><Relationship Id="rId6" Type="http://schemas.openxmlformats.org/officeDocument/2006/relationships/image" Target="../media/image163.png"/><Relationship Id="rId5" Type="http://schemas.openxmlformats.org/officeDocument/2006/relationships/image" Target="../media/image162.png"/><Relationship Id="rId10" Type="http://schemas.openxmlformats.org/officeDocument/2006/relationships/image" Target="../media/image166.png"/><Relationship Id="rId4" Type="http://schemas.openxmlformats.org/officeDocument/2006/relationships/image" Target="../media/image161.png"/><Relationship Id="rId9" Type="http://schemas.openxmlformats.org/officeDocument/2006/relationships/image" Target="../media/image16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8" Type="http://schemas.openxmlformats.org/officeDocument/2006/relationships/hyperlink" Target="https://support.office.com/fr-FR/article/now-function-3337fd29-145a-4347-b2e6-20c904739c46?ui=fr-FR&amp;rs=en-001&amp;ad=us" TargetMode="External"/><Relationship Id="rId3" Type="http://schemas.openxmlformats.org/officeDocument/2006/relationships/hyperlink" Target="#'MIN et MAX'!A1"/><Relationship Id="rId7" Type="http://schemas.openxmlformats.org/officeDocument/2006/relationships/image" Target="../media/image10.svg"/><Relationship Id="rId12" Type="http://schemas.openxmlformats.org/officeDocument/2006/relationships/image" Target="../media/image12.sv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9.png"/><Relationship Id="rId11" Type="http://schemas.openxmlformats.org/officeDocument/2006/relationships/image" Target="../media/image11.png"/><Relationship Id="rId5" Type="http://schemas.openxmlformats.org/officeDocument/2006/relationships/hyperlink" Target="https://support.office.com/fr-FR/article/today-function-5eb3078d-a82c-4736-8930-2f51a028fdd9?ui=fr-FR&amp;rs=en-001&amp;ad=us" TargetMode="External"/><Relationship Id="rId10" Type="http://schemas.openxmlformats.org/officeDocument/2006/relationships/hyperlink" Target="https://support.office.com/fr-FR/article/date-function-e36c0c8c-4104-49da-ab83-82328b832349?ui=fr-FR&amp;rs=en-001&amp;ad=us" TargetMode="External"/><Relationship Id="rId4" Type="http://schemas.openxmlformats.org/officeDocument/2006/relationships/hyperlink" Target="#'Combiner texte et nombres'!A1"/><Relationship Id="rId9" Type="http://schemas.openxmlformats.org/officeDocument/2006/relationships/hyperlink" Target="https://support.office.com/fr-FR/article/excel-for-windows-training-9bc05390-e94c-46af-a5b3-d7c22f6990bb?ui=fr-FR&amp;rs=en-001&amp;ad=us"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7.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s>
</file>

<file path=xl/drawings/_rels/drawing9.xml.rels><?xml version="1.0" encoding="UTF-8" standalone="yes"?>
<Relationships xmlns="http://schemas.openxmlformats.org/package/2006/relationships"><Relationship Id="rId13" Type="http://schemas.openxmlformats.org/officeDocument/2006/relationships/image" Target="../media/image54.png"/><Relationship Id="rId18" Type="http://schemas.openxmlformats.org/officeDocument/2006/relationships/image" Target="../media/image59.png"/><Relationship Id="rId26" Type="http://schemas.openxmlformats.org/officeDocument/2006/relationships/image" Target="../media/image67.png"/><Relationship Id="rId39" Type="http://schemas.openxmlformats.org/officeDocument/2006/relationships/image" Target="../media/image80.png"/><Relationship Id="rId21" Type="http://schemas.openxmlformats.org/officeDocument/2006/relationships/image" Target="../media/image62.png"/><Relationship Id="rId34" Type="http://schemas.openxmlformats.org/officeDocument/2006/relationships/image" Target="../media/image75.png"/><Relationship Id="rId42" Type="http://schemas.openxmlformats.org/officeDocument/2006/relationships/image" Target="../media/image83.png"/><Relationship Id="rId47" Type="http://schemas.openxmlformats.org/officeDocument/2006/relationships/image" Target="../media/image88.png"/><Relationship Id="rId50" Type="http://schemas.openxmlformats.org/officeDocument/2006/relationships/image" Target="../media/image91.png"/><Relationship Id="rId7" Type="http://schemas.openxmlformats.org/officeDocument/2006/relationships/image" Target="../media/image48.png"/><Relationship Id="rId2" Type="http://schemas.openxmlformats.org/officeDocument/2006/relationships/image" Target="../media/image43.png"/><Relationship Id="rId16" Type="http://schemas.openxmlformats.org/officeDocument/2006/relationships/image" Target="../media/image57.png"/><Relationship Id="rId29" Type="http://schemas.openxmlformats.org/officeDocument/2006/relationships/image" Target="../media/image70.png"/><Relationship Id="rId11" Type="http://schemas.openxmlformats.org/officeDocument/2006/relationships/image" Target="../media/image52.png"/><Relationship Id="rId24" Type="http://schemas.openxmlformats.org/officeDocument/2006/relationships/image" Target="../media/image65.png"/><Relationship Id="rId32" Type="http://schemas.openxmlformats.org/officeDocument/2006/relationships/image" Target="../media/image73.png"/><Relationship Id="rId37" Type="http://schemas.openxmlformats.org/officeDocument/2006/relationships/image" Target="../media/image78.png"/><Relationship Id="rId40" Type="http://schemas.openxmlformats.org/officeDocument/2006/relationships/image" Target="../media/image81.png"/><Relationship Id="rId45" Type="http://schemas.openxmlformats.org/officeDocument/2006/relationships/image" Target="../media/image86.png"/><Relationship Id="rId5" Type="http://schemas.openxmlformats.org/officeDocument/2006/relationships/image" Target="../media/image46.png"/><Relationship Id="rId15" Type="http://schemas.openxmlformats.org/officeDocument/2006/relationships/image" Target="../media/image56.png"/><Relationship Id="rId23" Type="http://schemas.openxmlformats.org/officeDocument/2006/relationships/image" Target="../media/image64.png"/><Relationship Id="rId28" Type="http://schemas.openxmlformats.org/officeDocument/2006/relationships/image" Target="../media/image69.png"/><Relationship Id="rId36" Type="http://schemas.openxmlformats.org/officeDocument/2006/relationships/image" Target="../media/image77.png"/><Relationship Id="rId49" Type="http://schemas.openxmlformats.org/officeDocument/2006/relationships/image" Target="../media/image90.png"/><Relationship Id="rId10" Type="http://schemas.openxmlformats.org/officeDocument/2006/relationships/image" Target="../media/image51.png"/><Relationship Id="rId19" Type="http://schemas.openxmlformats.org/officeDocument/2006/relationships/image" Target="../media/image60.png"/><Relationship Id="rId31" Type="http://schemas.openxmlformats.org/officeDocument/2006/relationships/image" Target="../media/image72.png"/><Relationship Id="rId44" Type="http://schemas.openxmlformats.org/officeDocument/2006/relationships/image" Target="../media/image85.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 Id="rId22" Type="http://schemas.openxmlformats.org/officeDocument/2006/relationships/image" Target="../media/image63.png"/><Relationship Id="rId27" Type="http://schemas.openxmlformats.org/officeDocument/2006/relationships/image" Target="../media/image68.png"/><Relationship Id="rId30" Type="http://schemas.openxmlformats.org/officeDocument/2006/relationships/image" Target="../media/image71.png"/><Relationship Id="rId35" Type="http://schemas.openxmlformats.org/officeDocument/2006/relationships/image" Target="../media/image76.png"/><Relationship Id="rId43" Type="http://schemas.openxmlformats.org/officeDocument/2006/relationships/image" Target="../media/image84.png"/><Relationship Id="rId48" Type="http://schemas.openxmlformats.org/officeDocument/2006/relationships/image" Target="../media/image89.png"/><Relationship Id="rId8" Type="http://schemas.openxmlformats.org/officeDocument/2006/relationships/image" Target="../media/image49.png"/><Relationship Id="rId51" Type="http://schemas.openxmlformats.org/officeDocument/2006/relationships/image" Target="../media/image92.png"/><Relationship Id="rId3" Type="http://schemas.openxmlformats.org/officeDocument/2006/relationships/image" Target="../media/image44.png"/><Relationship Id="rId12" Type="http://schemas.openxmlformats.org/officeDocument/2006/relationships/image" Target="../media/image53.png"/><Relationship Id="rId17" Type="http://schemas.openxmlformats.org/officeDocument/2006/relationships/image" Target="../media/image58.png"/><Relationship Id="rId25" Type="http://schemas.openxmlformats.org/officeDocument/2006/relationships/image" Target="../media/image66.png"/><Relationship Id="rId33" Type="http://schemas.openxmlformats.org/officeDocument/2006/relationships/image" Target="../media/image74.png"/><Relationship Id="rId38" Type="http://schemas.openxmlformats.org/officeDocument/2006/relationships/image" Target="../media/image79.png"/><Relationship Id="rId46" Type="http://schemas.openxmlformats.org/officeDocument/2006/relationships/image" Target="../media/image87.png"/><Relationship Id="rId20" Type="http://schemas.openxmlformats.org/officeDocument/2006/relationships/image" Target="../media/image61.png"/><Relationship Id="rId41" Type="http://schemas.openxmlformats.org/officeDocument/2006/relationships/image" Target="../media/image82.png"/><Relationship Id="rId1" Type="http://schemas.openxmlformats.org/officeDocument/2006/relationships/image" Target="../media/image42.png"/><Relationship Id="rId6" Type="http://schemas.openxmlformats.org/officeDocument/2006/relationships/image" Target="../media/image47.png"/></Relationships>
</file>

<file path=xl/drawings/drawing1.xml><?xml version="1.0" encoding="utf-8"?>
<xdr:wsDr xmlns:xdr="http://schemas.openxmlformats.org/drawingml/2006/spreadsheetDrawing" xmlns:a="http://schemas.openxmlformats.org/drawingml/2006/main">
  <xdr:twoCellAnchor editAs="oneCell">
    <xdr:from>
      <xdr:col>25</xdr:col>
      <xdr:colOff>414572</xdr:colOff>
      <xdr:row>140</xdr:row>
      <xdr:rowOff>197370</xdr:rowOff>
    </xdr:from>
    <xdr:to>
      <xdr:col>28</xdr:col>
      <xdr:colOff>68288</xdr:colOff>
      <xdr:row>143</xdr:row>
      <xdr:rowOff>435860</xdr:rowOff>
    </xdr:to>
    <xdr:pic>
      <xdr:nvPicPr>
        <xdr:cNvPr id="3" name="Picture 1">
          <a:extLst>
            <a:ext uri="{FF2B5EF4-FFF2-40B4-BE49-F238E27FC236}">
              <a16:creationId xmlns:a16="http://schemas.microsoft.com/office/drawing/2014/main" id="{BE4778E1-7E67-4DCF-9F90-FF6C49399B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43670" y="56722780"/>
          <a:ext cx="2183307" cy="17375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708027</xdr:colOff>
      <xdr:row>42</xdr:row>
      <xdr:rowOff>174537</xdr:rowOff>
    </xdr:from>
    <xdr:to>
      <xdr:col>7</xdr:col>
      <xdr:colOff>628651</xdr:colOff>
      <xdr:row>66</xdr:row>
      <xdr:rowOff>137477</xdr:rowOff>
    </xdr:to>
    <xdr:pic>
      <xdr:nvPicPr>
        <xdr:cNvPr id="3" name="Image 2">
          <a:extLst>
            <a:ext uri="{FF2B5EF4-FFF2-40B4-BE49-F238E27FC236}">
              <a16:creationId xmlns:a16="http://schemas.microsoft.com/office/drawing/2014/main" id="{C2A6CBD3-FAE0-44C3-B0F6-D8A3F657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46227" y="4575087"/>
          <a:ext cx="4949824" cy="47635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5422894</xdr:colOff>
      <xdr:row>26</xdr:row>
      <xdr:rowOff>88153</xdr:rowOff>
    </xdr:from>
    <xdr:to>
      <xdr:col>6</xdr:col>
      <xdr:colOff>469378</xdr:colOff>
      <xdr:row>33</xdr:row>
      <xdr:rowOff>154635</xdr:rowOff>
    </xdr:to>
    <xdr:pic>
      <xdr:nvPicPr>
        <xdr:cNvPr id="2" name="Image 1" descr="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difficiles par la suite. Il est préférable de placer vos constantes dans des cellules, où elles peuvent facilement être ajustées et référencées dans vos formules.">
          <a:extLst>
            <a:ext uri="{FF2B5EF4-FFF2-40B4-BE49-F238E27FC236}">
              <a16:creationId xmlns:a16="http://schemas.microsoft.com/office/drawing/2014/main" id="{A5ECA0EC-9DB3-4BD3-AB77-E7A9046429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270619" y="5917453"/>
          <a:ext cx="4123809" cy="1542857"/>
        </a:xfrm>
        <a:prstGeom prst="rect">
          <a:avLst/>
        </a:prstGeom>
      </xdr:spPr>
    </xdr:pic>
    <xdr:clientData/>
  </xdr:twoCellAnchor>
  <xdr:twoCellAnchor editAs="oneCell">
    <xdr:from>
      <xdr:col>1</xdr:col>
      <xdr:colOff>5372100</xdr:colOff>
      <xdr:row>36</xdr:row>
      <xdr:rowOff>29165</xdr:rowOff>
    </xdr:from>
    <xdr:to>
      <xdr:col>7</xdr:col>
      <xdr:colOff>66093</xdr:colOff>
      <xdr:row>46</xdr:row>
      <xdr:rowOff>9879</xdr:rowOff>
    </xdr:to>
    <xdr:pic>
      <xdr:nvPicPr>
        <xdr:cNvPr id="3" name="Image 3" descr="Une plage de cellules comporte une cellule de début, deux-points et une cellule de fin. Lorsque vous sélectionnez une plage de cellules pour l’ajouter à une formule, Excel ajoute automatiquement les deux-points. Par exemple, A1:A10 représente la plage de cellules de la cellule A1 à la cellule A10.">
          <a:extLst>
            <a:ext uri="{FF2B5EF4-FFF2-40B4-BE49-F238E27FC236}">
              <a16:creationId xmlns:a16="http://schemas.microsoft.com/office/drawing/2014/main" id="{FE8FC920-35B5-4BA5-A964-B667386C18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219825" y="7906340"/>
          <a:ext cx="4657143" cy="1885714"/>
        </a:xfrm>
        <a:prstGeom prst="rect">
          <a:avLst/>
        </a:prstGeom>
      </xdr:spPr>
    </xdr:pic>
    <xdr:clientData/>
  </xdr:twoCellAnchor>
  <xdr:twoCellAnchor editAs="absolute">
    <xdr:from>
      <xdr:col>0</xdr:col>
      <xdr:colOff>345256</xdr:colOff>
      <xdr:row>0</xdr:row>
      <xdr:rowOff>352424</xdr:rowOff>
    </xdr:from>
    <xdr:to>
      <xdr:col>1</xdr:col>
      <xdr:colOff>5230819</xdr:colOff>
      <xdr:row>24</xdr:row>
      <xdr:rowOff>76199</xdr:rowOff>
    </xdr:to>
    <xdr:grpSp>
      <xdr:nvGrpSpPr>
        <xdr:cNvPr id="4" name="Groupe 3">
          <a:extLst>
            <a:ext uri="{FF2B5EF4-FFF2-40B4-BE49-F238E27FC236}">
              <a16:creationId xmlns:a16="http://schemas.microsoft.com/office/drawing/2014/main" id="{33C5632D-56E3-4F7E-9512-F220597A0963}"/>
            </a:ext>
          </a:extLst>
        </xdr:cNvPr>
        <xdr:cNvGrpSpPr/>
      </xdr:nvGrpSpPr>
      <xdr:grpSpPr>
        <a:xfrm>
          <a:off x="345256" y="352424"/>
          <a:ext cx="5733288" cy="4943475"/>
          <a:chOff x="333375" y="266699"/>
          <a:chExt cx="5695950" cy="4922949"/>
        </a:xfrm>
      </xdr:grpSpPr>
      <xdr:grpSp>
        <xdr:nvGrpSpPr>
          <xdr:cNvPr id="5" name="Instruction relative aux sommes de nombres">
            <a:extLst>
              <a:ext uri="{FF2B5EF4-FFF2-40B4-BE49-F238E27FC236}">
                <a16:creationId xmlns:a16="http://schemas.microsoft.com/office/drawing/2014/main" id="{BE3D26D5-0FC6-4835-BD5A-6580002DC691}"/>
              </a:ext>
            </a:extLst>
          </xdr:cNvPr>
          <xdr:cNvGrpSpPr/>
        </xdr:nvGrpSpPr>
        <xdr:grpSpPr>
          <a:xfrm>
            <a:off x="333375" y="266699"/>
            <a:ext cx="5695950" cy="4922949"/>
            <a:chOff x="0" y="-1"/>
            <a:chExt cx="5695950" cy="4974235"/>
          </a:xfrm>
        </xdr:grpSpPr>
        <xdr:sp macro="" textlink="">
          <xdr:nvSpPr>
            <xdr:cNvPr id="19" name="Arrière-plan" descr="Arrière-plan">
              <a:extLst>
                <a:ext uri="{FF2B5EF4-FFF2-40B4-BE49-F238E27FC236}">
                  <a16:creationId xmlns:a16="http://schemas.microsoft.com/office/drawing/2014/main" id="{2FF3608B-507E-4830-AB4B-AEA30DF4C48B}"/>
                </a:ext>
              </a:extLst>
            </xdr:cNvPr>
            <xdr:cNvSpPr/>
          </xdr:nvSpPr>
          <xdr:spPr>
            <a:xfrm>
              <a:off x="0" y="-1"/>
              <a:ext cx="5695950" cy="497423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20" name="Étape" descr="Informations de base : faire des maths avec Excel&#10;">
              <a:extLst>
                <a:ext uri="{FF2B5EF4-FFF2-40B4-BE49-F238E27FC236}">
                  <a16:creationId xmlns:a16="http://schemas.microsoft.com/office/drawing/2014/main" id="{010DC463-284F-4B8C-AE9C-6EB5B7634C8F}"/>
                </a:ext>
              </a:extLst>
            </xdr:cNvPr>
            <xdr:cNvSpPr txBox="1"/>
          </xdr:nvSpPr>
          <xdr:spPr>
            <a:xfrm>
              <a:off x="184433" y="118698"/>
              <a:ext cx="5121952" cy="96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3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de base : faire des maths avec Excel</a:t>
              </a:r>
              <a:endParaRPr kumimoji="0" lang="en-US" sz="2200" b="1" i="1" u="none" strike="noStrike" kern="0" cap="none" spc="3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sp macro="" textlink="">
          <xdr:nvSpPr>
            <xdr:cNvPr id="21" name="Bouton Plus de détails" descr="Poursuivez votre lecture pour plus d’informations">
              <a:hlinkClick xmlns:r="http://schemas.openxmlformats.org/officeDocument/2006/relationships" r:id="rId3"/>
              <a:extLst>
                <a:ext uri="{FF2B5EF4-FFF2-40B4-BE49-F238E27FC236}">
                  <a16:creationId xmlns:a16="http://schemas.microsoft.com/office/drawing/2014/main" id="{43E86E7B-E4E3-4EA1-9DDA-2AF3F08D4139}"/>
                </a:ext>
              </a:extLst>
            </xdr:cNvPr>
            <xdr:cNvSpPr/>
          </xdr:nvSpPr>
          <xdr:spPr>
            <a:xfrm>
              <a:off x="234924" y="4351113"/>
              <a:ext cx="3500608" cy="536455"/>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xnSp macro="">
          <xdr:nvCxnSpPr>
            <xdr:cNvPr id="22" name="Trait inférieur" descr="Ligne décorative">
              <a:extLst>
                <a:ext uri="{FF2B5EF4-FFF2-40B4-BE49-F238E27FC236}">
                  <a16:creationId xmlns:a16="http://schemas.microsoft.com/office/drawing/2014/main" id="{4D82CF24-8B52-49AC-9C05-DE32E641F51C}"/>
                </a:ext>
              </a:extLst>
            </xdr:cNvPr>
            <xdr:cNvCxnSpPr>
              <a:cxnSpLocks/>
            </xdr:cNvCxnSpPr>
          </xdr:nvCxnSpPr>
          <xdr:spPr>
            <a:xfrm>
              <a:off x="184433" y="418628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Bouton Suivant" descr="Bouton Étape suivante, lien hypertexte vers la feuille suivante">
              <a:hlinkClick xmlns:r="http://schemas.openxmlformats.org/officeDocument/2006/relationships" r:id="rId4" tooltip="Cliquez ici pour passer à la feuille de calcul suivante"/>
              <a:extLst>
                <a:ext uri="{FF2B5EF4-FFF2-40B4-BE49-F238E27FC236}">
                  <a16:creationId xmlns:a16="http://schemas.microsoft.com/office/drawing/2014/main" id="{E187E142-9FE4-43BE-9B19-46D9B1DA25FC}"/>
                </a:ext>
              </a:extLst>
            </xdr:cNvPr>
            <xdr:cNvSpPr/>
          </xdr:nvSpPr>
          <xdr:spPr>
            <a:xfrm>
              <a:off x="4047810" y="4351111"/>
              <a:ext cx="1400491" cy="348492"/>
            </a:xfrm>
            <a:prstGeom prst="rightArrowCallout">
              <a:avLst>
                <a:gd name="adj1" fmla="val 32829"/>
                <a:gd name="adj2" fmla="val 31524"/>
                <a:gd name="adj3" fmla="val 25000"/>
                <a:gd name="adj4" fmla="val 89060"/>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xnSp macro="">
          <xdr:nvCxnSpPr>
            <xdr:cNvPr id="24" name="Trait supérieur" descr="Ligne décorative">
              <a:extLst>
                <a:ext uri="{FF2B5EF4-FFF2-40B4-BE49-F238E27FC236}">
                  <a16:creationId xmlns:a16="http://schemas.microsoft.com/office/drawing/2014/main" id="{7970968C-422F-435D-AAEE-FD6EF23B471F}"/>
                </a:ext>
              </a:extLst>
            </xdr:cNvPr>
            <xdr:cNvCxnSpPr>
              <a:cxnSpLocks/>
            </xdr:cNvCxnSpPr>
          </xdr:nvCxnSpPr>
          <xdr:spPr>
            <a:xfrm>
              <a:off x="184433" y="980730"/>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6" name="txt_Étape" descr="Dans Excel, vous pouvez additionner, soustraire, multiplier et diviser sans utiliser la moindre fonction intégrée. Il vous suffit d’utiliser les opérateurs +, -, *, /. Toutes les formules commencent par un signe égal (=).">
            <a:extLst>
              <a:ext uri="{FF2B5EF4-FFF2-40B4-BE49-F238E27FC236}">
                <a16:creationId xmlns:a16="http://schemas.microsoft.com/office/drawing/2014/main" id="{7E575652-DB79-4308-B0A4-E7262C485389}"/>
              </a:ext>
            </a:extLst>
          </xdr:cNvPr>
          <xdr:cNvSpPr txBox="1"/>
        </xdr:nvSpPr>
        <xdr:spPr>
          <a:xfrm>
            <a:off x="451745" y="1345420"/>
            <a:ext cx="5284985" cy="71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Excel, vous pouvez additionner, soustraire, multiplier et diviser sans utiliser la moindre fonction intégrée. Il vous suffit d’utiliser quelques opérateurs de base : </a:t>
            </a:r>
          </a:p>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Toutes les formules commencent par un signe égal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7" name="grp_Étape">
            <a:extLst>
              <a:ext uri="{FF2B5EF4-FFF2-40B4-BE49-F238E27FC236}">
                <a16:creationId xmlns:a16="http://schemas.microsoft.com/office/drawing/2014/main" id="{DEAC3C7F-7F52-457B-BF3E-91F2A3256488}"/>
              </a:ext>
            </a:extLst>
          </xdr:cNvPr>
          <xdr:cNvGrpSpPr/>
        </xdr:nvGrpSpPr>
        <xdr:grpSpPr>
          <a:xfrm>
            <a:off x="542925" y="2141645"/>
            <a:ext cx="5220101" cy="596228"/>
            <a:chOff x="609600" y="8161445"/>
            <a:chExt cx="5186234" cy="596228"/>
          </a:xfrm>
        </xdr:grpSpPr>
        <xdr:sp macro="" textlink="">
          <xdr:nvSpPr>
            <xdr:cNvPr id="17" name="txt_Étape" descr="Pour additionner, sélectionnez la cellule F3, entrez =C3+C4, puis appuyez sur la touche Entrée. &#10;">
              <a:extLst>
                <a:ext uri="{FF2B5EF4-FFF2-40B4-BE49-F238E27FC236}">
                  <a16:creationId xmlns:a16="http://schemas.microsoft.com/office/drawing/2014/main" id="{26E8C832-235A-485B-9A41-D2BEBF6DCB16}"/>
                </a:ext>
              </a:extLst>
            </xdr:cNvPr>
            <xdr:cNvSpPr txBox="1"/>
          </xdr:nvSpPr>
          <xdr:spPr>
            <a:xfrm>
              <a:off x="1017295" y="8203425"/>
              <a:ext cx="4778539"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additionner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8" name="shp_Étape" descr="2">
              <a:extLst>
                <a:ext uri="{FF2B5EF4-FFF2-40B4-BE49-F238E27FC236}">
                  <a16:creationId xmlns:a16="http://schemas.microsoft.com/office/drawing/2014/main" id="{1F0AF2BF-79E2-4289-A1F3-BB334FEB1C4E}"/>
                </a:ext>
              </a:extLst>
            </xdr:cNvPr>
            <xdr:cNvSpPr/>
          </xdr:nvSpPr>
          <xdr:spPr>
            <a:xfrm>
              <a:off x="609600" y="8161445"/>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8" name="grp_Étape">
            <a:extLst>
              <a:ext uri="{FF2B5EF4-FFF2-40B4-BE49-F238E27FC236}">
                <a16:creationId xmlns:a16="http://schemas.microsoft.com/office/drawing/2014/main" id="{A0750488-FA2B-4302-8139-FF8ECED8B3E4}"/>
              </a:ext>
            </a:extLst>
          </xdr:cNvPr>
          <xdr:cNvGrpSpPr/>
        </xdr:nvGrpSpPr>
        <xdr:grpSpPr>
          <a:xfrm>
            <a:off x="542925" y="2684570"/>
            <a:ext cx="5220101" cy="596228"/>
            <a:chOff x="609600" y="8161445"/>
            <a:chExt cx="5186234" cy="596228"/>
          </a:xfrm>
        </xdr:grpSpPr>
        <xdr:sp macro="" textlink="">
          <xdr:nvSpPr>
            <xdr:cNvPr id="15" name="txt_Étape" descr="Pour soustraire, sélectionnez la cellule F4, entrez =C3-C4, puis appuyez sur la touche Entrée. &#10;">
              <a:extLst>
                <a:ext uri="{FF2B5EF4-FFF2-40B4-BE49-F238E27FC236}">
                  <a16:creationId xmlns:a16="http://schemas.microsoft.com/office/drawing/2014/main" id="{449095CC-8B94-42BF-A7C0-2E5A16F2167C}"/>
                </a:ext>
              </a:extLst>
            </xdr:cNvPr>
            <xdr:cNvSpPr txBox="1"/>
          </xdr:nvSpPr>
          <xdr:spPr>
            <a:xfrm>
              <a:off x="1017295" y="8203425"/>
              <a:ext cx="4778539"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soustraire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F4,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puis appuyez sur la touche </a:t>
              </a:r>
              <a:r>
                <a:rPr lang="fr" sz="1100" b="1"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Entrée</a:t>
              </a:r>
              <a:r>
                <a:rPr lang="fr" sz="1100" b="0" i="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Étape" descr="3">
              <a:extLst>
                <a:ext uri="{FF2B5EF4-FFF2-40B4-BE49-F238E27FC236}">
                  <a16:creationId xmlns:a16="http://schemas.microsoft.com/office/drawing/2014/main" id="{C74A3809-28E4-4166-A1EE-D232FDAC98C8}"/>
                </a:ext>
              </a:extLst>
            </xdr:cNvPr>
            <xdr:cNvSpPr/>
          </xdr:nvSpPr>
          <xdr:spPr>
            <a:xfrm>
              <a:off x="609600" y="8161445"/>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9" name="grp_Étape">
            <a:extLst>
              <a:ext uri="{FF2B5EF4-FFF2-40B4-BE49-F238E27FC236}">
                <a16:creationId xmlns:a16="http://schemas.microsoft.com/office/drawing/2014/main" id="{D527946E-DC5E-4A4B-BD14-5188293C9C2E}"/>
              </a:ext>
            </a:extLst>
          </xdr:cNvPr>
          <xdr:cNvGrpSpPr/>
        </xdr:nvGrpSpPr>
        <xdr:grpSpPr>
          <a:xfrm>
            <a:off x="533400" y="3246546"/>
            <a:ext cx="5220101" cy="596228"/>
            <a:chOff x="609600" y="8161446"/>
            <a:chExt cx="5186234" cy="596228"/>
          </a:xfrm>
        </xdr:grpSpPr>
        <xdr:sp macro="" textlink="">
          <xdr:nvSpPr>
            <xdr:cNvPr id="13" name="txt_Étape" descr="Pour multiplier, sélectionnez la cellule F5, entrez =C3*C4, puis appuyez sur la touche Entrée.&#10;">
              <a:extLst>
                <a:ext uri="{FF2B5EF4-FFF2-40B4-BE49-F238E27FC236}">
                  <a16:creationId xmlns:a16="http://schemas.microsoft.com/office/drawing/2014/main" id="{5B265506-50C2-4595-9D0E-5404804DBD21}"/>
                </a:ext>
              </a:extLst>
            </xdr:cNvPr>
            <xdr:cNvSpPr txBox="1"/>
          </xdr:nvSpPr>
          <xdr:spPr>
            <a:xfrm>
              <a:off x="1017295" y="8203426"/>
              <a:ext cx="4778539"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multiplier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F5,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4" name="shp_Étape" descr="4">
              <a:extLst>
                <a:ext uri="{FF2B5EF4-FFF2-40B4-BE49-F238E27FC236}">
                  <a16:creationId xmlns:a16="http://schemas.microsoft.com/office/drawing/2014/main" id="{A0FB7965-392F-41EA-8C85-A1705F5C2E00}"/>
                </a:ext>
              </a:extLst>
            </xdr:cNvPr>
            <xdr:cNvSpPr/>
          </xdr:nvSpPr>
          <xdr:spPr>
            <a:xfrm>
              <a:off x="609600" y="8161446"/>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nvGrpSpPr>
          <xdr:cNvPr id="10" name="grp_Étape">
            <a:extLst>
              <a:ext uri="{FF2B5EF4-FFF2-40B4-BE49-F238E27FC236}">
                <a16:creationId xmlns:a16="http://schemas.microsoft.com/office/drawing/2014/main" id="{9D60B112-4654-4BBF-AFAF-0AE5CA5AF061}"/>
              </a:ext>
            </a:extLst>
          </xdr:cNvPr>
          <xdr:cNvGrpSpPr/>
        </xdr:nvGrpSpPr>
        <xdr:grpSpPr>
          <a:xfrm>
            <a:off x="542925" y="3808520"/>
            <a:ext cx="5248242" cy="596228"/>
            <a:chOff x="609600" y="8161445"/>
            <a:chExt cx="5214192" cy="596228"/>
          </a:xfrm>
        </xdr:grpSpPr>
        <xdr:sp macro="" textlink="">
          <xdr:nvSpPr>
            <xdr:cNvPr id="11" name="txt_Étape" descr="Pour diviser, sélectionnez la cellule F6, entrez =C3/C4, puis appuyez sur la touche Entrée.&#10;">
              <a:extLst>
                <a:ext uri="{FF2B5EF4-FFF2-40B4-BE49-F238E27FC236}">
                  <a16:creationId xmlns:a16="http://schemas.microsoft.com/office/drawing/2014/main" id="{6EFDFAD2-9D3E-4313-8F03-8E52FB5EECB4}"/>
                </a:ext>
              </a:extLst>
            </xdr:cNvPr>
            <xdr:cNvSpPr txBox="1"/>
          </xdr:nvSpPr>
          <xdr:spPr>
            <a:xfrm>
              <a:off x="1017295" y="8203425"/>
              <a:ext cx="4806497" cy="554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diviser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F6,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=C3/C4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puis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5">
              <a:extLst>
                <a:ext uri="{FF2B5EF4-FFF2-40B4-BE49-F238E27FC236}">
                  <a16:creationId xmlns:a16="http://schemas.microsoft.com/office/drawing/2014/main" id="{177AC810-2B6C-4CA5-A318-C461F20804BF}"/>
                </a:ext>
              </a:extLst>
            </xdr:cNvPr>
            <xdr:cNvSpPr/>
          </xdr:nvSpPr>
          <xdr:spPr>
            <a:xfrm>
              <a:off x="609600" y="8161445"/>
              <a:ext cx="372191" cy="366864"/>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4</a:t>
              </a:r>
            </a:p>
          </xdr:txBody>
        </xdr:sp>
      </xdr:grpSp>
    </xdr:grpSp>
    <xdr:clientData/>
  </xdr:twoCellAnchor>
  <xdr:twoCellAnchor editAs="absolute">
    <xdr:from>
      <xdr:col>0</xdr:col>
      <xdr:colOff>335731</xdr:colOff>
      <xdr:row>24</xdr:row>
      <xdr:rowOff>209550</xdr:rowOff>
    </xdr:from>
    <xdr:to>
      <xdr:col>1</xdr:col>
      <xdr:colOff>5221294</xdr:colOff>
      <xdr:row>59</xdr:row>
      <xdr:rowOff>123825</xdr:rowOff>
    </xdr:to>
    <xdr:sp macro="" textlink="">
      <xdr:nvSpPr>
        <xdr:cNvPr id="25" name="Rectangle 24" descr="Arrière-plan">
          <a:extLst>
            <a:ext uri="{FF2B5EF4-FFF2-40B4-BE49-F238E27FC236}">
              <a16:creationId xmlns:a16="http://schemas.microsoft.com/office/drawing/2014/main" id="{5C71E647-0AE7-4DEC-81DC-EFA3FD738F77}"/>
            </a:ext>
          </a:extLst>
        </xdr:cNvPr>
        <xdr:cNvSpPr/>
      </xdr:nvSpPr>
      <xdr:spPr>
        <a:xfrm>
          <a:off x="335731" y="5429250"/>
          <a:ext cx="5733288" cy="69532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lientData/>
  </xdr:twoCellAnchor>
  <xdr:twoCellAnchor editAs="absolute">
    <xdr:from>
      <xdr:col>0</xdr:col>
      <xdr:colOff>554806</xdr:colOff>
      <xdr:row>27</xdr:row>
      <xdr:rowOff>319971</xdr:rowOff>
    </xdr:from>
    <xdr:to>
      <xdr:col>1</xdr:col>
      <xdr:colOff>4958126</xdr:colOff>
      <xdr:row>27</xdr:row>
      <xdr:rowOff>319971</xdr:rowOff>
    </xdr:to>
    <xdr:cxnSp macro="">
      <xdr:nvCxnSpPr>
        <xdr:cNvPr id="26" name="Connecteur droit 25" descr="Ligne décorative">
          <a:extLst>
            <a:ext uri="{FF2B5EF4-FFF2-40B4-BE49-F238E27FC236}">
              <a16:creationId xmlns:a16="http://schemas.microsoft.com/office/drawing/2014/main" id="{F7B0A52B-C0A0-4590-90AD-AD78653FB4E1}"/>
            </a:ext>
          </a:extLst>
        </xdr:cNvPr>
        <xdr:cNvCxnSpPr>
          <a:cxnSpLocks/>
        </xdr:cNvCxnSpPr>
      </xdr:nvCxnSpPr>
      <xdr:spPr>
        <a:xfrm>
          <a:off x="554806" y="6339771"/>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56</xdr:row>
      <xdr:rowOff>25039</xdr:rowOff>
    </xdr:from>
    <xdr:to>
      <xdr:col>1</xdr:col>
      <xdr:colOff>4958126</xdr:colOff>
      <xdr:row>56</xdr:row>
      <xdr:rowOff>25039</xdr:rowOff>
    </xdr:to>
    <xdr:cxnSp macro="">
      <xdr:nvCxnSpPr>
        <xdr:cNvPr id="27" name="Connecteur droit 26" descr="Ligne décorative">
          <a:extLst>
            <a:ext uri="{FF2B5EF4-FFF2-40B4-BE49-F238E27FC236}">
              <a16:creationId xmlns:a16="http://schemas.microsoft.com/office/drawing/2014/main" id="{62652D88-1641-42A7-ACFD-555EAB197FBC}"/>
            </a:ext>
          </a:extLst>
        </xdr:cNvPr>
        <xdr:cNvCxnSpPr>
          <a:cxnSpLocks/>
        </xdr:cNvCxnSpPr>
      </xdr:nvCxnSpPr>
      <xdr:spPr>
        <a:xfrm>
          <a:off x="554806" y="11712214"/>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554806</xdr:colOff>
      <xdr:row>24</xdr:row>
      <xdr:rowOff>269442</xdr:rowOff>
    </xdr:from>
    <xdr:to>
      <xdr:col>1</xdr:col>
      <xdr:colOff>4961299</xdr:colOff>
      <xdr:row>28</xdr:row>
      <xdr:rowOff>28575</xdr:rowOff>
    </xdr:to>
    <xdr:sp macro="" textlink="">
      <xdr:nvSpPr>
        <xdr:cNvPr id="28" name="Étape" descr="Informations complémentaires sur les formules, les cellules et les plages&#10;">
          <a:extLst>
            <a:ext uri="{FF2B5EF4-FFF2-40B4-BE49-F238E27FC236}">
              <a16:creationId xmlns:a16="http://schemas.microsoft.com/office/drawing/2014/main" id="{8EBFB43B-9F3C-4276-9B20-0090F71489B9}"/>
            </a:ext>
          </a:extLst>
        </xdr:cNvPr>
        <xdr:cNvSpPr txBox="1"/>
      </xdr:nvSpPr>
      <xdr:spPr>
        <a:xfrm>
          <a:off x="554806" y="5489142"/>
          <a:ext cx="5254218" cy="8926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complémentaires sur les formules, les cellules et les plages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lientData/>
  </xdr:twoCellAnchor>
  <xdr:twoCellAnchor editAs="absolute">
    <xdr:from>
      <xdr:col>0</xdr:col>
      <xdr:colOff>469081</xdr:colOff>
      <xdr:row>28</xdr:row>
      <xdr:rowOff>75338</xdr:rowOff>
    </xdr:from>
    <xdr:to>
      <xdr:col>1</xdr:col>
      <xdr:colOff>4915399</xdr:colOff>
      <xdr:row>33</xdr:row>
      <xdr:rowOff>19049</xdr:rowOff>
    </xdr:to>
    <xdr:sp macro="" textlink="">
      <xdr:nvSpPr>
        <xdr:cNvPr id="29" name="txt_Étape" descr="Excel est composé de cellules individuelles regroupées en lignes et en colonnes. Les lignes sont numérotées, et les colonnes sont représentées par des lettres. 1 048 576 lignes et 16 384 colonnes sont disponibles, et vous pouvez insérer des formules et des fonctions dans chacune d’entre elles.">
          <a:extLst>
            <a:ext uri="{FF2B5EF4-FFF2-40B4-BE49-F238E27FC236}">
              <a16:creationId xmlns:a16="http://schemas.microsoft.com/office/drawing/2014/main" id="{BF4E72D9-D722-4AC7-A3C2-1B94A97FA585}"/>
            </a:ext>
          </a:extLst>
        </xdr:cNvPr>
        <xdr:cNvSpPr txBox="1"/>
      </xdr:nvSpPr>
      <xdr:spPr>
        <a:xfrm>
          <a:off x="469081" y="6428513"/>
          <a:ext cx="5294043" cy="89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Excel est composé de cellules individuelles regroupées en lignes et en colonnes. Les lignes sont numérotées, et les colonnes sont représentées par des lettres. Plus d’un million de lignes et 16 000 colonnes sont disponibles, et vous pouvez insérer des formules dans chacune d’entre elles.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32</xdr:row>
      <xdr:rowOff>137703</xdr:rowOff>
    </xdr:from>
    <xdr:to>
      <xdr:col>1</xdr:col>
      <xdr:colOff>4915399</xdr:colOff>
      <xdr:row>40</xdr:row>
      <xdr:rowOff>95250</xdr:rowOff>
    </xdr:to>
    <xdr:sp macro="" textlink="">
      <xdr:nvSpPr>
        <xdr:cNvPr id="30" name="txt_Étape" descr="Formulas can contain cell references, ranges of cell references, operators, and constants. The following are all examples of formulas:&#10;&#10;=A1+BI&#10;=10*20&#10;=SUM(A1:A10)&#10;&#10;">
          <a:extLst>
            <a:ext uri="{FF2B5EF4-FFF2-40B4-BE49-F238E27FC236}">
              <a16:creationId xmlns:a16="http://schemas.microsoft.com/office/drawing/2014/main" id="{22A29611-5D9F-42F4-BB57-D91C6584CE4F}"/>
            </a:ext>
          </a:extLst>
        </xdr:cNvPr>
        <xdr:cNvSpPr txBox="1"/>
      </xdr:nvSpPr>
      <xdr:spPr>
        <a:xfrm>
          <a:off x="469081" y="7252878"/>
          <a:ext cx="5294043" cy="148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Les formules peuvent contenir des références de cellule, des plages de références de cellule, des opérateurs et des constantes. Les exemples suivants correspondent tous à des formules :</a:t>
          </a:r>
        </a:p>
        <a:p>
          <a:pPr marL="457200" marR="0" lvl="1"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=A1+B1</a:t>
          </a: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=10+20</a:t>
          </a:r>
        </a:p>
        <a:p>
          <a:pPr marL="457200" marR="0" lvl="1"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=SOMME(A1:A10)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40</xdr:row>
      <xdr:rowOff>33490</xdr:rowOff>
    </xdr:from>
    <xdr:to>
      <xdr:col>1</xdr:col>
      <xdr:colOff>5050606</xdr:colOff>
      <xdr:row>46</xdr:row>
      <xdr:rowOff>95250</xdr:rowOff>
    </xdr:to>
    <xdr:sp macro="" textlink="">
      <xdr:nvSpPr>
        <xdr:cNvPr id="31" name="txt_Étape" descr="Dans le troisième exemple ci-dessus, vous pouvez constater que nous avons utilisé la fonction SOMME. Une fonction est une commande prédéfinie qui, à partir d’une ou plusieurs valeurs, effectue un calcul et renvoie un résultat. Par exemple, la fonction SOMME additionne les références ou plages de cellules que vous spécifiez. Dans cet exemple, elle additionne les cellules A1 à A10. Excel dispose de plus de 400 fonctions que vous pouvez découvrir sous l’onglet Formules.">
          <a:extLst>
            <a:ext uri="{FF2B5EF4-FFF2-40B4-BE49-F238E27FC236}">
              <a16:creationId xmlns:a16="http://schemas.microsoft.com/office/drawing/2014/main" id="{424FD83C-D70C-450A-A098-71C9673AA48E}"/>
            </a:ext>
          </a:extLst>
        </xdr:cNvPr>
        <xdr:cNvSpPr txBox="1"/>
      </xdr:nvSpPr>
      <xdr:spPr>
        <a:xfrm>
          <a:off x="469081" y="8672665"/>
          <a:ext cx="5429250" cy="120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le troisième exemple ci-dessus, vous pouvez constater que nous avons utilisé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fonction est une commande prédéfinie qui, à partir d’une ou plusieurs valeurs, effectue un calcul et renvoie un résultat. Par exemple,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additionne les références ou plages de cellules que vous spécifiez. Dans cet exemple, elle additionne les cellules A1 à A10. Excel propose plus de 400 fonctions, que vous pouvez explorer dans l’onglet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46</xdr:row>
      <xdr:rowOff>119534</xdr:rowOff>
    </xdr:from>
    <xdr:to>
      <xdr:col>1</xdr:col>
      <xdr:colOff>5022031</xdr:colOff>
      <xdr:row>50</xdr:row>
      <xdr:rowOff>76200</xdr:rowOff>
    </xdr:to>
    <xdr:sp macro="" textlink="">
      <xdr:nvSpPr>
        <xdr:cNvPr id="32" name="txt_Étape" descr="Les formules qui incluent des fonctions commencent par un signe égal, suivi du nom de la fonction, puis de ses arguments (valeurs utilisées par une fonction pour effectuer un calcul) entre parenthèses. &#10;&#10;">
          <a:extLst>
            <a:ext uri="{FF2B5EF4-FFF2-40B4-BE49-F238E27FC236}">
              <a16:creationId xmlns:a16="http://schemas.microsoft.com/office/drawing/2014/main" id="{4916D4D1-61F5-4769-B557-E798C13219E1}"/>
            </a:ext>
          </a:extLst>
        </xdr:cNvPr>
        <xdr:cNvSpPr txBox="1"/>
      </xdr:nvSpPr>
      <xdr:spPr>
        <a:xfrm>
          <a:off x="469081" y="9901709"/>
          <a:ext cx="5400675" cy="71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Les formules qui incluent des fonctions commencent par un signe égal, suivi du nom de la fonction, puis de ses arguments (valeurs utilisées par une fonction pour effectuer un calcul) entre parenthèses.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469081</xdr:colOff>
      <xdr:row>50</xdr:row>
      <xdr:rowOff>83885</xdr:rowOff>
    </xdr:from>
    <xdr:to>
      <xdr:col>1</xdr:col>
      <xdr:colOff>5031556</xdr:colOff>
      <xdr:row>55</xdr:row>
      <xdr:rowOff>176362</xdr:rowOff>
    </xdr:to>
    <xdr:sp macro="" textlink="">
      <xdr:nvSpPr>
        <xdr:cNvPr id="33" name="txt_Étape" descr="Pour confirmer une formule, appuyez sur la touche Entrée. La formule effectue alors le calcul et le résultat s’affiche dans la cellule. Pour voir la formule proprement dite, consultez la barre de formule située sous le ruban, ou appuyez sur la touche F2 pour passer en mode Modifier afin d’afficher la formule dans la cellule.Appuyez de nouveau sur la touche Entrée pour finaliser la formule et calculer le résultat.&#10;">
          <a:extLst>
            <a:ext uri="{FF2B5EF4-FFF2-40B4-BE49-F238E27FC236}">
              <a16:creationId xmlns:a16="http://schemas.microsoft.com/office/drawing/2014/main" id="{C81BE5AD-6A1B-42DA-A167-9A690076979F}"/>
            </a:ext>
          </a:extLst>
        </xdr:cNvPr>
        <xdr:cNvSpPr txBox="1"/>
      </xdr:nvSpPr>
      <xdr:spPr>
        <a:xfrm>
          <a:off x="469081" y="10628060"/>
          <a:ext cx="5410200" cy="1044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confirmer une formule,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formule effectue alors le calcul et le résultat s’affiche dans la cellule. Pour voir la formule proprement dite, consultez la barre de formule située sous le ruban, ou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F2</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passer en mode Modifier afin d’afficher la formule dans la cellule. Appuyez de nouveau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finaliser la formule et calculer le résultat.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478606</xdr:colOff>
      <xdr:row>56</xdr:row>
      <xdr:rowOff>158262</xdr:rowOff>
    </xdr:from>
    <xdr:to>
      <xdr:col>1</xdr:col>
      <xdr:colOff>906051</xdr:colOff>
      <xdr:row>58</xdr:row>
      <xdr:rowOff>112711</xdr:rowOff>
    </xdr:to>
    <xdr:sp macro="" textlink="">
      <xdr:nvSpPr>
        <xdr:cNvPr id="34" name="BoutonPrécédent" descr="Revenir à la feuille précédente">
          <a:hlinkClick xmlns:r="http://schemas.openxmlformats.org/officeDocument/2006/relationships" r:id="rId5" tooltip="Cliquez ici pour revenir à la feuille précédente"/>
          <a:extLst>
            <a:ext uri="{FF2B5EF4-FFF2-40B4-BE49-F238E27FC236}">
              <a16:creationId xmlns:a16="http://schemas.microsoft.com/office/drawing/2014/main" id="{41EF0B61-1590-46CD-B258-742A3A9E9830}"/>
            </a:ext>
          </a:extLst>
        </xdr:cNvPr>
        <xdr:cNvSpPr/>
      </xdr:nvSpPr>
      <xdr:spPr>
        <a:xfrm flipH="1">
          <a:off x="478606" y="1184543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3591742</xdr:colOff>
      <xdr:row>56</xdr:row>
      <xdr:rowOff>158262</xdr:rowOff>
    </xdr:from>
    <xdr:to>
      <xdr:col>1</xdr:col>
      <xdr:colOff>4866912</xdr:colOff>
      <xdr:row>58</xdr:row>
      <xdr:rowOff>112711</xdr:rowOff>
    </xdr:to>
    <xdr:sp macro="" textlink="">
      <xdr:nvSpPr>
        <xdr:cNvPr id="35"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E55A6D88-810B-4BEC-AE1A-9A29B62579F9}"/>
            </a:ext>
          </a:extLst>
        </xdr:cNvPr>
        <xdr:cNvSpPr/>
      </xdr:nvSpPr>
      <xdr:spPr>
        <a:xfrm>
          <a:off x="4439467" y="1184543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5</xdr:col>
      <xdr:colOff>488131</xdr:colOff>
      <xdr:row>6</xdr:row>
      <xdr:rowOff>114299</xdr:rowOff>
    </xdr:from>
    <xdr:to>
      <xdr:col>9</xdr:col>
      <xdr:colOff>447676</xdr:colOff>
      <xdr:row>12</xdr:row>
      <xdr:rowOff>123824</xdr:rowOff>
    </xdr:to>
    <xdr:grpSp>
      <xdr:nvGrpSpPr>
        <xdr:cNvPr id="36" name="BONUS SUPPLÉMENTAIRE" descr="BONUS SUPPLÉMENTAIRE&#10;&#10;">
          <a:extLst>
            <a:ext uri="{FF2B5EF4-FFF2-40B4-BE49-F238E27FC236}">
              <a16:creationId xmlns:a16="http://schemas.microsoft.com/office/drawing/2014/main" id="{CD5756B6-F2F5-4352-AE1B-C3185711BD5F}"/>
            </a:ext>
          </a:extLst>
        </xdr:cNvPr>
        <xdr:cNvGrpSpPr/>
      </xdr:nvGrpSpPr>
      <xdr:grpSpPr>
        <a:xfrm>
          <a:off x="9365431" y="1895474"/>
          <a:ext cx="3112320" cy="1162050"/>
          <a:chOff x="9048750" y="3743325"/>
          <a:chExt cx="3094146" cy="1153413"/>
        </a:xfrm>
      </xdr:grpSpPr>
      <xdr:sp macro="" textlink="">
        <xdr:nvSpPr>
          <xdr:cNvPr id="37" name="Étape" descr="EXTRA CREDIT&#10;You can raise a value to a power by using the carat (^) symbol, like =A1^A2. Enter it with Shift+6.&#10;">
            <a:extLst>
              <a:ext uri="{FF2B5EF4-FFF2-40B4-BE49-F238E27FC236}">
                <a16:creationId xmlns:a16="http://schemas.microsoft.com/office/drawing/2014/main" id="{961363EC-2FB0-4987-863C-78C277AC4F61}"/>
              </a:ext>
            </a:extLst>
          </xdr:cNvPr>
          <xdr:cNvSpPr txBox="1"/>
        </xdr:nvSpPr>
        <xdr:spPr>
          <a:xfrm>
            <a:off x="9648643" y="3895724"/>
            <a:ext cx="2494253" cy="1001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Pour élever une valeur à une puissance, utilisez le symbole accent circonflexe (</a:t>
            </a:r>
            <a:r>
              <a:rPr lang="fr" sz="1100" b="1" i="0" kern="1200" baseline="0">
                <a:solidFill>
                  <a:schemeClr val="dk1"/>
                </a:solidFill>
                <a:effectLst/>
                <a:latin typeface="+mn-lt"/>
                <a:ea typeface="+mn-ea"/>
                <a:cs typeface="+mn-cs"/>
              </a:rPr>
              <a:t>^</a:t>
            </a:r>
            <a:r>
              <a:rPr lang="fr" sz="1100" b="0" i="0" kern="1200" baseline="0">
                <a:solidFill>
                  <a:schemeClr val="dk1"/>
                </a:solidFill>
                <a:effectLst/>
                <a:latin typeface="+mn-lt"/>
                <a:ea typeface="+mn-ea"/>
                <a:cs typeface="+mn-cs"/>
              </a:rPr>
              <a:t>), par exemple, =C3^C4. Pour entrer ce symbole, appuyez sur </a:t>
            </a:r>
            <a:r>
              <a:rPr lang="fr" sz="1100" b="1" i="0" kern="1200" baseline="0">
                <a:solidFill>
                  <a:schemeClr val="dk1"/>
                </a:solidFill>
                <a:effectLst/>
                <a:latin typeface="+mn-lt"/>
                <a:ea typeface="+mn-ea"/>
                <a:cs typeface="+mn-cs"/>
              </a:rPr>
              <a:t>^+Espace</a:t>
            </a:r>
            <a:r>
              <a:rPr lang="fr" sz="1100" b="0" i="0" kern="1200" baseline="0">
                <a:solidFill>
                  <a:schemeClr val="dk1"/>
                </a:solidFill>
                <a:effectLst/>
                <a:latin typeface="+mn-lt"/>
                <a:ea typeface="+mn-ea"/>
                <a:cs typeface="+mn-cs"/>
              </a:rPr>
              <a:t>.</a:t>
            </a:r>
          </a:p>
        </xdr:txBody>
      </xdr:sp>
      <xdr:pic>
        <xdr:nvPicPr>
          <xdr:cNvPr id="38" name="Ruban Bonus supplémentaire" descr="Ruban décoratif">
            <a:extLst>
              <a:ext uri="{FF2B5EF4-FFF2-40B4-BE49-F238E27FC236}">
                <a16:creationId xmlns:a16="http://schemas.microsoft.com/office/drawing/2014/main" id="{1AAE0CAB-8308-4485-9C5B-7B429FFA700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9287099" y="3950551"/>
            <a:ext cx="474289" cy="439736"/>
          </a:xfrm>
          <a:prstGeom prst="rect">
            <a:avLst/>
          </a:prstGeom>
        </xdr:spPr>
      </xdr:pic>
      <xdr:sp macro="" textlink="">
        <xdr:nvSpPr>
          <xdr:cNvPr id="39" name="Flèche Bonus supplémentaire" descr="Flèche">
            <a:extLst>
              <a:ext uri="{FF2B5EF4-FFF2-40B4-BE49-F238E27FC236}">
                <a16:creationId xmlns:a16="http://schemas.microsoft.com/office/drawing/2014/main" id="{346F2524-2B53-4B0C-A6E3-B2B8D5FEF61D}"/>
              </a:ext>
            </a:extLst>
          </xdr:cNvPr>
          <xdr:cNvSpPr/>
        </xdr:nvSpPr>
        <xdr:spPr>
          <a:xfrm rot="15682076" flipH="1">
            <a:off x="9021478" y="3770597"/>
            <a:ext cx="462029" cy="407486"/>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editAs="absolute">
    <xdr:from>
      <xdr:col>0</xdr:col>
      <xdr:colOff>333375</xdr:colOff>
      <xdr:row>60</xdr:row>
      <xdr:rowOff>76199</xdr:rowOff>
    </xdr:from>
    <xdr:to>
      <xdr:col>1</xdr:col>
      <xdr:colOff>5218938</xdr:colOff>
      <xdr:row>74</xdr:row>
      <xdr:rowOff>180974</xdr:rowOff>
    </xdr:to>
    <xdr:grpSp>
      <xdr:nvGrpSpPr>
        <xdr:cNvPr id="40" name="Groupe 39">
          <a:extLst>
            <a:ext uri="{FF2B5EF4-FFF2-40B4-BE49-F238E27FC236}">
              <a16:creationId xmlns:a16="http://schemas.microsoft.com/office/drawing/2014/main" id="{AAE94620-D541-4297-AD29-FEC16D0EF99E}"/>
            </a:ext>
          </a:extLst>
        </xdr:cNvPr>
        <xdr:cNvGrpSpPr/>
      </xdr:nvGrpSpPr>
      <xdr:grpSpPr>
        <a:xfrm>
          <a:off x="333375" y="12525374"/>
          <a:ext cx="5733288" cy="2771775"/>
          <a:chOff x="350069" y="11620499"/>
          <a:chExt cx="5733288" cy="2771775"/>
        </a:xfrm>
      </xdr:grpSpPr>
      <xdr:sp macro="" textlink="">
        <xdr:nvSpPr>
          <xdr:cNvPr id="41" name="Rectangle 143">
            <a:extLst>
              <a:ext uri="{FF2B5EF4-FFF2-40B4-BE49-F238E27FC236}">
                <a16:creationId xmlns:a16="http://schemas.microsoft.com/office/drawing/2014/main" id="{9625B663-FBAF-43E8-A081-EB3114EA7083}"/>
              </a:ext>
            </a:extLst>
          </xdr:cNvPr>
          <xdr:cNvSpPr/>
        </xdr:nvSpPr>
        <xdr:spPr>
          <a:xfrm>
            <a:off x="350069" y="11620499"/>
            <a:ext cx="5733288" cy="2771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2" name="Étape" descr="Plus d’informations sur le web&#10;">
            <a:extLst>
              <a:ext uri="{FF2B5EF4-FFF2-40B4-BE49-F238E27FC236}">
                <a16:creationId xmlns:a16="http://schemas.microsoft.com/office/drawing/2014/main" id="{AC075FB2-B4D2-443B-B68B-0F1A54E9BFD3}"/>
              </a:ext>
            </a:extLst>
          </xdr:cNvPr>
          <xdr:cNvSpPr txBox="1"/>
        </xdr:nvSpPr>
        <xdr:spPr>
          <a:xfrm>
            <a:off x="572393" y="11629541"/>
            <a:ext cx="5043964" cy="415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43" name="Connecteur droit 42" descr="Ligne décorative">
            <a:extLst>
              <a:ext uri="{FF2B5EF4-FFF2-40B4-BE49-F238E27FC236}">
                <a16:creationId xmlns:a16="http://schemas.microsoft.com/office/drawing/2014/main" id="{0F99D7BF-C822-433A-94E4-2D6BCA767F0A}"/>
              </a:ext>
            </a:extLst>
          </xdr:cNvPr>
          <xdr:cNvCxnSpPr>
            <a:cxnSpLocks/>
          </xdr:cNvCxnSpPr>
        </xdr:nvCxnSpPr>
        <xdr:spPr>
          <a:xfrm>
            <a:off x="575439" y="12154546"/>
            <a:ext cx="528137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4" name="Connecteur droit 43" descr="Ligne décorative">
            <a:extLst>
              <a:ext uri="{FF2B5EF4-FFF2-40B4-BE49-F238E27FC236}">
                <a16:creationId xmlns:a16="http://schemas.microsoft.com/office/drawing/2014/main" id="{47EBE490-A1E1-48C6-8865-CBBDB8F5E0DD}"/>
              </a:ext>
            </a:extLst>
          </xdr:cNvPr>
          <xdr:cNvCxnSpPr>
            <a:cxnSpLocks/>
          </xdr:cNvCxnSpPr>
        </xdr:nvCxnSpPr>
        <xdr:spPr>
          <a:xfrm>
            <a:off x="575438" y="14248538"/>
            <a:ext cx="5285232"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555326</xdr:colOff>
      <xdr:row>63</xdr:row>
      <xdr:rowOff>103370</xdr:rowOff>
    </xdr:from>
    <xdr:to>
      <xdr:col>1</xdr:col>
      <xdr:colOff>2477523</xdr:colOff>
      <xdr:row>65</xdr:row>
      <xdr:rowOff>100143</xdr:rowOff>
    </xdr:to>
    <xdr:grpSp>
      <xdr:nvGrpSpPr>
        <xdr:cNvPr id="45" name="Groupe 44">
          <a:extLst>
            <a:ext uri="{FF2B5EF4-FFF2-40B4-BE49-F238E27FC236}">
              <a16:creationId xmlns:a16="http://schemas.microsoft.com/office/drawing/2014/main" id="{A62E35B5-06E3-45B8-871F-EC552A8C081F}"/>
            </a:ext>
          </a:extLst>
        </xdr:cNvPr>
        <xdr:cNvGrpSpPr/>
      </xdr:nvGrpSpPr>
      <xdr:grpSpPr>
        <a:xfrm>
          <a:off x="555326" y="13124045"/>
          <a:ext cx="2769922" cy="377773"/>
          <a:chOff x="552970" y="11990570"/>
          <a:chExt cx="2769922" cy="377773"/>
        </a:xfrm>
      </xdr:grpSpPr>
      <xdr:sp macro="" textlink="">
        <xdr:nvSpPr>
          <xdr:cNvPr id="46" name="Étape" descr="À propos de la fonction MOYENNE, lien hypertexte vers le web&#10;&#10;">
            <a:hlinkClick xmlns:r="http://schemas.openxmlformats.org/officeDocument/2006/relationships" r:id="rId8" tooltip="Sélectionnez ce lien pour accéder sur le web à des informations complémentaire sur l’utilisation d’Excel comme calculatrice"/>
            <a:extLst>
              <a:ext uri="{FF2B5EF4-FFF2-40B4-BE49-F238E27FC236}">
                <a16:creationId xmlns:a16="http://schemas.microsoft.com/office/drawing/2014/main" id="{BAE293EF-D6D7-43DB-88C9-E34ABABAE898}"/>
              </a:ext>
            </a:extLst>
          </xdr:cNvPr>
          <xdr:cNvSpPr txBox="1"/>
        </xdr:nvSpPr>
        <xdr:spPr>
          <a:xfrm>
            <a:off x="1002467" y="12068801"/>
            <a:ext cx="2320425" cy="26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Excel comme calculatrice</a:t>
            </a:r>
          </a:p>
        </xdr:txBody>
      </xdr:sp>
      <xdr:pic>
        <xdr:nvPicPr>
          <xdr:cNvPr id="47" name="Graphisme 22" descr="Sélectionnez ce lien pour accéder à des informations complémentaires sur le web">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3CE959CC-C8FE-4D52-BD38-B6CE01E1E5BE}"/>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52970" y="11990570"/>
            <a:ext cx="475661" cy="377773"/>
          </a:xfrm>
          <a:prstGeom prst="rect">
            <a:avLst/>
          </a:prstGeom>
        </xdr:spPr>
      </xdr:pic>
    </xdr:grpSp>
    <xdr:clientData/>
  </xdr:twoCellAnchor>
  <xdr:twoCellAnchor editAs="absolute">
    <xdr:from>
      <xdr:col>0</xdr:col>
      <xdr:colOff>555326</xdr:colOff>
      <xdr:row>65</xdr:row>
      <xdr:rowOff>108400</xdr:rowOff>
    </xdr:from>
    <xdr:to>
      <xdr:col>1</xdr:col>
      <xdr:colOff>3114675</xdr:colOff>
      <xdr:row>67</xdr:row>
      <xdr:rowOff>110760</xdr:rowOff>
    </xdr:to>
    <xdr:grpSp>
      <xdr:nvGrpSpPr>
        <xdr:cNvPr id="48" name="Groupe 47" descr="Vue d’ensemble des formules dans Excel">
          <a:extLst>
            <a:ext uri="{FF2B5EF4-FFF2-40B4-BE49-F238E27FC236}">
              <a16:creationId xmlns:a16="http://schemas.microsoft.com/office/drawing/2014/main" id="{A5EB4A9A-38B1-40D7-9D06-F005002E0E72}"/>
            </a:ext>
          </a:extLst>
        </xdr:cNvPr>
        <xdr:cNvGrpSpPr/>
      </xdr:nvGrpSpPr>
      <xdr:grpSpPr>
        <a:xfrm>
          <a:off x="555326" y="13510075"/>
          <a:ext cx="3407074" cy="383360"/>
          <a:chOff x="552970" y="12376600"/>
          <a:chExt cx="3407074" cy="383360"/>
        </a:xfrm>
      </xdr:grpSpPr>
      <xdr:sp macro="" textlink="">
        <xdr:nvSpPr>
          <xdr:cNvPr id="49" name="Étape" descr="À propos de la fonction NB, lien hypertexte vers le web&#10;">
            <a:hlinkClick xmlns:r="http://schemas.openxmlformats.org/officeDocument/2006/relationships" r:id="rId11" tooltip="Sélectionnez ce lien pour accéder sur le web à des informations complémentaires sur les formules Excel"/>
            <a:extLst>
              <a:ext uri="{FF2B5EF4-FFF2-40B4-BE49-F238E27FC236}">
                <a16:creationId xmlns:a16="http://schemas.microsoft.com/office/drawing/2014/main" id="{1AB13E56-6211-4292-A09F-61D7D703B9BD}"/>
              </a:ext>
            </a:extLst>
          </xdr:cNvPr>
          <xdr:cNvSpPr txBox="1"/>
        </xdr:nvSpPr>
        <xdr:spPr>
          <a:xfrm>
            <a:off x="1002467" y="12466356"/>
            <a:ext cx="2957577" cy="244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Vue d’ensemble des formules dans Excel</a:t>
            </a:r>
          </a:p>
        </xdr:txBody>
      </xdr:sp>
      <xdr:pic>
        <xdr:nvPicPr>
          <xdr:cNvPr id="50" name="Graphisme 22" descr="Sélectionnez ce lien pour accéder à des informations complémentaires sur le web">
            <a:hlinkClick xmlns:r="http://schemas.openxmlformats.org/officeDocument/2006/relationships" r:id="rId11" tooltip="Sélectionnez ce lien pour accéder à des informations complémentaires sur le web"/>
            <a:extLst>
              <a:ext uri="{FF2B5EF4-FFF2-40B4-BE49-F238E27FC236}">
                <a16:creationId xmlns:a16="http://schemas.microsoft.com/office/drawing/2014/main" id="{3B50AE21-A212-4BA7-8234-5DE8866A5885}"/>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52970" y="12376600"/>
            <a:ext cx="475661" cy="383360"/>
          </a:xfrm>
          <a:prstGeom prst="rect">
            <a:avLst/>
          </a:prstGeom>
        </xdr:spPr>
      </xdr:pic>
    </xdr:grpSp>
    <xdr:clientData/>
  </xdr:twoCellAnchor>
  <xdr:twoCellAnchor editAs="absolute">
    <xdr:from>
      <xdr:col>0</xdr:col>
      <xdr:colOff>555326</xdr:colOff>
      <xdr:row>67</xdr:row>
      <xdr:rowOff>127198</xdr:rowOff>
    </xdr:from>
    <xdr:to>
      <xdr:col>1</xdr:col>
      <xdr:colOff>2412180</xdr:colOff>
      <xdr:row>69</xdr:row>
      <xdr:rowOff>123971</xdr:rowOff>
    </xdr:to>
    <xdr:grpSp>
      <xdr:nvGrpSpPr>
        <xdr:cNvPr id="51" name="Groupe 50">
          <a:extLst>
            <a:ext uri="{FF2B5EF4-FFF2-40B4-BE49-F238E27FC236}">
              <a16:creationId xmlns:a16="http://schemas.microsoft.com/office/drawing/2014/main" id="{8C147D28-DE29-4B3E-9310-76ED694A69C1}"/>
            </a:ext>
          </a:extLst>
        </xdr:cNvPr>
        <xdr:cNvGrpSpPr/>
      </xdr:nvGrpSpPr>
      <xdr:grpSpPr>
        <a:xfrm>
          <a:off x="555326" y="13909873"/>
          <a:ext cx="2704579" cy="377773"/>
          <a:chOff x="552970" y="12776398"/>
          <a:chExt cx="2704579" cy="377773"/>
        </a:xfrm>
      </xdr:grpSpPr>
      <xdr:sp macro="" textlink="">
        <xdr:nvSpPr>
          <xdr:cNvPr id="52" name="Étape" descr="Utiliser Excel comme calculatrice, lien hypertexte vers le web&#10;">
            <a:hlinkClick xmlns:r="http://schemas.openxmlformats.org/officeDocument/2006/relationships" r:id="rId12" tooltip="Sélectionnez ce lien pour accéder sur le web à des informations complémentaires sur les fonctions Excel par catégorie"/>
            <a:extLst>
              <a:ext uri="{FF2B5EF4-FFF2-40B4-BE49-F238E27FC236}">
                <a16:creationId xmlns:a16="http://schemas.microsoft.com/office/drawing/2014/main" id="{F3DDB982-2DE0-495E-8AAE-ADA982430841}"/>
              </a:ext>
            </a:extLst>
          </xdr:cNvPr>
          <xdr:cNvSpPr txBox="1"/>
        </xdr:nvSpPr>
        <xdr:spPr>
          <a:xfrm>
            <a:off x="1002466" y="12860578"/>
            <a:ext cx="2255083" cy="249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 catégorie) </a:t>
            </a:r>
          </a:p>
        </xdr:txBody>
      </xdr:sp>
      <xdr:pic>
        <xdr:nvPicPr>
          <xdr:cNvPr id="53" name="Graphisme 155" descr="Sélectionnez ce lien pour accéder à des informations complémentaires sur le web">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1F1CFEAF-9331-4E8A-B051-7E2A9105464D}"/>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52970" y="12776398"/>
            <a:ext cx="475661" cy="377773"/>
          </a:xfrm>
          <a:prstGeom prst="rect">
            <a:avLst/>
          </a:prstGeom>
        </xdr:spPr>
      </xdr:pic>
    </xdr:grpSp>
    <xdr:clientData/>
  </xdr:twoCellAnchor>
  <xdr:twoCellAnchor editAs="absolute">
    <xdr:from>
      <xdr:col>0</xdr:col>
      <xdr:colOff>567509</xdr:colOff>
      <xdr:row>69</xdr:row>
      <xdr:rowOff>139057</xdr:rowOff>
    </xdr:from>
    <xdr:to>
      <xdr:col>1</xdr:col>
      <xdr:colOff>3057525</xdr:colOff>
      <xdr:row>71</xdr:row>
      <xdr:rowOff>141417</xdr:rowOff>
    </xdr:to>
    <xdr:grpSp>
      <xdr:nvGrpSpPr>
        <xdr:cNvPr id="54" name="Groupe 156">
          <a:extLst>
            <a:ext uri="{FF2B5EF4-FFF2-40B4-BE49-F238E27FC236}">
              <a16:creationId xmlns:a16="http://schemas.microsoft.com/office/drawing/2014/main" id="{83A9422D-B00B-440D-8F59-F5FBCBC108FD}"/>
            </a:ext>
          </a:extLst>
        </xdr:cNvPr>
        <xdr:cNvGrpSpPr/>
      </xdr:nvGrpSpPr>
      <xdr:grpSpPr>
        <a:xfrm>
          <a:off x="567509" y="14302732"/>
          <a:ext cx="3337741" cy="383360"/>
          <a:chOff x="565153" y="13169257"/>
          <a:chExt cx="3337741" cy="383360"/>
        </a:xfrm>
      </xdr:grpSpPr>
      <xdr:sp macro="" textlink="">
        <xdr:nvSpPr>
          <xdr:cNvPr id="55" name="Étape" descr="Formation Excel gratuite en ligne, lien hypertexte vers le web&#10;">
            <a:hlinkClick xmlns:r="http://schemas.openxmlformats.org/officeDocument/2006/relationships" r:id="rId13" tooltip="Sélectionnez ce lien pour accéder sur le web à des informations complémentaires sur les fonctions Excel (par ordre alphabétique)"/>
            <a:extLst>
              <a:ext uri="{FF2B5EF4-FFF2-40B4-BE49-F238E27FC236}">
                <a16:creationId xmlns:a16="http://schemas.microsoft.com/office/drawing/2014/main" id="{4ED622EA-FBFB-4192-B7C8-9A37CC7841B7}"/>
              </a:ext>
            </a:extLst>
          </xdr:cNvPr>
          <xdr:cNvSpPr txBox="1"/>
        </xdr:nvSpPr>
        <xdr:spPr>
          <a:xfrm>
            <a:off x="1014649" y="13253084"/>
            <a:ext cx="2888245" cy="26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 ordre alphabétique) </a:t>
            </a:r>
          </a:p>
        </xdr:txBody>
      </xdr:sp>
      <xdr:pic>
        <xdr:nvPicPr>
          <xdr:cNvPr id="56" name="Graphisme 22" descr="Sélectionnez ce lien pour accéder à des informations complémentaires sur le web">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CDA6F01D-E7D8-44FF-9606-C7CE912FF84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65153" y="13169257"/>
            <a:ext cx="475661" cy="383360"/>
          </a:xfrm>
          <a:prstGeom prst="rect">
            <a:avLst/>
          </a:prstGeom>
        </xdr:spPr>
      </xdr:pic>
    </xdr:grpSp>
    <xdr:clientData/>
  </xdr:twoCellAnchor>
  <xdr:twoCellAnchor editAs="absolute">
    <xdr:from>
      <xdr:col>0</xdr:col>
      <xdr:colOff>577034</xdr:colOff>
      <xdr:row>71</xdr:row>
      <xdr:rowOff>139057</xdr:rowOff>
    </xdr:from>
    <xdr:to>
      <xdr:col>1</xdr:col>
      <xdr:colOff>2695574</xdr:colOff>
      <xdr:row>73</xdr:row>
      <xdr:rowOff>141417</xdr:rowOff>
    </xdr:to>
    <xdr:grpSp>
      <xdr:nvGrpSpPr>
        <xdr:cNvPr id="57" name="Groupe 56">
          <a:extLst>
            <a:ext uri="{FF2B5EF4-FFF2-40B4-BE49-F238E27FC236}">
              <a16:creationId xmlns:a16="http://schemas.microsoft.com/office/drawing/2014/main" id="{D97AADB1-9BD1-4D14-A391-FD5075CA841A}"/>
            </a:ext>
          </a:extLst>
        </xdr:cNvPr>
        <xdr:cNvGrpSpPr/>
      </xdr:nvGrpSpPr>
      <xdr:grpSpPr>
        <a:xfrm>
          <a:off x="577034" y="14683732"/>
          <a:ext cx="2966265" cy="383360"/>
          <a:chOff x="574678" y="13550257"/>
          <a:chExt cx="2966265" cy="383360"/>
        </a:xfrm>
      </xdr:grpSpPr>
      <xdr:sp macro="" textlink="">
        <xdr:nvSpPr>
          <xdr:cNvPr id="58" name="Étape" descr="Formation Excel gratuite en ligne, lien hypertexte vers le web&#10;">
            <a:hlinkClick xmlns:r="http://schemas.openxmlformats.org/officeDocument/2006/relationships" r:id="rId14" tooltip="Sélectionnez pour accéder sur le web à une formation en ligne gratuite sur Excel"/>
            <a:extLst>
              <a:ext uri="{FF2B5EF4-FFF2-40B4-BE49-F238E27FC236}">
                <a16:creationId xmlns:a16="http://schemas.microsoft.com/office/drawing/2014/main" id="{840D8D81-9CEB-4E57-9E46-79A6E73F0404}"/>
              </a:ext>
            </a:extLst>
          </xdr:cNvPr>
          <xdr:cNvSpPr txBox="1"/>
        </xdr:nvSpPr>
        <xdr:spPr>
          <a:xfrm>
            <a:off x="1024174" y="13634084"/>
            <a:ext cx="2516769" cy="26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59" name="Graphisme 22" descr="Sélectionnez ce lien pour accéder à des informations complémentaires sur le web">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2C536E37-0F85-4A01-A89C-8288E7261DC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4678" y="13550257"/>
            <a:ext cx="475661" cy="383360"/>
          </a:xfrm>
          <a:prstGeom prst="rect">
            <a:avLst/>
          </a:prstGeom>
        </xdr:spPr>
      </xdr:pic>
    </xdr:grpSp>
    <xdr:clientData/>
  </xdr:twoCellAnchor>
  <xdr:twoCellAnchor editAs="absolute">
    <xdr:from>
      <xdr:col>1</xdr:col>
      <xdr:colOff>5262563</xdr:colOff>
      <xdr:row>4</xdr:row>
      <xdr:rowOff>14044</xdr:rowOff>
    </xdr:from>
    <xdr:to>
      <xdr:col>4</xdr:col>
      <xdr:colOff>1123949</xdr:colOff>
      <xdr:row>14</xdr:row>
      <xdr:rowOff>85724</xdr:rowOff>
    </xdr:to>
    <xdr:grpSp>
      <xdr:nvGrpSpPr>
        <xdr:cNvPr id="60" name="Groupe 59">
          <a:extLst>
            <a:ext uri="{FF2B5EF4-FFF2-40B4-BE49-F238E27FC236}">
              <a16:creationId xmlns:a16="http://schemas.microsoft.com/office/drawing/2014/main" id="{DDF785D7-9500-4D21-945A-C0D12662A68A}"/>
            </a:ext>
          </a:extLst>
        </xdr:cNvPr>
        <xdr:cNvGrpSpPr/>
      </xdr:nvGrpSpPr>
      <xdr:grpSpPr>
        <a:xfrm>
          <a:off x="6110288" y="1395169"/>
          <a:ext cx="2690811" cy="2005255"/>
          <a:chOff x="6284692" y="1196834"/>
          <a:chExt cx="2671429" cy="1970328"/>
        </a:xfrm>
      </xdr:grpSpPr>
      <xdr:grpSp>
        <xdr:nvGrpSpPr>
          <xdr:cNvPr id="61" name="Lignes d’accolade">
            <a:extLst>
              <a:ext uri="{FF2B5EF4-FFF2-40B4-BE49-F238E27FC236}">
                <a16:creationId xmlns:a16="http://schemas.microsoft.com/office/drawing/2014/main" id="{284CDD69-AAC2-4241-8F70-2DC689393FE8}"/>
              </a:ext>
            </a:extLst>
          </xdr:cNvPr>
          <xdr:cNvGrpSpPr/>
        </xdr:nvGrpSpPr>
        <xdr:grpSpPr>
          <a:xfrm rot="5886532">
            <a:off x="6845324" y="964141"/>
            <a:ext cx="563095" cy="1028482"/>
            <a:chOff x="9786973" y="922562"/>
            <a:chExt cx="273326" cy="874890"/>
          </a:xfrm>
        </xdr:grpSpPr>
        <xdr:sp macro="" textlink="">
          <xdr:nvSpPr>
            <xdr:cNvPr id="64" name="Une autre ligne d’accolade" descr="Ligne d’accolade">
              <a:extLst>
                <a:ext uri="{FF2B5EF4-FFF2-40B4-BE49-F238E27FC236}">
                  <a16:creationId xmlns:a16="http://schemas.microsoft.com/office/drawing/2014/main" id="{14ABF80B-59DD-4B15-9001-D2E962E20ADF}"/>
                </a:ext>
              </a:extLst>
            </xdr:cNvPr>
            <xdr:cNvSpPr/>
          </xdr:nvSpPr>
          <xdr:spPr>
            <a:xfrm>
              <a:off x="9786973" y="922562"/>
              <a:ext cx="273326" cy="348505"/>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65" name="Ligne d’accolade" descr="Ligne d’accolade&#10;">
              <a:extLst>
                <a:ext uri="{FF2B5EF4-FFF2-40B4-BE49-F238E27FC236}">
                  <a16:creationId xmlns:a16="http://schemas.microsoft.com/office/drawing/2014/main" id="{1597F184-8332-4A4B-BBFD-A97F08D8BB0D}"/>
                </a:ext>
              </a:extLst>
            </xdr:cNvPr>
            <xdr:cNvSpPr/>
          </xdr:nvSpPr>
          <xdr:spPr>
            <a:xfrm>
              <a:off x="9898875" y="1254854"/>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62" name="Étoiles" descr="Étoiles">
            <a:extLst>
              <a:ext uri="{FF2B5EF4-FFF2-40B4-BE49-F238E27FC236}">
                <a16:creationId xmlns:a16="http://schemas.microsoft.com/office/drawing/2014/main" id="{B180F94B-D708-4C7B-A906-A59DAB07B822}"/>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6284692" y="1993317"/>
            <a:ext cx="323250" cy="337815"/>
          </a:xfrm>
          <a:prstGeom prst="rect">
            <a:avLst/>
          </a:prstGeom>
        </xdr:spPr>
      </xdr:pic>
      <xdr:sp macro="" textlink="">
        <xdr:nvSpPr>
          <xdr:cNvPr id="63" name="Instructions" descr="CHECK THIS OUT&#10;Change the numbers here, and watch the formula results automatically change.&#10;">
            <a:extLst>
              <a:ext uri="{FF2B5EF4-FFF2-40B4-BE49-F238E27FC236}">
                <a16:creationId xmlns:a16="http://schemas.microsoft.com/office/drawing/2014/main" id="{600DED71-A384-4B09-9712-52F676CF9B8A}"/>
              </a:ext>
            </a:extLst>
          </xdr:cNvPr>
          <xdr:cNvSpPr txBox="1"/>
        </xdr:nvSpPr>
        <xdr:spPr>
          <a:xfrm>
            <a:off x="6667107" y="1893683"/>
            <a:ext cx="2289014" cy="1273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rtl="0"/>
            <a:r>
              <a:rPr lang="fr" sz="1100" kern="1200">
                <a:solidFill>
                  <a:schemeClr val="dk1"/>
                </a:solidFill>
                <a:effectLst/>
                <a:latin typeface="+mn-lt"/>
                <a:ea typeface="+mn-ea"/>
                <a:cs typeface="+mn-cs"/>
              </a:rPr>
              <a:t>Modifiez</a:t>
            </a:r>
            <a:r>
              <a:rPr lang="fr" sz="1100" kern="1200" baseline="0">
                <a:solidFill>
                  <a:schemeClr val="dk1"/>
                </a:solidFill>
                <a:effectLst/>
                <a:latin typeface="+mn-lt"/>
                <a:ea typeface="+mn-ea"/>
                <a:cs typeface="+mn-cs"/>
              </a:rPr>
              <a:t> ces chiffres et vous verrez que les résultats de la formule </a:t>
            </a:r>
            <a:r>
              <a:rPr lang="fr" sz="1100" u="none" kern="1200" baseline="0">
                <a:solidFill>
                  <a:schemeClr val="dk1"/>
                </a:solidFill>
                <a:effectLst/>
                <a:latin typeface="+mn-lt"/>
                <a:ea typeface="+mn-ea"/>
                <a:cs typeface="+mn-cs"/>
              </a:rPr>
              <a:t>changent</a:t>
            </a:r>
            <a:r>
              <a:rPr lang="fr" sz="1100" kern="1200" baseline="0">
                <a:solidFill>
                  <a:schemeClr val="dk1"/>
                </a:solidFill>
                <a:effectLst/>
                <a:latin typeface="+mn-lt"/>
                <a:ea typeface="+mn-ea"/>
                <a:cs typeface="+mn-cs"/>
              </a:rPr>
              <a:t> automatiquement.</a:t>
            </a:r>
            <a:endParaRPr lang="en-US" sz="1100">
              <a:effectLst/>
            </a:endParaRPr>
          </a:p>
        </xdr:txBody>
      </xdr:sp>
    </xdr:grpSp>
    <xdr:clientData/>
  </xdr:twoCellAnchor>
  <xdr:twoCellAnchor editAs="absolute">
    <xdr:from>
      <xdr:col>6</xdr:col>
      <xdr:colOff>575980</xdr:colOff>
      <xdr:row>25</xdr:row>
      <xdr:rowOff>129775</xdr:rowOff>
    </xdr:from>
    <xdr:to>
      <xdr:col>13</xdr:col>
      <xdr:colOff>409576</xdr:colOff>
      <xdr:row>38</xdr:row>
      <xdr:rowOff>76200</xdr:rowOff>
    </xdr:to>
    <xdr:grpSp>
      <xdr:nvGrpSpPr>
        <xdr:cNvPr id="66" name="BON À SAVOIR" descr="BON À SAVOIR&#10;&#10;">
          <a:extLst>
            <a:ext uri="{FF2B5EF4-FFF2-40B4-BE49-F238E27FC236}">
              <a16:creationId xmlns:a16="http://schemas.microsoft.com/office/drawing/2014/main" id="{A1805C97-C1C6-40D2-8532-A412344E723E}"/>
            </a:ext>
          </a:extLst>
        </xdr:cNvPr>
        <xdr:cNvGrpSpPr/>
      </xdr:nvGrpSpPr>
      <xdr:grpSpPr>
        <a:xfrm>
          <a:off x="10501030" y="5768575"/>
          <a:ext cx="4377021" cy="2565800"/>
          <a:chOff x="7053810" y="15226304"/>
          <a:chExt cx="4333341" cy="2216200"/>
        </a:xfrm>
      </xdr:grpSpPr>
      <xdr:sp macro="" textlink="">
        <xdr:nvSpPr>
          <xdr:cNvPr id="67" name="Étape" descr="GOOD TO KNOW&#10;Constants are values that you enter in cells or formulas. While =10+20 might calculate the same as =A1+B1, constants aren't a good practice. Why? Because you can't easily see the constant without selecting the cell and looking for it. That can make it hard to change later. It's much easier to put your constants in cells, where they can be easily adjusted, and referenced in your formulas.&#10;&#10;For example: Select the yellow cell with 12 below. You'll see we used the SUM function with a range of cells. We didn't type in &quot;4&quot; or &quot;8&quot; directly into the formula. &#10;">
            <a:extLst>
              <a:ext uri="{FF2B5EF4-FFF2-40B4-BE49-F238E27FC236}">
                <a16:creationId xmlns:a16="http://schemas.microsoft.com/office/drawing/2014/main" id="{D73408BC-2283-416F-8F62-B9B1890391C6}"/>
              </a:ext>
            </a:extLst>
          </xdr:cNvPr>
          <xdr:cNvSpPr txBox="1"/>
        </xdr:nvSpPr>
        <xdr:spPr>
          <a:xfrm>
            <a:off x="7377112" y="15262898"/>
            <a:ext cx="4010039" cy="2179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Les constantes sont des valeurs que vous entrez dans des cellules ou dans des formules. Même si =10+20 permet d’effectuer le même calcul que =A1+B1, nous vous déconseillons d’utiliser des constantes. Pourquoi ? Parce qu’une constante n’est pas facile à voir sans rechercher et sélectionner la cellule correspondante. Cela peut rendre les modifications ultérieures difficiles. Il est préférable de placer vos constantes dans des cellules, où elles peuvent facilement être ajustées et référencées dans vos formules.</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fr" sz="1100" b="0" i="0" kern="1200" baseline="0">
                <a:solidFill>
                  <a:schemeClr val="dk1"/>
                </a:solidFill>
                <a:effectLst/>
                <a:latin typeface="+mn-lt"/>
                <a:ea typeface="+mn-ea"/>
                <a:cs typeface="+mn-cs"/>
              </a:rPr>
              <a:t>Par exemple : sélectionnez la cellule jaune comportant le nombre </a:t>
            </a:r>
            <a:r>
              <a:rPr lang="fr" sz="1100" b="1" i="0" kern="1200" baseline="0">
                <a:solidFill>
                  <a:schemeClr val="dk1"/>
                </a:solidFill>
                <a:effectLst/>
                <a:latin typeface="+mn-lt"/>
                <a:ea typeface="+mn-ea"/>
                <a:cs typeface="+mn-cs"/>
              </a:rPr>
              <a:t>12</a:t>
            </a:r>
            <a:r>
              <a:rPr lang="fr" sz="1100" b="0" i="0" kern="1200" baseline="0">
                <a:solidFill>
                  <a:schemeClr val="dk1"/>
                </a:solidFill>
                <a:effectLst/>
                <a:latin typeface="+mn-lt"/>
                <a:ea typeface="+mn-ea"/>
                <a:cs typeface="+mn-cs"/>
              </a:rPr>
              <a:t> ci-dessous. Vous pouvez constater que nous avons utilisé la fonction </a:t>
            </a:r>
            <a:r>
              <a:rPr lang="fr" sz="1100" b="1" i="0" kern="1200" baseline="0">
                <a:solidFill>
                  <a:schemeClr val="dk1"/>
                </a:solidFill>
                <a:effectLst/>
                <a:latin typeface="+mn-lt"/>
                <a:ea typeface="+mn-ea"/>
                <a:cs typeface="+mn-cs"/>
              </a:rPr>
              <a:t>SOMME</a:t>
            </a:r>
            <a:r>
              <a:rPr lang="fr" sz="1100" b="0" i="0" kern="1200" baseline="0">
                <a:solidFill>
                  <a:schemeClr val="dk1"/>
                </a:solidFill>
                <a:effectLst/>
                <a:latin typeface="+mn-lt"/>
                <a:ea typeface="+mn-ea"/>
                <a:cs typeface="+mn-cs"/>
              </a:rPr>
              <a:t> suivie d’une plage de cellules. Nous n’avons pas directement entré « 4 » ou « 8 » dans la formule. </a:t>
            </a:r>
          </a:p>
        </xdr:txBody>
      </xdr:sp>
      <xdr:pic>
        <xdr:nvPicPr>
          <xdr:cNvPr id="68" name="Graphisme 147" descr="Lunettes">
            <a:extLst>
              <a:ext uri="{FF2B5EF4-FFF2-40B4-BE49-F238E27FC236}">
                <a16:creationId xmlns:a16="http://schemas.microsoft.com/office/drawing/2014/main" id="{2F327EF1-9EFB-4B95-BCB4-E95F1F03678F}"/>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7053810" y="15226304"/>
            <a:ext cx="323347" cy="349115"/>
          </a:xfrm>
          <a:prstGeom prst="rect">
            <a:avLst/>
          </a:prstGeom>
        </xdr:spPr>
      </xdr:pic>
    </xdr:grpSp>
    <xdr:clientData/>
  </xdr:twoCellAnchor>
  <xdr:twoCellAnchor editAs="oneCell">
    <xdr:from>
      <xdr:col>1</xdr:col>
      <xdr:colOff>5400675</xdr:colOff>
      <xdr:row>47</xdr:row>
      <xdr:rowOff>32760</xdr:rowOff>
    </xdr:from>
    <xdr:to>
      <xdr:col>11</xdr:col>
      <xdr:colOff>456268</xdr:colOff>
      <xdr:row>59</xdr:row>
      <xdr:rowOff>175331</xdr:rowOff>
    </xdr:to>
    <xdr:pic>
      <xdr:nvPicPr>
        <xdr:cNvPr id="69" name="Image 4" descr="Lorsque vous utilisez des fonctions dans Excel, vous commencez par le nom de la fonction, par exemple =SOMME, puis vous insérez une parenthèse ouvrante. Vous pouvez ensuite ajouter des arguments ou des plages de fonction, et vous pouvez séparer plusieurs arguments ou plages par des virgules. Dans cet exemple, nous additionnons deux plages à l’aide de la formule =SOMME(A1:A10;C1:C10).">
          <a:extLst>
            <a:ext uri="{FF2B5EF4-FFF2-40B4-BE49-F238E27FC236}">
              <a16:creationId xmlns:a16="http://schemas.microsoft.com/office/drawing/2014/main" id="{ACFFAB0E-F71A-4587-A546-49DC0F3D730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6248400" y="10005435"/>
          <a:ext cx="7457143" cy="2428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342900</xdr:colOff>
      <xdr:row>71</xdr:row>
      <xdr:rowOff>171450</xdr:rowOff>
    </xdr:from>
    <xdr:to>
      <xdr:col>1</xdr:col>
      <xdr:colOff>5228463</xdr:colOff>
      <xdr:row>90</xdr:row>
      <xdr:rowOff>47625</xdr:rowOff>
    </xdr:to>
    <xdr:grpSp>
      <xdr:nvGrpSpPr>
        <xdr:cNvPr id="2" name="Plus d’informations sur le web" descr="More information on the web, contains links to the web&#10;Back to top&#10;Next step">
          <a:hlinkClick xmlns:r="http://schemas.openxmlformats.org/officeDocument/2006/relationships" r:id="rId1" tooltip="Cliquez ici pour passer à la feuille de calcul suivante"/>
          <a:extLst>
            <a:ext uri="{FF2B5EF4-FFF2-40B4-BE49-F238E27FC236}">
              <a16:creationId xmlns:a16="http://schemas.microsoft.com/office/drawing/2014/main" id="{D3C5CEBE-77DF-4946-A97E-CD5623D5FBA5}"/>
            </a:ext>
          </a:extLst>
        </xdr:cNvPr>
        <xdr:cNvGrpSpPr/>
      </xdr:nvGrpSpPr>
      <xdr:grpSpPr>
        <a:xfrm>
          <a:off x="342900" y="14268450"/>
          <a:ext cx="5733288" cy="3495675"/>
          <a:chOff x="323850" y="16837043"/>
          <a:chExt cx="5737224" cy="3349188"/>
        </a:xfrm>
      </xdr:grpSpPr>
      <xdr:sp macro="" textlink="">
        <xdr:nvSpPr>
          <xdr:cNvPr id="3" name="Rectangle 180">
            <a:extLst>
              <a:ext uri="{FF2B5EF4-FFF2-40B4-BE49-F238E27FC236}">
                <a16:creationId xmlns:a16="http://schemas.microsoft.com/office/drawing/2014/main" id="{E7252BB6-5334-4E70-BC0D-4BD64B9E24E9}"/>
              </a:ext>
            </a:extLst>
          </xdr:cNvPr>
          <xdr:cNvSpPr/>
        </xdr:nvSpPr>
        <xdr:spPr>
          <a:xfrm>
            <a:off x="323850" y="16837043"/>
            <a:ext cx="5737224" cy="334918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 name="Étape" descr="Plus d’informations sur le web&#10;">
            <a:extLst>
              <a:ext uri="{FF2B5EF4-FFF2-40B4-BE49-F238E27FC236}">
                <a16:creationId xmlns:a16="http://schemas.microsoft.com/office/drawing/2014/main" id="{3BFC4A1A-D1EE-435F-8F86-F3B11F258C27}"/>
              </a:ext>
            </a:extLst>
          </xdr:cNvPr>
          <xdr:cNvSpPr txBox="1"/>
        </xdr:nvSpPr>
        <xdr:spPr>
          <a:xfrm>
            <a:off x="546067" y="16955740"/>
            <a:ext cx="5257825" cy="47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5" name="Connecteur droit 4" descr="Ligne décorative">
            <a:extLst>
              <a:ext uri="{FF2B5EF4-FFF2-40B4-BE49-F238E27FC236}">
                <a16:creationId xmlns:a16="http://schemas.microsoft.com/office/drawing/2014/main" id="{86285A6B-ED22-4531-B05D-BB4C3F75B526}"/>
              </a:ext>
            </a:extLst>
          </xdr:cNvPr>
          <xdr:cNvCxnSpPr>
            <a:cxnSpLocks/>
          </xdr:cNvCxnSpPr>
        </xdr:nvCxnSpPr>
        <xdr:spPr>
          <a:xfrm>
            <a:off x="546067" y="17444103"/>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6" name="Bouton Suivant" descr="Retour au début, lien hypertexte vers la cellule A1">
            <a:hlinkClick xmlns:r="http://schemas.openxmlformats.org/officeDocument/2006/relationships" r:id="rId1" tooltip="Sélectionnez pour revenir à la cellule A1 de cette feuille de calcul"/>
            <a:extLst>
              <a:ext uri="{FF2B5EF4-FFF2-40B4-BE49-F238E27FC236}">
                <a16:creationId xmlns:a16="http://schemas.microsoft.com/office/drawing/2014/main" id="{40BA2DE4-5ED4-49BD-ACE4-61D9FA872E28}"/>
              </a:ext>
            </a:extLst>
          </xdr:cNvPr>
          <xdr:cNvSpPr/>
        </xdr:nvSpPr>
        <xdr:spPr>
          <a:xfrm>
            <a:off x="558774" y="19485025"/>
            <a:ext cx="2764342" cy="523755"/>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Retour au début</a:t>
            </a:r>
          </a:p>
        </xdr:txBody>
      </xdr:sp>
      <xdr:cxnSp macro="">
        <xdr:nvCxnSpPr>
          <xdr:cNvPr id="7" name="Connecteur droit 6" descr="Ligne décorative">
            <a:extLst>
              <a:ext uri="{FF2B5EF4-FFF2-40B4-BE49-F238E27FC236}">
                <a16:creationId xmlns:a16="http://schemas.microsoft.com/office/drawing/2014/main" id="{3101FAC0-D956-4709-BE5E-E83F97133D44}"/>
              </a:ext>
            </a:extLst>
          </xdr:cNvPr>
          <xdr:cNvCxnSpPr>
            <a:cxnSpLocks/>
          </xdr:cNvCxnSpPr>
        </xdr:nvCxnSpPr>
        <xdr:spPr>
          <a:xfrm>
            <a:off x="546067" y="19391758"/>
            <a:ext cx="5254651"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8" name="Bouton Suivant" descr="Bouton Étape suivante, lien hypertexte vers la feuille de calcul suivante">
            <a:hlinkClick xmlns:r="http://schemas.openxmlformats.org/officeDocument/2006/relationships" r:id="rId2" tooltip="Cliquez ici pour passer à la feuille de calcul suivante"/>
            <a:extLst>
              <a:ext uri="{FF2B5EF4-FFF2-40B4-BE49-F238E27FC236}">
                <a16:creationId xmlns:a16="http://schemas.microsoft.com/office/drawing/2014/main" id="{12D70762-3B00-4013-A4DD-C57D916273B2}"/>
              </a:ext>
            </a:extLst>
          </xdr:cNvPr>
          <xdr:cNvSpPr/>
        </xdr:nvSpPr>
        <xdr:spPr>
          <a:xfrm>
            <a:off x="4431943" y="19669174"/>
            <a:ext cx="1381482" cy="342142"/>
          </a:xfrm>
          <a:prstGeom prst="rightArrowCallout">
            <a:avLst>
              <a:gd name="adj1" fmla="val 32829"/>
              <a:gd name="adj2" fmla="val 31524"/>
              <a:gd name="adj3" fmla="val 25000"/>
              <a:gd name="adj4" fmla="val 8911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sp macro="" textlink="">
        <xdr:nvSpPr>
          <xdr:cNvPr id="9" name="Étape" descr="À propos de la fonction SOMME, lien hypertexte vers le web&#10;&#10;">
            <a:hlinkClick xmlns:r="http://schemas.openxmlformats.org/officeDocument/2006/relationships" r:id="rId3" tooltip="Sélectionnez ce lien pour accéder sur le web à des informations complémentaires sur la fonction SOMME"/>
            <a:extLst>
              <a:ext uri="{FF2B5EF4-FFF2-40B4-BE49-F238E27FC236}">
                <a16:creationId xmlns:a16="http://schemas.microsoft.com/office/drawing/2014/main" id="{E14B7396-0AAE-475A-A859-24E1C2C98B7C}"/>
              </a:ext>
            </a:extLst>
          </xdr:cNvPr>
          <xdr:cNvSpPr txBox="1"/>
        </xdr:nvSpPr>
        <xdr:spPr>
          <a:xfrm>
            <a:off x="1003908" y="17606489"/>
            <a:ext cx="2770360" cy="303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0" name="Graphisme 22" descr="Flèche">
            <a:hlinkClick xmlns:r="http://schemas.openxmlformats.org/officeDocument/2006/relationships" r:id="rId3" tooltip="Sélectionnez ce lien pour accéder à des informations complémentaires sur le web"/>
            <a:extLst>
              <a:ext uri="{FF2B5EF4-FFF2-40B4-BE49-F238E27FC236}">
                <a16:creationId xmlns:a16="http://schemas.microsoft.com/office/drawing/2014/main" id="{E6215E14-4224-4BDB-8D65-FCA4FE9B25F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517562"/>
            <a:ext cx="495829" cy="429422"/>
          </a:xfrm>
          <a:prstGeom prst="rect">
            <a:avLst/>
          </a:prstGeom>
        </xdr:spPr>
      </xdr:pic>
      <xdr:sp macro="" textlink="">
        <xdr:nvSpPr>
          <xdr:cNvPr id="11" name="Étape" descr="À propos de l’utilisation de la fonctionnalité Somme automatique pour additionner des nombres, lien hypertexte vers le web&#10;">
            <a:hlinkClick xmlns:r="http://schemas.openxmlformats.org/officeDocument/2006/relationships" r:id="rId6" tooltip="Sélectionnez ce lien pour accéder sur le web à des informations complémentaires sur l’utilisation de la fonctionnalité Somme automatique pour additionner des nombres"/>
            <a:extLst>
              <a:ext uri="{FF2B5EF4-FFF2-40B4-BE49-F238E27FC236}">
                <a16:creationId xmlns:a16="http://schemas.microsoft.com/office/drawing/2014/main" id="{A2926FBB-802A-423D-836D-8A0BECB177F2}"/>
              </a:ext>
            </a:extLst>
          </xdr:cNvPr>
          <xdr:cNvSpPr txBox="1"/>
        </xdr:nvSpPr>
        <xdr:spPr>
          <a:xfrm>
            <a:off x="1003908" y="18058397"/>
            <a:ext cx="4752920" cy="277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spc="-3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la fonctionnalité Somme automatique</a:t>
            </a:r>
            <a:r>
              <a:rPr lang="fr" sz="1100" u="sng" kern="0" spc="-3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additionner des nombres</a:t>
            </a:r>
            <a:endParaRPr lang="en-US" sz="1100" u="sng" kern="0" spc="-3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2" name="Graphisme 22" descr="Flèche">
            <a:hlinkClick xmlns:r="http://schemas.openxmlformats.org/officeDocument/2006/relationships" r:id="rId6" tooltip="Sélectionnez ce lien pour accéder à des informations complémentaires sur le web"/>
            <a:extLst>
              <a:ext uri="{FF2B5EF4-FFF2-40B4-BE49-F238E27FC236}">
                <a16:creationId xmlns:a16="http://schemas.microsoft.com/office/drawing/2014/main" id="{2BE52F14-77A0-4746-A433-7E906C0DF2D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7956370"/>
            <a:ext cx="495829" cy="435772"/>
          </a:xfrm>
          <a:prstGeom prst="rect">
            <a:avLst/>
          </a:prstGeom>
        </xdr:spPr>
      </xdr:pic>
      <xdr:sp macro="" textlink="">
        <xdr:nvSpPr>
          <xdr:cNvPr id="13" name="Étape" descr="À propos de la fonction NB, lien hypertexte vers le web&#10;">
            <a:hlinkClick xmlns:r="http://schemas.openxmlformats.org/officeDocument/2006/relationships" r:id="rId7" tooltip="Sélectionnez ce lien pour accéder sur le web à des informations complémentaires sur la fonction NB"/>
            <a:extLst>
              <a:ext uri="{FF2B5EF4-FFF2-40B4-BE49-F238E27FC236}">
                <a16:creationId xmlns:a16="http://schemas.microsoft.com/office/drawing/2014/main" id="{B9399163-C080-42E6-9CB5-1C99BD8625E9}"/>
              </a:ext>
            </a:extLst>
          </xdr:cNvPr>
          <xdr:cNvSpPr txBox="1"/>
        </xdr:nvSpPr>
        <xdr:spPr>
          <a:xfrm>
            <a:off x="1003907" y="18506516"/>
            <a:ext cx="2560666" cy="284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4" name="Graphisme 22" descr="Flèche">
            <a:hlinkClick xmlns:r="http://schemas.openxmlformats.org/officeDocument/2006/relationships" r:id="rId7" tooltip="Sélectionnez ce lien pour accéder à des informations complémentaires sur le web"/>
            <a:extLst>
              <a:ext uri="{FF2B5EF4-FFF2-40B4-BE49-F238E27FC236}">
                <a16:creationId xmlns:a16="http://schemas.microsoft.com/office/drawing/2014/main" id="{D187E1EB-E100-4D69-91FB-720A71ED894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35353" y="18410828"/>
            <a:ext cx="495829" cy="429422"/>
          </a:xfrm>
          <a:prstGeom prst="rect">
            <a:avLst/>
          </a:prstGeom>
        </xdr:spPr>
      </xdr:pic>
      <xdr:sp macro="" textlink="">
        <xdr:nvSpPr>
          <xdr:cNvPr id="15" name="Étape" descr="Formation Excel gratuite en ligne, lien hypertexte vers le web&#10;">
            <a:hlinkClick xmlns:r="http://schemas.openxmlformats.org/officeDocument/2006/relationships" r:id="rId8" tooltip="Sélectionnez ce lien pour accéder sur le web à une formation gratuite sur Excel"/>
            <a:extLst>
              <a:ext uri="{FF2B5EF4-FFF2-40B4-BE49-F238E27FC236}">
                <a16:creationId xmlns:a16="http://schemas.microsoft.com/office/drawing/2014/main" id="{85CACE2D-F5E3-4068-9BFF-269E7053DB8A}"/>
              </a:ext>
            </a:extLst>
          </xdr:cNvPr>
          <xdr:cNvSpPr txBox="1"/>
        </xdr:nvSpPr>
        <xdr:spPr>
          <a:xfrm>
            <a:off x="1016607" y="18952686"/>
            <a:ext cx="2605154" cy="297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16"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B946C706-70D5-4B90-9EB9-8204F201DE2D}"/>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48053" y="18857397"/>
            <a:ext cx="495829" cy="435772"/>
          </a:xfrm>
          <a:prstGeom prst="rect">
            <a:avLst/>
          </a:prstGeom>
        </xdr:spPr>
      </xdr:pic>
    </xdr:grpSp>
    <xdr:clientData/>
  </xdr:twoCellAnchor>
  <xdr:twoCellAnchor editAs="oneCell">
    <xdr:from>
      <xdr:col>2</xdr:col>
      <xdr:colOff>76199</xdr:colOff>
      <xdr:row>51</xdr:row>
      <xdr:rowOff>6344</xdr:rowOff>
    </xdr:from>
    <xdr:to>
      <xdr:col>6</xdr:col>
      <xdr:colOff>847724</xdr:colOff>
      <xdr:row>61</xdr:row>
      <xdr:rowOff>57146</xdr:rowOff>
    </xdr:to>
    <xdr:grpSp>
      <xdr:nvGrpSpPr>
        <xdr:cNvPr id="17" name="DÉTAIL IMPORTANT" descr="IMPORTANT DETAIL&#10;Double-click this cell. You'll notice the 100 toward the end. Although it's possible to put numbers in a formula like this, we don't recommend it unless it's absolutely necessary. This is known as a constant, and it's easy to forget that it's there. We recommended referring to another cell instead. That way it's easily seen and not hidden inside a formula&#10;">
          <a:extLst>
            <a:ext uri="{FF2B5EF4-FFF2-40B4-BE49-F238E27FC236}">
              <a16:creationId xmlns:a16="http://schemas.microsoft.com/office/drawing/2014/main" id="{26ABA09A-8B64-4A39-9C2B-6DBEC1942F22}"/>
            </a:ext>
          </a:extLst>
        </xdr:cNvPr>
        <xdr:cNvGrpSpPr/>
      </xdr:nvGrpSpPr>
      <xdr:grpSpPr>
        <a:xfrm>
          <a:off x="6448424" y="10293344"/>
          <a:ext cx="4219575" cy="1955802"/>
          <a:chOff x="6788150" y="10960177"/>
          <a:chExt cx="4400092" cy="1889001"/>
        </a:xfrm>
      </xdr:grpSpPr>
      <xdr:sp macro="" textlink="">
        <xdr:nvSpPr>
          <xdr:cNvPr id="18" name="Instruction" descr="IMPORTANT DETAIL&#10;Double-click this cell. You'll notice the 100 toward the end. Although it's possible to put numbers in a formula like this, we don't recommend it unless it's absolutely necessary. This is known as a constant, and it's easy to forget that it's there. We recommend referring to another cell instead, like cell F51. That way it's easily seen and not hidden inside a formula. &#10;&#10;">
            <a:extLst>
              <a:ext uri="{FF2B5EF4-FFF2-40B4-BE49-F238E27FC236}">
                <a16:creationId xmlns:a16="http://schemas.microsoft.com/office/drawing/2014/main" id="{83246F34-A63A-454F-B499-AB81487C171B}"/>
              </a:ext>
            </a:extLst>
          </xdr:cNvPr>
          <xdr:cNvSpPr txBox="1"/>
        </xdr:nvSpPr>
        <xdr:spPr>
          <a:xfrm>
            <a:off x="7073899" y="11363322"/>
            <a:ext cx="4114343" cy="1485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Double-cliquez sur cette cellule. Vous pouvez voir le </a:t>
            </a:r>
            <a:r>
              <a:rPr lang="fr" sz="1100" b="0" i="1" kern="1200" baseline="0">
                <a:solidFill>
                  <a:schemeClr val="dk1"/>
                </a:solidFill>
                <a:effectLst/>
                <a:latin typeface="+mn-lt"/>
                <a:ea typeface="+mn-ea"/>
                <a:cs typeface="+mn-cs"/>
              </a:rPr>
              <a:t>100</a:t>
            </a:r>
            <a:r>
              <a:rPr lang="fr" sz="1100" b="0" i="0" kern="1200" baseline="0">
                <a:solidFill>
                  <a:schemeClr val="dk1"/>
                </a:solidFill>
                <a:effectLst/>
                <a:latin typeface="+mn-lt"/>
                <a:ea typeface="+mn-ea"/>
                <a:cs typeface="+mn-cs"/>
              </a:rPr>
              <a:t> à la fin. Bien qu’il soit possible de placer des nombres dans une formule de ce type, cela est déconseillé sauf nécessité absolue. Il s’agit d’une </a:t>
            </a:r>
            <a:r>
              <a:rPr lang="fr" sz="1100" b="1" i="0" kern="1200" baseline="0">
                <a:solidFill>
                  <a:schemeClr val="dk1"/>
                </a:solidFill>
                <a:effectLst/>
                <a:latin typeface="+mn-lt"/>
                <a:ea typeface="+mn-ea"/>
                <a:cs typeface="+mn-cs"/>
              </a:rPr>
              <a:t>constante</a:t>
            </a:r>
            <a:r>
              <a:rPr lang="fr" sz="1100" b="0" i="0" kern="1200" baseline="0">
                <a:solidFill>
                  <a:schemeClr val="dk1"/>
                </a:solidFill>
                <a:effectLst/>
                <a:latin typeface="+mn-lt"/>
                <a:ea typeface="+mn-ea"/>
                <a:cs typeface="+mn-cs"/>
              </a:rPr>
              <a:t>, et il est facile d’oublier qu’elle est là. Nous vous recommandons plutôt de faire référence à une autre cellule, par exemple la cellule F51. En effet, celle-ci est facilement identifiable et n’est pas dissimulée dans une formule. </a:t>
            </a:r>
            <a:endParaRPr lang="en-US" sz="1100">
              <a:effectLst/>
            </a:endParaRPr>
          </a:p>
        </xdr:txBody>
      </xdr:sp>
      <xdr:pic>
        <xdr:nvPicPr>
          <xdr:cNvPr id="19" name="Loupe" descr="Loupe">
            <a:extLst>
              <a:ext uri="{FF2B5EF4-FFF2-40B4-BE49-F238E27FC236}">
                <a16:creationId xmlns:a16="http://schemas.microsoft.com/office/drawing/2014/main" id="{791FDB3C-646A-4C23-B27F-CF7DBF60B55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6788150" y="11420475"/>
            <a:ext cx="352313" cy="339611"/>
          </a:xfrm>
          <a:prstGeom prst="rect">
            <a:avLst/>
          </a:prstGeom>
        </xdr:spPr>
      </xdr:pic>
      <xdr:sp macro="" textlink="">
        <xdr:nvSpPr>
          <xdr:cNvPr id="20" name="Flèche" descr="Flèche">
            <a:extLst>
              <a:ext uri="{FF2B5EF4-FFF2-40B4-BE49-F238E27FC236}">
                <a16:creationId xmlns:a16="http://schemas.microsoft.com/office/drawing/2014/main" id="{FFB335A5-0A66-4DE2-9982-A4691721218D}"/>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4</xdr:col>
      <xdr:colOff>7420</xdr:colOff>
      <xdr:row>33</xdr:row>
      <xdr:rowOff>120650</xdr:rowOff>
    </xdr:from>
    <xdr:to>
      <xdr:col>8</xdr:col>
      <xdr:colOff>523874</xdr:colOff>
      <xdr:row>42</xdr:row>
      <xdr:rowOff>114300</xdr:rowOff>
    </xdr:to>
    <xdr:grpSp>
      <xdr:nvGrpSpPr>
        <xdr:cNvPr id="21" name="Groupe 1">
          <a:extLst>
            <a:ext uri="{FF2B5EF4-FFF2-40B4-BE49-F238E27FC236}">
              <a16:creationId xmlns:a16="http://schemas.microsoft.com/office/drawing/2014/main" id="{7C969D58-D09E-4F00-B915-068A3A179295}"/>
            </a:ext>
          </a:extLst>
        </xdr:cNvPr>
        <xdr:cNvGrpSpPr/>
      </xdr:nvGrpSpPr>
      <xdr:grpSpPr>
        <a:xfrm>
          <a:off x="8151295" y="6978650"/>
          <a:ext cx="3707329" cy="1708150"/>
          <a:chOff x="8151295" y="6978650"/>
          <a:chExt cx="3212029" cy="1708150"/>
        </a:xfrm>
      </xdr:grpSpPr>
      <xdr:pic>
        <xdr:nvPicPr>
          <xdr:cNvPr id="22" name="Graphisme de la barre d’état" descr="Somme de graphique de barre d’état : 170">
            <a:extLst>
              <a:ext uri="{FF2B5EF4-FFF2-40B4-BE49-F238E27FC236}">
                <a16:creationId xmlns:a16="http://schemas.microsoft.com/office/drawing/2014/main" id="{B39FD550-2FF8-481C-BFC6-DB94ED72515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8874514" y="7623275"/>
            <a:ext cx="1023177" cy="200000"/>
          </a:xfrm>
          <a:prstGeom prst="rect">
            <a:avLst/>
          </a:prstGeom>
        </xdr:spPr>
      </xdr:pic>
      <xdr:grpSp>
        <xdr:nvGrpSpPr>
          <xdr:cNvPr id="23" name="ESSAYEZ ÇA" descr="CHECK THIS OUT&#10;Select these cells. Then in the lower-right corner of the Excel window, look for this:&#10;SUM: 170&#10;That's just another way to quickly find a total&#10;">
            <a:extLst>
              <a:ext uri="{FF2B5EF4-FFF2-40B4-BE49-F238E27FC236}">
                <a16:creationId xmlns:a16="http://schemas.microsoft.com/office/drawing/2014/main" id="{662A1325-AB8D-4455-956B-9EACF85F5B7D}"/>
              </a:ext>
            </a:extLst>
          </xdr:cNvPr>
          <xdr:cNvGrpSpPr/>
        </xdr:nvGrpSpPr>
        <xdr:grpSpPr>
          <a:xfrm>
            <a:off x="8151295" y="6978650"/>
            <a:ext cx="3212029" cy="1708150"/>
            <a:chOff x="7539454" y="7993902"/>
            <a:chExt cx="3051070" cy="1708150"/>
          </a:xfrm>
        </xdr:grpSpPr>
        <xdr:grpSp>
          <xdr:nvGrpSpPr>
            <xdr:cNvPr id="24" name="Lignes d’accolade">
              <a:extLst>
                <a:ext uri="{FF2B5EF4-FFF2-40B4-BE49-F238E27FC236}">
                  <a16:creationId xmlns:a16="http://schemas.microsoft.com/office/drawing/2014/main" id="{E407E4F7-33DA-405E-B331-D8931BF30F87}"/>
                </a:ext>
              </a:extLst>
            </xdr:cNvPr>
            <xdr:cNvGrpSpPr/>
          </xdr:nvGrpSpPr>
          <xdr:grpSpPr>
            <a:xfrm rot="599914">
              <a:off x="7539454" y="8145377"/>
              <a:ext cx="293814" cy="698211"/>
              <a:chOff x="9871108" y="1184220"/>
              <a:chExt cx="273326" cy="789155"/>
            </a:xfrm>
          </xdr:grpSpPr>
          <xdr:sp macro="" textlink="">
            <xdr:nvSpPr>
              <xdr:cNvPr id="27" name="Une autre ligne d’accolade" descr="Ligne d’accolade">
                <a:extLst>
                  <a:ext uri="{FF2B5EF4-FFF2-40B4-BE49-F238E27FC236}">
                    <a16:creationId xmlns:a16="http://schemas.microsoft.com/office/drawing/2014/main" id="{8D944EB8-619A-4F21-B909-B0CA3ABE6B77}"/>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8" name="Ligne d’accolade" descr="Ligne d’accolade&#10;">
                <a:extLst>
                  <a:ext uri="{FF2B5EF4-FFF2-40B4-BE49-F238E27FC236}">
                    <a16:creationId xmlns:a16="http://schemas.microsoft.com/office/drawing/2014/main" id="{33C06C80-ACAD-4A02-B096-852ED25ADCB1}"/>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25" name="Étoiles" descr="Étoiles">
              <a:extLst>
                <a:ext uri="{FF2B5EF4-FFF2-40B4-BE49-F238E27FC236}">
                  <a16:creationId xmlns:a16="http://schemas.microsoft.com/office/drawing/2014/main" id="{A2979EB4-F237-4729-A6C8-49694F5BA22E}"/>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7830674" y="8038700"/>
              <a:ext cx="388098" cy="337815"/>
            </a:xfrm>
            <a:prstGeom prst="rect">
              <a:avLst/>
            </a:prstGeom>
          </xdr:spPr>
        </xdr:pic>
        <xdr:sp macro="" textlink="">
          <xdr:nvSpPr>
            <xdr:cNvPr id="26" name="Instructions" descr="CHECK THIS OUT&#10;Select these cells. Then in the lower-right corner of the Excel window, look for SUM: 170 in the bar.&#10;&#10;That's called the Status Bar, and it's just another way to quickly find a total and other details about a selected cell or range. &#10;">
              <a:extLst>
                <a:ext uri="{FF2B5EF4-FFF2-40B4-BE49-F238E27FC236}">
                  <a16:creationId xmlns:a16="http://schemas.microsoft.com/office/drawing/2014/main" id="{C5894EF8-0A9F-40C3-B82A-F67211EBA85C}"/>
                </a:ext>
              </a:extLst>
            </xdr:cNvPr>
            <xdr:cNvSpPr txBox="1"/>
          </xdr:nvSpPr>
          <xdr:spPr>
            <a:xfrm>
              <a:off x="8132527" y="7993902"/>
              <a:ext cx="2457997" cy="170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Sélectionnez ces cellules. Dans le coin inférieur droit de la fenêtre</a:t>
              </a:r>
              <a:r>
                <a:rPr lang="fr" sz="1100" kern="0" baseline="0">
                  <a:solidFill>
                    <a:schemeClr val="bg2">
                      <a:lumMod val="25000"/>
                    </a:schemeClr>
                  </a:solidFill>
                  <a:latin typeface="+mn-lt"/>
                  <a:ea typeface="Segoe UI" pitchFamily="34" charset="0"/>
                  <a:cs typeface="Segoe UI Light" panose="020B0502040204020203" pitchFamily="34" charset="0"/>
                </a:rPr>
                <a:t> Excel, recherchez ceci :</a:t>
              </a:r>
            </a:p>
            <a:p>
              <a:pPr lvl="0" rtl="0">
                <a:defRPr/>
              </a:pPr>
              <a:br>
                <a:rPr lang="en-US" sz="1100" kern="0" baseline="0">
                  <a:solidFill>
                    <a:schemeClr val="bg2">
                      <a:lumMod val="25000"/>
                    </a:schemeClr>
                  </a:solidFill>
                  <a:latin typeface="+mn-lt"/>
                  <a:ea typeface="Segoe UI" pitchFamily="34" charset="0"/>
                  <a:cs typeface="Segoe UI Light" panose="020B0502040204020203" pitchFamily="34" charset="0"/>
                </a:rPr>
              </a:b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fr" sz="1100" kern="0" baseline="0">
                  <a:solidFill>
                    <a:schemeClr val="bg2">
                      <a:lumMod val="25000"/>
                    </a:schemeClr>
                  </a:solidFill>
                  <a:latin typeface="+mn-lt"/>
                  <a:ea typeface="Segoe UI" pitchFamily="34" charset="0"/>
                  <a:cs typeface="Segoe UI Light" panose="020B0502040204020203" pitchFamily="34" charset="0"/>
                </a:rPr>
                <a:t>Il s’agit de la barre d’état, qui vous permet de trouver rapidement un total ainsi que d’autres informations sur une cellule ou une plage sélectionnée. </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grpSp>
    <xdr:clientData/>
  </xdr:twoCellAnchor>
  <xdr:twoCellAnchor editAs="oneCell">
    <xdr:from>
      <xdr:col>5</xdr:col>
      <xdr:colOff>1181099</xdr:colOff>
      <xdr:row>15</xdr:row>
      <xdr:rowOff>28576</xdr:rowOff>
    </xdr:from>
    <xdr:to>
      <xdr:col>9</xdr:col>
      <xdr:colOff>266698</xdr:colOff>
      <xdr:row>22</xdr:row>
      <xdr:rowOff>85725</xdr:rowOff>
    </xdr:to>
    <xdr:grpSp>
      <xdr:nvGrpSpPr>
        <xdr:cNvPr id="29" name="Groupe 28" descr="EXTRA CREDIT&#10;Try adding another SUMIF formula here, but add amounts that are less than 100. The result should be 160&#10;">
          <a:extLst>
            <a:ext uri="{FF2B5EF4-FFF2-40B4-BE49-F238E27FC236}">
              <a16:creationId xmlns:a16="http://schemas.microsoft.com/office/drawing/2014/main" id="{94B0C403-E9DC-4C35-AE7B-08811659DA6F}"/>
            </a:ext>
          </a:extLst>
        </xdr:cNvPr>
        <xdr:cNvGrpSpPr/>
      </xdr:nvGrpSpPr>
      <xdr:grpSpPr>
        <a:xfrm>
          <a:off x="9477374" y="3457576"/>
          <a:ext cx="2714624" cy="1390649"/>
          <a:chOff x="9048750" y="3743325"/>
          <a:chExt cx="2839722" cy="1390649"/>
        </a:xfrm>
      </xdr:grpSpPr>
      <xdr:sp macro="" textlink="">
        <xdr:nvSpPr>
          <xdr:cNvPr id="30" name="Étape" descr="EXTRA CREDIT&#10;Try the COUNT function using any of the methods you've already tried. The COUNT function counts the number of cells in a range that contain numbers.&#10;">
            <a:extLst>
              <a:ext uri="{FF2B5EF4-FFF2-40B4-BE49-F238E27FC236}">
                <a16:creationId xmlns:a16="http://schemas.microsoft.com/office/drawing/2014/main" id="{8592F408-F03E-459A-9D6A-6DD9BA777617}"/>
              </a:ext>
            </a:extLst>
          </xdr:cNvPr>
          <xdr:cNvSpPr txBox="1"/>
        </xdr:nvSpPr>
        <xdr:spPr>
          <a:xfrm>
            <a:off x="9648642" y="3905249"/>
            <a:ext cx="2239830" cy="1228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endParaRPr lang="en-US" sz="1200" b="1">
              <a:solidFill>
                <a:srgbClr val="ED7D31">
                  <a:lumMod val="60000"/>
                  <a:lumOff val="40000"/>
                </a:srgbClr>
              </a:solidFill>
              <a:latin typeface="+mj-lt"/>
              <a:ea typeface="Segoe UI" pitchFamily="34" charset="0"/>
              <a:cs typeface="Segoe UI"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Utilisez la fonction </a:t>
            </a:r>
            <a:r>
              <a:rPr lang="fr" sz="1100" b="1" i="0" kern="1200" baseline="0">
                <a:solidFill>
                  <a:schemeClr val="dk1"/>
                </a:solidFill>
                <a:effectLst/>
                <a:latin typeface="+mn-lt"/>
                <a:ea typeface="+mn-ea"/>
                <a:cs typeface="+mn-cs"/>
              </a:rPr>
              <a:t>NB</a:t>
            </a:r>
            <a:r>
              <a:rPr lang="fr" sz="1100" b="0" i="0" kern="1200" baseline="0">
                <a:solidFill>
                  <a:schemeClr val="dk1"/>
                </a:solidFill>
                <a:effectLst/>
                <a:latin typeface="+mn-lt"/>
                <a:ea typeface="+mn-ea"/>
                <a:cs typeface="+mn-cs"/>
              </a:rPr>
              <a:t> avec l’une des méthodes que vous avez déjà essayées. La fonction </a:t>
            </a:r>
            <a:r>
              <a:rPr lang="fr" sz="1100" b="1" i="0" kern="1200" baseline="0">
                <a:solidFill>
                  <a:schemeClr val="dk1"/>
                </a:solidFill>
                <a:effectLst/>
                <a:latin typeface="+mn-lt"/>
                <a:ea typeface="+mn-ea"/>
                <a:cs typeface="+mn-cs"/>
              </a:rPr>
              <a:t>NB</a:t>
            </a:r>
            <a:r>
              <a:rPr lang="fr" sz="1100" b="0" i="0" kern="1200" baseline="0">
                <a:solidFill>
                  <a:schemeClr val="dk1"/>
                </a:solidFill>
                <a:effectLst/>
                <a:latin typeface="+mn-lt"/>
                <a:ea typeface="+mn-ea"/>
                <a:cs typeface="+mn-cs"/>
              </a:rPr>
              <a:t> compte le nombre de cellules d’une plage qui contient des nombres.</a:t>
            </a:r>
          </a:p>
        </xdr:txBody>
      </xdr:sp>
      <xdr:pic>
        <xdr:nvPicPr>
          <xdr:cNvPr id="31" name="Ruban Bonus supplémentaire" descr="Ruban décoratif">
            <a:extLst>
              <a:ext uri="{FF2B5EF4-FFF2-40B4-BE49-F238E27FC236}">
                <a16:creationId xmlns:a16="http://schemas.microsoft.com/office/drawing/2014/main" id="{316B2ECF-62AC-4B7C-83BE-5F706DD3CE78}"/>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9287099" y="3950551"/>
            <a:ext cx="474289" cy="439736"/>
          </a:xfrm>
          <a:prstGeom prst="rect">
            <a:avLst/>
          </a:prstGeom>
        </xdr:spPr>
      </xdr:pic>
      <xdr:sp macro="" textlink="">
        <xdr:nvSpPr>
          <xdr:cNvPr id="32" name="Flèche Bonus supplémentaire" descr="Flèche">
            <a:extLst>
              <a:ext uri="{FF2B5EF4-FFF2-40B4-BE49-F238E27FC236}">
                <a16:creationId xmlns:a16="http://schemas.microsoft.com/office/drawing/2014/main" id="{3105C299-1DAD-4B9A-B907-28A1344F4E37}"/>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355809</xdr:colOff>
      <xdr:row>26</xdr:row>
      <xdr:rowOff>161930</xdr:rowOff>
    </xdr:from>
    <xdr:to>
      <xdr:col>1</xdr:col>
      <xdr:colOff>5241372</xdr:colOff>
      <xdr:row>71</xdr:row>
      <xdr:rowOff>85725</xdr:rowOff>
    </xdr:to>
    <xdr:grpSp>
      <xdr:nvGrpSpPr>
        <xdr:cNvPr id="33" name="Groupe 3">
          <a:extLst>
            <a:ext uri="{FF2B5EF4-FFF2-40B4-BE49-F238E27FC236}">
              <a16:creationId xmlns:a16="http://schemas.microsoft.com/office/drawing/2014/main" id="{0508FF38-DCDF-4070-8CEC-3566AD0799A8}"/>
            </a:ext>
          </a:extLst>
        </xdr:cNvPr>
        <xdr:cNvGrpSpPr/>
      </xdr:nvGrpSpPr>
      <xdr:grpSpPr>
        <a:xfrm>
          <a:off x="355809" y="5686430"/>
          <a:ext cx="5733288" cy="8496295"/>
          <a:chOff x="355809" y="4791079"/>
          <a:chExt cx="5733288" cy="8496296"/>
        </a:xfrm>
      </xdr:grpSpPr>
      <xdr:sp macro="" textlink="">
        <xdr:nvSpPr>
          <xdr:cNvPr id="34" name="Rectangle 226" descr="Arrière-plan">
            <a:extLst>
              <a:ext uri="{FF2B5EF4-FFF2-40B4-BE49-F238E27FC236}">
                <a16:creationId xmlns:a16="http://schemas.microsoft.com/office/drawing/2014/main" id="{3F8719F2-4F53-4999-840A-AE44812F21B0}"/>
              </a:ext>
            </a:extLst>
          </xdr:cNvPr>
          <xdr:cNvSpPr/>
        </xdr:nvSpPr>
        <xdr:spPr>
          <a:xfrm>
            <a:off x="355809" y="4791079"/>
            <a:ext cx="5733288" cy="8496296"/>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35" name="Connecteur droit 34" descr="Ligne décorative">
            <a:extLst>
              <a:ext uri="{FF2B5EF4-FFF2-40B4-BE49-F238E27FC236}">
                <a16:creationId xmlns:a16="http://schemas.microsoft.com/office/drawing/2014/main" id="{1743357C-EB14-41C7-9984-6FF7EFACAE39}"/>
              </a:ext>
            </a:extLst>
          </xdr:cNvPr>
          <xdr:cNvCxnSpPr>
            <a:cxnSpLocks/>
          </xdr:cNvCxnSpPr>
        </xdr:nvCxnSpPr>
        <xdr:spPr>
          <a:xfrm>
            <a:off x="549298" y="5808728"/>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6" name="Connecteur droit 35" descr="Ligne décorative">
            <a:extLst>
              <a:ext uri="{FF2B5EF4-FFF2-40B4-BE49-F238E27FC236}">
                <a16:creationId xmlns:a16="http://schemas.microsoft.com/office/drawing/2014/main" id="{5625AD52-D9DF-43F1-A125-CE6C12B33935}"/>
              </a:ext>
            </a:extLst>
          </xdr:cNvPr>
          <xdr:cNvCxnSpPr>
            <a:cxnSpLocks/>
          </xdr:cNvCxnSpPr>
        </xdr:nvCxnSpPr>
        <xdr:spPr>
          <a:xfrm>
            <a:off x="549298" y="13058922"/>
            <a:ext cx="5251045"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7" name="Étape" descr="Informations complémentaires sur les fonctions&#10;">
            <a:extLst>
              <a:ext uri="{FF2B5EF4-FFF2-40B4-BE49-F238E27FC236}">
                <a16:creationId xmlns:a16="http://schemas.microsoft.com/office/drawing/2014/main" id="{48ED4455-2F97-4FF5-8F64-ED3A3261A059}"/>
              </a:ext>
            </a:extLst>
          </xdr:cNvPr>
          <xdr:cNvSpPr txBox="1"/>
        </xdr:nvSpPr>
        <xdr:spPr>
          <a:xfrm>
            <a:off x="549298" y="4916672"/>
            <a:ext cx="5318102" cy="9221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Informations complémentaires sur les fonctions</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38" name="Étape" descr="Go to the Formulas tab and browse through the Function Library, where functions are listed by category, like Text, Date &amp; Time, etc. Insert Function will let you search for functions by name, and launch a function wizard that can help you build your formula. &#10;&#10;When you start typing a function name after you press =, Excel will launch Intellisense, which will list all of the functions starting with the letters you type. When you find the one you want, press Tab, and Excel will automatically finish the function name and enter the opening parenthesis for you. It will also display the optional and required arguments. &#10;&#10;Now let's look at the anatomy of a few functions. The SUM function is structured like this:&#10;&#10;=SUM(D38:D41,H:H&quot;), where SUM is the function name, D38:D41 is the first argument. It's almost always required. H:H is an additional argument, separated by commas.&#10;&#10;">
            <a:extLst>
              <a:ext uri="{FF2B5EF4-FFF2-40B4-BE49-F238E27FC236}">
                <a16:creationId xmlns:a16="http://schemas.microsoft.com/office/drawing/2014/main" id="{58C9F964-FC29-43CD-8D09-483B9E2ADF1D}"/>
              </a:ext>
            </a:extLst>
          </xdr:cNvPr>
          <xdr:cNvSpPr txBox="1"/>
        </xdr:nvSpPr>
        <xdr:spPr>
          <a:xfrm>
            <a:off x="564213" y="5902654"/>
            <a:ext cx="5255562" cy="3231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Accédez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l’onglet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Formules</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et parcourez la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Bibliothèque de fonctions</a:t>
            </a:r>
            <a:r>
              <a:rPr lang="fr"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fr"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dans laquelle les fonctions sont répertoriées par catégorie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Texte</a:t>
            </a:r>
            <a:r>
              <a:rPr lang="fr"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r>
              <a:rPr lang="fr"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DateHeure</a:t>
            </a:r>
            <a:r>
              <a:rPr lang="fr" sz="1100"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 etc.).</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fr" sz="1100" b="1" kern="1200" baseline="0">
                <a:solidFill>
                  <a:schemeClr val="tx1">
                    <a:lumMod val="75000"/>
                    <a:lumOff val="25000"/>
                  </a:schemeClr>
                </a:solidFill>
                <a:effectLst/>
                <a:latin typeface="Segoe UI" panose="020B0502040204020203" pitchFamily="34" charset="0"/>
                <a:ea typeface="+mn-ea"/>
                <a:cs typeface="Segoe UI" panose="020B0502040204020203" pitchFamily="34" charset="0"/>
              </a:rPr>
              <a:t>Insérer une fonction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vous permet de rechercher des fonctions par nom et de lancer un Assistant pour vous aider à créer votre formule.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Lorsque vous commencez à entrer un nom de fonction après avoir appuyé sur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r>
              <a:rPr lang="fr" sz="1100" b="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Excel lance la fonctionnalité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IntelliSense</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qui répertorie toutes les fonctions commençant par les lettres que vous tapez. Dès que vous voyez la fonction souhaitée, appuyez sur Tab et Excel entrera automatiquement le nom complet de la fonction ainsi que la parenthèse ouvrante. Excel affichera également les arguments obligatoires et facultatifs. </a:t>
            </a: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br>
              <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endParaRPr lang="en-US"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a:p>
            <a:pPr lvl="0" rtl="0">
              <a:defRPr/>
            </a:pP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Examinons maintenant l’anatomie de quelques fonctions. La structure de la fonction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est la suivante :</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grpSp>
    <xdr:clientData/>
  </xdr:twoCellAnchor>
  <xdr:twoCellAnchor>
    <xdr:from>
      <xdr:col>1</xdr:col>
      <xdr:colOff>1086605</xdr:colOff>
      <xdr:row>44</xdr:row>
      <xdr:rowOff>40078</xdr:rowOff>
    </xdr:from>
    <xdr:to>
      <xdr:col>1</xdr:col>
      <xdr:colOff>3181843</xdr:colOff>
      <xdr:row>47</xdr:row>
      <xdr:rowOff>59054</xdr:rowOff>
    </xdr:to>
    <xdr:pic>
      <xdr:nvPicPr>
        <xdr:cNvPr id="39" name="Image 212">
          <a:extLst>
            <a:ext uri="{FF2B5EF4-FFF2-40B4-BE49-F238E27FC236}">
              <a16:creationId xmlns:a16="http://schemas.microsoft.com/office/drawing/2014/main" id="{980C1B13-6494-411B-982E-ACF4A950B09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1934330" y="8993578"/>
          <a:ext cx="2095238" cy="590476"/>
        </a:xfrm>
        <a:prstGeom prst="rect">
          <a:avLst/>
        </a:prstGeom>
      </xdr:spPr>
    </xdr:pic>
    <xdr:clientData/>
  </xdr:twoCellAnchor>
  <xdr:twoCellAnchor>
    <xdr:from>
      <xdr:col>1</xdr:col>
      <xdr:colOff>557898</xdr:colOff>
      <xdr:row>50</xdr:row>
      <xdr:rowOff>1</xdr:rowOff>
    </xdr:from>
    <xdr:to>
      <xdr:col>1</xdr:col>
      <xdr:colOff>4019550</xdr:colOff>
      <xdr:row>59</xdr:row>
      <xdr:rowOff>169273</xdr:rowOff>
    </xdr:to>
    <xdr:grpSp>
      <xdr:nvGrpSpPr>
        <xdr:cNvPr id="40" name="Groupe 213">
          <a:extLst>
            <a:ext uri="{FF2B5EF4-FFF2-40B4-BE49-F238E27FC236}">
              <a16:creationId xmlns:a16="http://schemas.microsoft.com/office/drawing/2014/main" id="{E5856F95-7F00-4881-BC78-B810D8AE9047}"/>
            </a:ext>
          </a:extLst>
        </xdr:cNvPr>
        <xdr:cNvGrpSpPr/>
      </xdr:nvGrpSpPr>
      <xdr:grpSpPr>
        <a:xfrm>
          <a:off x="1405623" y="10096501"/>
          <a:ext cx="3461652" cy="1883772"/>
          <a:chOff x="4319575" y="4314825"/>
          <a:chExt cx="3439108" cy="1883772"/>
        </a:xfrm>
      </xdr:grpSpPr>
      <xdr:sp macro="" textlink="">
        <xdr:nvSpPr>
          <xdr:cNvPr id="41" name="txt_Formule" descr="=SOMME(D38:D41) ">
            <a:extLst>
              <a:ext uri="{FF2B5EF4-FFF2-40B4-BE49-F238E27FC236}">
                <a16:creationId xmlns:a16="http://schemas.microsoft.com/office/drawing/2014/main" id="{32E216A5-E4AA-4758-8792-D8E2D13568B7}"/>
              </a:ext>
            </a:extLst>
          </xdr:cNvPr>
          <xdr:cNvSpPr txBox="1"/>
        </xdr:nvSpPr>
        <xdr:spPr>
          <a:xfrm>
            <a:off x="4386251" y="5667375"/>
            <a:ext cx="3132823"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=SOMME(D35:D38;H:H)</a:t>
            </a:r>
            <a:endParaRPr lang="en-US" sz="2000">
              <a:effectLst/>
              <a:latin typeface="Courier New" panose="02070309020205020404" pitchFamily="49" charset="0"/>
              <a:ea typeface="Times New Roman" panose="02020603050405020304" pitchFamily="18" charset="0"/>
            </a:endParaRPr>
          </a:p>
        </xdr:txBody>
      </xdr:sp>
      <xdr:grpSp>
        <xdr:nvGrpSpPr>
          <xdr:cNvPr id="42" name="Groupe 41">
            <a:extLst>
              <a:ext uri="{FF2B5EF4-FFF2-40B4-BE49-F238E27FC236}">
                <a16:creationId xmlns:a16="http://schemas.microsoft.com/office/drawing/2014/main" id="{98391322-A7C0-4F49-B742-1C2525C955C5}"/>
              </a:ext>
            </a:extLst>
          </xdr:cNvPr>
          <xdr:cNvGrpSpPr/>
        </xdr:nvGrpSpPr>
        <xdr:grpSpPr>
          <a:xfrm>
            <a:off x="4319575" y="4314825"/>
            <a:ext cx="3439108" cy="1394627"/>
            <a:chOff x="4319575" y="4314825"/>
            <a:chExt cx="3439108" cy="1394627"/>
          </a:xfrm>
        </xdr:grpSpPr>
        <xdr:sp macro="" textlink="">
          <xdr:nvSpPr>
            <xdr:cNvPr id="43" name="AccoladeSupérieureFormule">
              <a:extLst>
                <a:ext uri="{FF2B5EF4-FFF2-40B4-BE49-F238E27FC236}">
                  <a16:creationId xmlns:a16="http://schemas.microsoft.com/office/drawing/2014/main" id="{D76759A4-A49A-455A-BA96-BB041A38A5BB}"/>
                </a:ext>
              </a:extLst>
            </xdr:cNvPr>
            <xdr:cNvSpPr/>
          </xdr:nvSpPr>
          <xdr:spPr>
            <a:xfrm rot="5400000">
              <a:off x="6654050" y="5216926"/>
              <a:ext cx="499277" cy="485776"/>
            </a:xfrm>
            <a:prstGeom prst="leftBrace">
              <a:avLst>
                <a:gd name="adj1" fmla="val 8333"/>
                <a:gd name="adj2" fmla="val 26470"/>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AccoladeSupérieureFormule">
              <a:extLst>
                <a:ext uri="{FF2B5EF4-FFF2-40B4-BE49-F238E27FC236}">
                  <a16:creationId xmlns:a16="http://schemas.microsoft.com/office/drawing/2014/main" id="{789B5B22-9F3D-4BFA-B97A-2F8718E3B909}"/>
                </a:ext>
              </a:extLst>
            </xdr:cNvPr>
            <xdr:cNvSpPr/>
          </xdr:nvSpPr>
          <xdr:spPr>
            <a:xfrm rot="5400000">
              <a:off x="5720540" y="4921652"/>
              <a:ext cx="499277" cy="1057275"/>
            </a:xfrm>
            <a:prstGeom prst="leftBrace">
              <a:avLst>
                <a:gd name="adj1" fmla="val 8333"/>
                <a:gd name="adj2" fmla="val 47145"/>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5" name="AccoladeSupérieureFormule">
              <a:extLst>
                <a:ext uri="{FF2B5EF4-FFF2-40B4-BE49-F238E27FC236}">
                  <a16:creationId xmlns:a16="http://schemas.microsoft.com/office/drawing/2014/main" id="{C4EFB8C9-F4C5-476D-B454-D15446AE8581}"/>
                </a:ext>
              </a:extLst>
            </xdr:cNvPr>
            <xdr:cNvSpPr/>
          </xdr:nvSpPr>
          <xdr:spPr>
            <a:xfrm rot="5400000">
              <a:off x="4663661" y="5074680"/>
              <a:ext cx="499277" cy="73216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6" name="txt_LégendeSupérieureFormule" descr="Nom de la fonction&#10;">
              <a:extLst>
                <a:ext uri="{FF2B5EF4-FFF2-40B4-BE49-F238E27FC236}">
                  <a16:creationId xmlns:a16="http://schemas.microsoft.com/office/drawing/2014/main" id="{5CD5B602-F493-4F07-83C1-E0A14DF9A9B1}"/>
                </a:ext>
              </a:extLst>
            </xdr:cNvPr>
            <xdr:cNvSpPr txBox="1">
              <a:spLocks noChangeArrowheads="1"/>
            </xdr:cNvSpPr>
          </xdr:nvSpPr>
          <xdr:spPr bwMode="auto">
            <a:xfrm>
              <a:off x="4319575" y="4314825"/>
              <a:ext cx="884108"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Nom de la fonction.</a:t>
              </a:r>
            </a:p>
          </xdr:txBody>
        </xdr:sp>
        <xdr:sp macro="" textlink="">
          <xdr:nvSpPr>
            <xdr:cNvPr id="47" name="txt_LégendeSupérieureFormule" descr="Premier argument. Celui-ci est presque toujours obligatoire.&#10;&#10;">
              <a:extLst>
                <a:ext uri="{FF2B5EF4-FFF2-40B4-BE49-F238E27FC236}">
                  <a16:creationId xmlns:a16="http://schemas.microsoft.com/office/drawing/2014/main" id="{CB4AEEF9-C578-4CD8-BE0A-1587B2EE4014}"/>
                </a:ext>
              </a:extLst>
            </xdr:cNvPr>
            <xdr:cNvSpPr txBox="1">
              <a:spLocks noChangeArrowheads="1"/>
            </xdr:cNvSpPr>
          </xdr:nvSpPr>
          <xdr:spPr bwMode="auto">
            <a:xfrm>
              <a:off x="5317238" y="4324350"/>
              <a:ext cx="1128001"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Premier argument. Celui-ci est presque toujours obligatoire.</a:t>
              </a:r>
            </a:p>
          </xdr:txBody>
        </xdr:sp>
        <xdr:sp macro="" textlink="">
          <xdr:nvSpPr>
            <xdr:cNvPr id="48" name="txt_LégendeSupérieureFormule" descr="Arguments supplémentaires, séparés par des virgules (,).&#10;&#10;">
              <a:extLst>
                <a:ext uri="{FF2B5EF4-FFF2-40B4-BE49-F238E27FC236}">
                  <a16:creationId xmlns:a16="http://schemas.microsoft.com/office/drawing/2014/main" id="{B121BAE0-42A2-4225-8F93-F79D0C663E56}"/>
                </a:ext>
              </a:extLst>
            </xdr:cNvPr>
            <xdr:cNvSpPr txBox="1">
              <a:spLocks noChangeArrowheads="1"/>
            </xdr:cNvSpPr>
          </xdr:nvSpPr>
          <xdr:spPr bwMode="auto">
            <a:xfrm>
              <a:off x="6557950" y="4333875"/>
              <a:ext cx="1200733" cy="10134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Arguments supplémentaires, séparés par des virgules (;).</a:t>
              </a:r>
            </a:p>
          </xdr:txBody>
        </xdr:sp>
      </xdr:grpSp>
    </xdr:grpSp>
    <xdr:clientData/>
  </xdr:twoCellAnchor>
  <xdr:twoCellAnchor>
    <xdr:from>
      <xdr:col>0</xdr:col>
      <xdr:colOff>547558</xdr:colOff>
      <xdr:row>58</xdr:row>
      <xdr:rowOff>133351</xdr:rowOff>
    </xdr:from>
    <xdr:to>
      <xdr:col>1</xdr:col>
      <xdr:colOff>5048250</xdr:colOff>
      <xdr:row>63</xdr:row>
      <xdr:rowOff>28575</xdr:rowOff>
    </xdr:to>
    <xdr:sp macro="" textlink="">
      <xdr:nvSpPr>
        <xdr:cNvPr id="49" name="txt_Étape" descr="Si la fonction SOMME pouvait parler, elle dirait ceci : renvoyer la somme de toutes les valeurs des cellules D38 à D41 ainsi que celles de la colonne H. Essayons à présent une formule qui ne nécessite aucun argument.&#10;">
          <a:extLst>
            <a:ext uri="{FF2B5EF4-FFF2-40B4-BE49-F238E27FC236}">
              <a16:creationId xmlns:a16="http://schemas.microsoft.com/office/drawing/2014/main" id="{3B41C8CB-2054-4B36-A065-13BDD06ECFE3}"/>
            </a:ext>
          </a:extLst>
        </xdr:cNvPr>
        <xdr:cNvSpPr txBox="1"/>
      </xdr:nvSpPr>
      <xdr:spPr>
        <a:xfrm>
          <a:off x="547558" y="11753851"/>
          <a:ext cx="5348417" cy="847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pouvait parler, elle dirait ceci : « Renvoyer la somme de toutes les valeurs des cellules D35 à D38 ainsi que celles de la colonne H ».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Essayons à présent une formule qui ne nécessite aucun argument.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1</xdr:col>
      <xdr:colOff>345903</xdr:colOff>
      <xdr:row>63</xdr:row>
      <xdr:rowOff>95251</xdr:rowOff>
    </xdr:from>
    <xdr:to>
      <xdr:col>1</xdr:col>
      <xdr:colOff>4391025</xdr:colOff>
      <xdr:row>70</xdr:row>
      <xdr:rowOff>169273</xdr:rowOff>
    </xdr:to>
    <xdr:grpSp>
      <xdr:nvGrpSpPr>
        <xdr:cNvPr id="50" name="Groupe 49">
          <a:extLst>
            <a:ext uri="{FF2B5EF4-FFF2-40B4-BE49-F238E27FC236}">
              <a16:creationId xmlns:a16="http://schemas.microsoft.com/office/drawing/2014/main" id="{91307B18-5EEB-4835-97F6-F22C41ABD91D}"/>
            </a:ext>
          </a:extLst>
        </xdr:cNvPr>
        <xdr:cNvGrpSpPr/>
      </xdr:nvGrpSpPr>
      <xdr:grpSpPr>
        <a:xfrm>
          <a:off x="1193628" y="12668251"/>
          <a:ext cx="4045122" cy="1407522"/>
          <a:chOff x="1469853" y="11125201"/>
          <a:chExt cx="4045122" cy="1407522"/>
        </a:xfrm>
      </xdr:grpSpPr>
      <xdr:sp macro="" textlink="">
        <xdr:nvSpPr>
          <xdr:cNvPr id="51" name="AccoladeSupérieureFormule">
            <a:extLst>
              <a:ext uri="{FF2B5EF4-FFF2-40B4-BE49-F238E27FC236}">
                <a16:creationId xmlns:a16="http://schemas.microsoft.com/office/drawing/2014/main" id="{8988BE26-3492-42EF-B602-8A9D30438654}"/>
              </a:ext>
            </a:extLst>
          </xdr:cNvPr>
          <xdr:cNvSpPr/>
        </xdr:nvSpPr>
        <xdr:spPr>
          <a:xfrm rot="5400000">
            <a:off x="3236510" y="10870017"/>
            <a:ext cx="499277" cy="182880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2" name="txt_Formule" descr="=AUJOURDHUI()">
            <a:extLst>
              <a:ext uri="{FF2B5EF4-FFF2-40B4-BE49-F238E27FC236}">
                <a16:creationId xmlns:a16="http://schemas.microsoft.com/office/drawing/2014/main" id="{45942F21-2A4D-4F0D-BFDC-BCF1038CEBAD}"/>
              </a:ext>
            </a:extLst>
          </xdr:cNvPr>
          <xdr:cNvSpPr txBox="1"/>
        </xdr:nvSpPr>
        <xdr:spPr>
          <a:xfrm>
            <a:off x="2447926" y="12001501"/>
            <a:ext cx="2086538"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=AUJOURDHUI()</a:t>
            </a:r>
            <a:endParaRPr lang="en-US" sz="2000">
              <a:effectLst/>
              <a:latin typeface="Courier New" panose="02070309020205020404" pitchFamily="49" charset="0"/>
              <a:ea typeface="Times New Roman" panose="02020603050405020304" pitchFamily="18" charset="0"/>
            </a:endParaRPr>
          </a:p>
        </xdr:txBody>
      </xdr:sp>
      <xdr:sp macro="" textlink="">
        <xdr:nvSpPr>
          <xdr:cNvPr id="53" name="txt_LégendeSupérieureFormule" descr="La fonction AUJOURDHUI renvoie la date du jour. Elle se met automatiquement à jour dès qu’Excel procède à un nouveau calcul.">
            <a:extLst>
              <a:ext uri="{FF2B5EF4-FFF2-40B4-BE49-F238E27FC236}">
                <a16:creationId xmlns:a16="http://schemas.microsoft.com/office/drawing/2014/main" id="{5FE64E73-33B5-4F3B-B75B-6870F6A89B75}"/>
              </a:ext>
            </a:extLst>
          </xdr:cNvPr>
          <xdr:cNvSpPr txBox="1">
            <a:spLocks noChangeArrowheads="1"/>
          </xdr:cNvSpPr>
        </xdr:nvSpPr>
        <xdr:spPr bwMode="auto">
          <a:xfrm>
            <a:off x="1469853" y="11125201"/>
            <a:ext cx="4045122" cy="46672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La fonction </a:t>
            </a:r>
            <a:r>
              <a:rPr lang="fr" sz="1100" b="1">
                <a:effectLst/>
                <a:latin typeface="Calibri" panose="020F0502020204030204" pitchFamily="34" charset="0"/>
                <a:ea typeface="Calibri" panose="020F0502020204030204" pitchFamily="34" charset="0"/>
                <a:cs typeface="Times New Roman" panose="02020603050405020304" pitchFamily="18" charset="0"/>
              </a:rPr>
              <a:t>AUJOURDHUI</a:t>
            </a:r>
            <a:r>
              <a:rPr lang="fr" sz="1100">
                <a:effectLst/>
                <a:latin typeface="Calibri" panose="020F0502020204030204" pitchFamily="34" charset="0"/>
                <a:ea typeface="Calibri" panose="020F0502020204030204" pitchFamily="34" charset="0"/>
                <a:cs typeface="Times New Roman" panose="02020603050405020304" pitchFamily="18" charset="0"/>
              </a:rPr>
              <a:t> renvoie la date du jour. Elle se met automatiquement</a:t>
            </a:r>
            <a:r>
              <a:rPr lang="fr" sz="1100" baseline="0">
                <a:effectLst/>
                <a:latin typeface="Calibri" panose="020F0502020204030204" pitchFamily="34" charset="0"/>
                <a:ea typeface="Calibri" panose="020F0502020204030204" pitchFamily="34" charset="0"/>
                <a:cs typeface="Times New Roman" panose="02020603050405020304" pitchFamily="18" charset="0"/>
              </a:rPr>
              <a:t> à jour dès qu’Excel procède à un nouveau calcul.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342900</xdr:colOff>
      <xdr:row>0</xdr:row>
      <xdr:rowOff>352424</xdr:rowOff>
    </xdr:from>
    <xdr:to>
      <xdr:col>1</xdr:col>
      <xdr:colOff>5229225</xdr:colOff>
      <xdr:row>26</xdr:row>
      <xdr:rowOff>85725</xdr:rowOff>
    </xdr:to>
    <xdr:grpSp>
      <xdr:nvGrpSpPr>
        <xdr:cNvPr id="54" name="Groupe 231">
          <a:extLst>
            <a:ext uri="{FF2B5EF4-FFF2-40B4-BE49-F238E27FC236}">
              <a16:creationId xmlns:a16="http://schemas.microsoft.com/office/drawing/2014/main" id="{F45D76F2-85BB-420D-97CA-FD284DB372C6}"/>
            </a:ext>
          </a:extLst>
        </xdr:cNvPr>
        <xdr:cNvGrpSpPr/>
      </xdr:nvGrpSpPr>
      <xdr:grpSpPr>
        <a:xfrm>
          <a:off x="342900" y="352424"/>
          <a:ext cx="5734050" cy="5257801"/>
          <a:chOff x="323850" y="276224"/>
          <a:chExt cx="5734050" cy="5055121"/>
        </a:xfrm>
      </xdr:grpSpPr>
      <xdr:sp macro="" textlink="">
        <xdr:nvSpPr>
          <xdr:cNvPr id="55" name="txt_ArrièrePlanVisiteGuidée" descr="Arrière-plan">
            <a:extLst>
              <a:ext uri="{FF2B5EF4-FFF2-40B4-BE49-F238E27FC236}">
                <a16:creationId xmlns:a16="http://schemas.microsoft.com/office/drawing/2014/main" id="{2E252EC0-AC58-4637-A7B4-EA4ADBBD57F8}"/>
              </a:ext>
            </a:extLst>
          </xdr:cNvPr>
          <xdr:cNvSpPr/>
        </xdr:nvSpPr>
        <xdr:spPr>
          <a:xfrm>
            <a:off x="323850" y="276224"/>
            <a:ext cx="5734050" cy="505512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56" name="txt_EnTêteVisiteGuidée" descr="Introduction aux fonctions">
            <a:extLst>
              <a:ext uri="{FF2B5EF4-FFF2-40B4-BE49-F238E27FC236}">
                <a16:creationId xmlns:a16="http://schemas.microsoft.com/office/drawing/2014/main" id="{E45CF30D-8DA9-4759-A8C3-D22BD00AFCE4}"/>
              </a:ext>
            </a:extLst>
          </xdr:cNvPr>
          <xdr:cNvSpPr txBox="1"/>
        </xdr:nvSpPr>
        <xdr:spPr>
          <a:xfrm>
            <a:off x="536578" y="371474"/>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Introduction aux fonctions</a:t>
            </a:r>
          </a:p>
        </xdr:txBody>
      </xdr:sp>
      <xdr:cxnSp macro="">
        <xdr:nvCxnSpPr>
          <xdr:cNvPr id="57" name="txt_VisiteGuidéeLigne1" descr="Ligne décorative">
            <a:extLst>
              <a:ext uri="{FF2B5EF4-FFF2-40B4-BE49-F238E27FC236}">
                <a16:creationId xmlns:a16="http://schemas.microsoft.com/office/drawing/2014/main" id="{E2FFBC36-85A0-4AEB-9B60-CEAF942894C2}"/>
              </a:ext>
            </a:extLst>
          </xdr:cNvPr>
          <xdr:cNvCxnSpPr>
            <a:cxnSpLocks/>
          </xdr:cNvCxnSpPr>
        </xdr:nvCxnSpPr>
        <xdr:spPr>
          <a:xfrm>
            <a:off x="536578" y="89718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8" name="txt_VisiteGuidéeLigne2" descr="Ligne décorative">
            <a:extLst>
              <a:ext uri="{FF2B5EF4-FFF2-40B4-BE49-F238E27FC236}">
                <a16:creationId xmlns:a16="http://schemas.microsoft.com/office/drawing/2014/main" id="{B586A0C1-B48E-4998-8D5F-E7648B6CDBFD}"/>
              </a:ext>
            </a:extLst>
          </xdr:cNvPr>
          <xdr:cNvCxnSpPr>
            <a:cxnSpLocks/>
          </xdr:cNvCxnSpPr>
        </xdr:nvCxnSpPr>
        <xdr:spPr>
          <a:xfrm>
            <a:off x="536578" y="4522020"/>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9" name="txt_IntroVisiteGuidée" descr="Les fonctions vous permettent d’effectuer différentes actions, comme des opérations mathématiques, des recherches de valeurs ou même des calculs de dates et d’heures. Nous allons essayer différentes méthodes pour additionner des valeurs avec la fonction SOMME.">
            <a:extLst>
              <a:ext uri="{FF2B5EF4-FFF2-40B4-BE49-F238E27FC236}">
                <a16:creationId xmlns:a16="http://schemas.microsoft.com/office/drawing/2014/main" id="{9E1A5B9C-54FF-42D8-A298-0E2BDEE5053D}"/>
              </a:ext>
            </a:extLst>
          </xdr:cNvPr>
          <xdr:cNvSpPr txBox="1"/>
        </xdr:nvSpPr>
        <xdr:spPr>
          <a:xfrm>
            <a:off x="543088" y="976391"/>
            <a:ext cx="5251444" cy="929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fonctions vous permettent d’effectuer différentes actions, comme des opérations mathématiques, des recherches de valeurs ou même des calculs de dates et d’heures. Nous allons essayer différentes méthodes pour additionner des valeurs avec la fonction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grpSp>
        <xdr:nvGrpSpPr>
          <xdr:cNvPr id="60" name="grp_Étape">
            <a:extLst>
              <a:ext uri="{FF2B5EF4-FFF2-40B4-BE49-F238E27FC236}">
                <a16:creationId xmlns:a16="http://schemas.microsoft.com/office/drawing/2014/main" id="{4F216DB0-4F27-4A6A-AB7D-861CBC3F777D}"/>
              </a:ext>
            </a:extLst>
          </xdr:cNvPr>
          <xdr:cNvGrpSpPr/>
        </xdr:nvGrpSpPr>
        <xdr:grpSpPr>
          <a:xfrm>
            <a:off x="542925" y="1821460"/>
            <a:ext cx="5295901" cy="844958"/>
            <a:chOff x="609600" y="7993660"/>
            <a:chExt cx="5261542" cy="844958"/>
          </a:xfrm>
        </xdr:grpSpPr>
        <xdr:sp macro="" textlink="">
          <xdr:nvSpPr>
            <xdr:cNvPr id="69" name="txt_Étape" descr="Sous la colonne Quantité du tableau Fruits (cellule D7), entrez =SOMME(D3:D6). Ou entrez =SOMME(, sélectionnez cette plage avec la souris et appuyez sur la touche Entrée. La formule additionne les valeurs des cellules D3, D4, D5 et D6. Le résultat devrait être 170.">
              <a:extLst>
                <a:ext uri="{FF2B5EF4-FFF2-40B4-BE49-F238E27FC236}">
                  <a16:creationId xmlns:a16="http://schemas.microsoft.com/office/drawing/2014/main" id="{13326F9C-FDA7-4EE0-BA20-902E9FCBD1A5}"/>
                </a:ext>
              </a:extLst>
            </xdr:cNvPr>
            <xdr:cNvSpPr txBox="1"/>
          </xdr:nvSpPr>
          <xdr:spPr>
            <a:xfrm>
              <a:off x="1017295" y="8016563"/>
              <a:ext cx="4853847" cy="822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 la colonne Quantité du tableau Fruits (cellule D7),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=SOMME(D3:D6)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cette plage avec la souris et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formule additionne les valeurs des cellules D3, D4, D5 et D6. Vous obtenez le résultat suivant : 170.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0" name="shp_Étape" descr="1">
              <a:extLst>
                <a:ext uri="{FF2B5EF4-FFF2-40B4-BE49-F238E27FC236}">
                  <a16:creationId xmlns:a16="http://schemas.microsoft.com/office/drawing/2014/main" id="{34AC620E-8D10-49F1-A843-F3D32E8FAD1E}"/>
                </a:ext>
              </a:extLst>
            </xdr:cNvPr>
            <xdr:cNvSpPr/>
          </xdr:nvSpPr>
          <xdr:spPr>
            <a:xfrm>
              <a:off x="609600" y="799366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61" name="grp_Étape">
            <a:extLst>
              <a:ext uri="{FF2B5EF4-FFF2-40B4-BE49-F238E27FC236}">
                <a16:creationId xmlns:a16="http://schemas.microsoft.com/office/drawing/2014/main" id="{BD1DEC96-90F5-4CE1-A1F4-036E0BE7864A}"/>
              </a:ext>
            </a:extLst>
          </xdr:cNvPr>
          <xdr:cNvGrpSpPr/>
        </xdr:nvGrpSpPr>
        <xdr:grpSpPr>
          <a:xfrm>
            <a:off x="542925" y="2619350"/>
            <a:ext cx="5220101" cy="1228426"/>
            <a:chOff x="609600" y="8253387"/>
            <a:chExt cx="5186234" cy="1228426"/>
          </a:xfrm>
        </xdr:grpSpPr>
        <xdr:sp macro="" textlink="">
          <xdr:nvSpPr>
            <xdr:cNvPr id="67" name="txt_Étape" descr="Essayons maintenant la fonctionnalité Somme automatique. Sélectionnez la cellule jaune (G7) du tableau Viande, puis accédez à Formules &gt; Somme automatique &gt; et sélectionnez SOMME. Excel entre automatiquement la formule pour vous. Appuyez sur la touche Enter pour confirmer. La fonctionnalité Somme automatique contient les fonctions les plus courantes.&#10;&#10;">
              <a:extLst>
                <a:ext uri="{FF2B5EF4-FFF2-40B4-BE49-F238E27FC236}">
                  <a16:creationId xmlns:a16="http://schemas.microsoft.com/office/drawing/2014/main" id="{873FA9CE-44DD-45DD-A24E-5DBC30B6EA4E}"/>
                </a:ext>
              </a:extLst>
            </xdr:cNvPr>
            <xdr:cNvSpPr txBox="1"/>
          </xdr:nvSpPr>
          <xdr:spPr>
            <a:xfrm>
              <a:off x="1017295" y="8295345"/>
              <a:ext cx="4778539" cy="1186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Essayons maintenant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Sélectionnez la cellule jaune (G7) du tableau Viande, puis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et sélectionnez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entre automatiquement la formule pour vous. Appuyez sur la touche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confirmer.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contient les fonctions les plus courantes.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68" name="shp_Étape" descr="2">
              <a:extLst>
                <a:ext uri="{FF2B5EF4-FFF2-40B4-BE49-F238E27FC236}">
                  <a16:creationId xmlns:a16="http://schemas.microsoft.com/office/drawing/2014/main" id="{4800928C-E992-4D63-A06B-6A93A1CF4386}"/>
                </a:ext>
              </a:extLst>
            </xdr:cNvPr>
            <xdr:cNvSpPr/>
          </xdr:nvSpPr>
          <xdr:spPr>
            <a:xfrm>
              <a:off x="609600" y="8253387"/>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62" name="Groupe 61">
            <a:extLst>
              <a:ext uri="{FF2B5EF4-FFF2-40B4-BE49-F238E27FC236}">
                <a16:creationId xmlns:a16="http://schemas.microsoft.com/office/drawing/2014/main" id="{03CF1565-FB03-4D3C-B866-3E10FA422FAE}"/>
              </a:ext>
            </a:extLst>
          </xdr:cNvPr>
          <xdr:cNvGrpSpPr/>
        </xdr:nvGrpSpPr>
        <xdr:grpSpPr>
          <a:xfrm>
            <a:off x="542925" y="3775145"/>
            <a:ext cx="5234994" cy="741152"/>
            <a:chOff x="561975" y="3584645"/>
            <a:chExt cx="5234994" cy="741152"/>
          </a:xfrm>
        </xdr:grpSpPr>
        <xdr:sp macro="" textlink="">
          <xdr:nvSpPr>
            <xdr:cNvPr id="63" name="3" descr="3">
              <a:extLst>
                <a:ext uri="{FF2B5EF4-FFF2-40B4-BE49-F238E27FC236}">
                  <a16:creationId xmlns:a16="http://schemas.microsoft.com/office/drawing/2014/main" id="{BF1085ED-B92B-4EA7-A1FD-15D9A5FB1432}"/>
                </a:ext>
              </a:extLst>
            </xdr:cNvPr>
            <xdr:cNvSpPr/>
          </xdr:nvSpPr>
          <xdr:spPr>
            <a:xfrm>
              <a:off x="561975" y="3584645"/>
              <a:ext cx="371587" cy="36775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sp macro="" textlink="">
          <xdr:nvSpPr>
            <xdr:cNvPr id="64" name="Étape" descr="Vous pouvez aussi utiliser un raccourci clavier. Sélectionnez la cellule D15, puis appuyez sur Alt = et sur Entrée. La fonction SOMME est automatiquement entrée.">
              <a:extLst>
                <a:ext uri="{FF2B5EF4-FFF2-40B4-BE49-F238E27FC236}">
                  <a16:creationId xmlns:a16="http://schemas.microsoft.com/office/drawing/2014/main" id="{076CD7FD-9DE3-4E49-A48A-750E73B505FD}"/>
                </a:ext>
              </a:extLst>
            </xdr:cNvPr>
            <xdr:cNvSpPr txBox="1"/>
          </xdr:nvSpPr>
          <xdr:spPr>
            <a:xfrm>
              <a:off x="987453" y="3630121"/>
              <a:ext cx="4809516" cy="695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Vous pouvez aussi utiliser un raccourci clavier. Sélectionnez la cellule D15, puis appuyez sur 	      et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automatiquement entrée.</a:t>
              </a:r>
            </a:p>
          </xdr:txBody>
        </xdr:sp>
        <xdr:sp macro="" textlink="">
          <xdr:nvSpPr>
            <xdr:cNvPr id="65" name="Touche Égal" descr="Touche Égal">
              <a:extLst>
                <a:ext uri="{FF2B5EF4-FFF2-40B4-BE49-F238E27FC236}">
                  <a16:creationId xmlns:a16="http://schemas.microsoft.com/office/drawing/2014/main" id="{90B5608A-9520-431C-9355-F4762367E1AB}"/>
                </a:ext>
              </a:extLst>
            </xdr:cNvPr>
            <xdr:cNvSpPr/>
          </xdr:nvSpPr>
          <xdr:spPr>
            <a:xfrm>
              <a:off x="2660780" y="3881257"/>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000">
                  <a:solidFill>
                    <a:schemeClr val="tx1"/>
                  </a:solidFill>
                  <a:latin typeface="Calibri" panose="020F0502020204030204" pitchFamily="34" charset="0"/>
                </a:rPr>
                <a:t>=</a:t>
              </a:r>
              <a:endParaRPr lang="en-US" sz="900">
                <a:solidFill>
                  <a:schemeClr val="tx1"/>
                </a:solidFill>
                <a:latin typeface="Calibri" panose="020F0502020204030204" pitchFamily="34" charset="0"/>
              </a:endParaRPr>
            </a:p>
          </xdr:txBody>
        </xdr:sp>
        <xdr:sp macro="" textlink="">
          <xdr:nvSpPr>
            <xdr:cNvPr id="66" name="Touche Alt" descr="Touche Alt">
              <a:extLst>
                <a:ext uri="{FF2B5EF4-FFF2-40B4-BE49-F238E27FC236}">
                  <a16:creationId xmlns:a16="http://schemas.microsoft.com/office/drawing/2014/main" id="{EEF8E589-E4A0-48A3-B372-A7761B114025}"/>
                </a:ext>
              </a:extLst>
            </xdr:cNvPr>
            <xdr:cNvSpPr/>
          </xdr:nvSpPr>
          <xdr:spPr>
            <a:xfrm>
              <a:off x="2168964" y="3881257"/>
              <a:ext cx="422585" cy="17306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900" spc="100" baseline="0">
                  <a:solidFill>
                    <a:schemeClr val="tx1"/>
                  </a:solidFill>
                  <a:latin typeface="Calibri" panose="020F0502020204030204" pitchFamily="34" charset="0"/>
                </a:rPr>
                <a:t>Alt</a:t>
              </a:r>
              <a:endParaRPr lang="en-US" sz="800" spc="100" baseline="0">
                <a:solidFill>
                  <a:schemeClr val="tx1"/>
                </a:solidFill>
                <a:latin typeface="Calibri" panose="020F0502020204030204" pitchFamily="34" charset="0"/>
              </a:endParaRPr>
            </a:p>
          </xdr:txBody>
        </xdr:sp>
      </xdr:grpSp>
    </xdr:grpSp>
    <xdr:clientData/>
  </xdr:twoCellAnchor>
  <xdr:twoCellAnchor>
    <xdr:from>
      <xdr:col>0</xdr:col>
      <xdr:colOff>647700</xdr:colOff>
      <xdr:row>23</xdr:row>
      <xdr:rowOff>1</xdr:rowOff>
    </xdr:from>
    <xdr:to>
      <xdr:col>1</xdr:col>
      <xdr:colOff>3324225</xdr:colOff>
      <xdr:row>25</xdr:row>
      <xdr:rowOff>149925</xdr:rowOff>
    </xdr:to>
    <xdr:sp macro="" textlink="">
      <xdr:nvSpPr>
        <xdr:cNvPr id="71" name="Bouton Plus de détails" descr="Poursuivez votre lecture pour plus d’informations">
          <a:hlinkClick xmlns:r="http://schemas.openxmlformats.org/officeDocument/2006/relationships" r:id="rId17"/>
          <a:extLst>
            <a:ext uri="{FF2B5EF4-FFF2-40B4-BE49-F238E27FC236}">
              <a16:creationId xmlns:a16="http://schemas.microsoft.com/office/drawing/2014/main" id="{91EDC532-FA54-4066-8CCF-6E0537B444EE}"/>
            </a:ext>
          </a:extLst>
        </xdr:cNvPr>
        <xdr:cNvSpPr/>
      </xdr:nvSpPr>
      <xdr:spPr>
        <a:xfrm>
          <a:off x="647700" y="4953001"/>
          <a:ext cx="3524250"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1</xdr:col>
      <xdr:colOff>3600450</xdr:colOff>
      <xdr:row>23</xdr:row>
      <xdr:rowOff>1</xdr:rowOff>
    </xdr:from>
    <xdr:to>
      <xdr:col>1</xdr:col>
      <xdr:colOff>5013351</xdr:colOff>
      <xdr:row>24</xdr:row>
      <xdr:rowOff>154400</xdr:rowOff>
    </xdr:to>
    <xdr:sp macro="" textlink="">
      <xdr:nvSpPr>
        <xdr:cNvPr id="72" name="Bouton Suivant" descr="Bouton Étape suivante, lien hypertexte vers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E8555819-DC6D-481E-94B8-F4B9200E462D}"/>
            </a:ext>
          </a:extLst>
        </xdr:cNvPr>
        <xdr:cNvSpPr/>
      </xdr:nvSpPr>
      <xdr:spPr>
        <a:xfrm>
          <a:off x="4448175" y="4953001"/>
          <a:ext cx="1412901" cy="344899"/>
        </a:xfrm>
        <a:prstGeom prst="rightArrowCallout">
          <a:avLst>
            <a:gd name="adj1" fmla="val 32829"/>
            <a:gd name="adj2" fmla="val 31524"/>
            <a:gd name="adj3" fmla="val 25000"/>
            <a:gd name="adj4" fmla="val 88379"/>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666753</xdr:colOff>
      <xdr:row>15</xdr:row>
      <xdr:rowOff>9525</xdr:rowOff>
    </xdr:from>
    <xdr:to>
      <xdr:col>11</xdr:col>
      <xdr:colOff>314327</xdr:colOff>
      <xdr:row>24</xdr:row>
      <xdr:rowOff>123825</xdr:rowOff>
    </xdr:to>
    <xdr:grpSp>
      <xdr:nvGrpSpPr>
        <xdr:cNvPr id="2" name="Groupe 1" descr="EXTRA CREDIT&#10;Try adding another SUMIF formula here, but add amounts that are less than 100. The result should be 160&#10;">
          <a:extLst>
            <a:ext uri="{FF2B5EF4-FFF2-40B4-BE49-F238E27FC236}">
              <a16:creationId xmlns:a16="http://schemas.microsoft.com/office/drawing/2014/main" id="{172AFBBB-EFCE-4888-83ED-6584AE590757}"/>
            </a:ext>
          </a:extLst>
        </xdr:cNvPr>
        <xdr:cNvGrpSpPr/>
      </xdr:nvGrpSpPr>
      <xdr:grpSpPr>
        <a:xfrm>
          <a:off x="8991603" y="3438525"/>
          <a:ext cx="3781424" cy="1828800"/>
          <a:chOff x="9048750" y="3743325"/>
          <a:chExt cx="3955682" cy="1828800"/>
        </a:xfrm>
      </xdr:grpSpPr>
      <xdr:sp macro="" textlink="">
        <xdr:nvSpPr>
          <xdr:cNvPr id="3" name="Étape" descr="EXTRA CREDIT&#10;Try adding your own AVERAGE or COUNT function here by typing it by hand. If you look closely, you'll see Excel's intellisense try to help you.&#10;">
            <a:extLst>
              <a:ext uri="{FF2B5EF4-FFF2-40B4-BE49-F238E27FC236}">
                <a16:creationId xmlns:a16="http://schemas.microsoft.com/office/drawing/2014/main" id="{0701A3EB-78D1-4566-BD61-403728DD3708}"/>
              </a:ext>
            </a:extLst>
          </xdr:cNvPr>
          <xdr:cNvSpPr txBox="1"/>
        </xdr:nvSpPr>
        <xdr:spPr>
          <a:xfrm>
            <a:off x="9648642" y="3905249"/>
            <a:ext cx="3355790" cy="1666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panose="020B0502040204020203" pitchFamily="34" charset="0"/>
              </a:rPr>
              <a:t>BONUS SUPPLÉMENTAIRE</a:t>
            </a:r>
          </a:p>
          <a:p>
            <a:pPr lvl="0" rtl="0">
              <a:defRPr/>
            </a:pPr>
            <a:r>
              <a:rPr lang="fr" sz="1100"/>
              <a:t>Essayez d’utiliser ici la fonction</a:t>
            </a:r>
            <a:r>
              <a:rPr lang="fr" sz="1100" baseline="0"/>
              <a:t> </a:t>
            </a:r>
            <a:r>
              <a:rPr lang="fr" sz="1100" b="1"/>
              <a:t>MEDIANE</a:t>
            </a:r>
            <a:r>
              <a:rPr lang="fr" sz="1100"/>
              <a:t> ou </a:t>
            </a:r>
            <a:r>
              <a:rPr lang="fr" sz="1100" b="1"/>
              <a:t>MODE</a:t>
            </a:r>
            <a:r>
              <a:rPr lang="fr" sz="1100"/>
              <a:t>.</a:t>
            </a:r>
            <a:r>
              <a:rPr lang="fr" sz="1100" baseline="0"/>
              <a:t> </a:t>
            </a:r>
          </a:p>
          <a:p>
            <a:pPr lvl="0" rtl="0">
              <a:defRPr/>
            </a:pPr>
            <a:endParaRPr lang="en-US" sz="1100" baseline="0"/>
          </a:p>
          <a:p>
            <a:pPr lvl="0" rtl="0">
              <a:defRPr/>
            </a:pPr>
            <a:r>
              <a:rPr lang="fr" sz="1100" b="1" baseline="0"/>
              <a:t>MEDIANE</a:t>
            </a:r>
            <a:r>
              <a:rPr lang="fr" sz="1100" baseline="0"/>
              <a:t> renvoie la valeur qui se trouve au centre de l’ensemble de données, tandis que </a:t>
            </a:r>
          </a:p>
          <a:p>
            <a:pPr lvl="0" rtl="0">
              <a:defRPr/>
            </a:pPr>
            <a:r>
              <a:rPr lang="fr" sz="1100" b="1" baseline="0"/>
              <a:t>MODE</a:t>
            </a:r>
            <a:r>
              <a:rPr lang="fr" sz="1100" baseline="0"/>
              <a:t> renvoie la valeur la plus fréquente.</a:t>
            </a:r>
            <a:endParaRPr lang="en-US" sz="1100"/>
          </a:p>
        </xdr:txBody>
      </xdr:sp>
      <xdr:pic>
        <xdr:nvPicPr>
          <xdr:cNvPr id="4" name="Ruban Bonus supplémentaire" descr="Ruban décoratif">
            <a:extLst>
              <a:ext uri="{FF2B5EF4-FFF2-40B4-BE49-F238E27FC236}">
                <a16:creationId xmlns:a16="http://schemas.microsoft.com/office/drawing/2014/main" id="{A3279174-9676-46A6-88CE-25071A337AB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287099" y="3950551"/>
            <a:ext cx="474289" cy="439736"/>
          </a:xfrm>
          <a:prstGeom prst="rect">
            <a:avLst/>
          </a:prstGeom>
        </xdr:spPr>
      </xdr:pic>
      <xdr:sp macro="" textlink="">
        <xdr:nvSpPr>
          <xdr:cNvPr id="5" name="Flèche Bonus supplémentaire" descr="Flèche">
            <a:extLst>
              <a:ext uri="{FF2B5EF4-FFF2-40B4-BE49-F238E27FC236}">
                <a16:creationId xmlns:a16="http://schemas.microsoft.com/office/drawing/2014/main" id="{9C3D4A6B-CA57-42D8-8B85-A00D4DD22B7A}"/>
              </a:ext>
            </a:extLst>
          </xdr:cNvPr>
          <xdr:cNvSpPr/>
        </xdr:nvSpPr>
        <xdr:spPr>
          <a:xfrm rot="15682076" flipH="1">
            <a:off x="9021478" y="3770597"/>
            <a:ext cx="462029" cy="407486"/>
          </a:xfrm>
          <a:prstGeom prst="arc">
            <a:avLst>
              <a:gd name="adj1" fmla="val 11397275"/>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0</xdr:col>
      <xdr:colOff>481025</xdr:colOff>
      <xdr:row>13</xdr:row>
      <xdr:rowOff>141556</xdr:rowOff>
    </xdr:from>
    <xdr:to>
      <xdr:col>1</xdr:col>
      <xdr:colOff>779257</xdr:colOff>
      <xdr:row>15</xdr:row>
      <xdr:rowOff>108028</xdr:rowOff>
    </xdr:to>
    <xdr:sp macro="" textlink="">
      <xdr:nvSpPr>
        <xdr:cNvPr id="6"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CBF36940-323F-47EA-AB88-A14509E6969A}"/>
            </a:ext>
          </a:extLst>
        </xdr:cNvPr>
        <xdr:cNvSpPr/>
      </xdr:nvSpPr>
      <xdr:spPr>
        <a:xfrm flipH="1">
          <a:off x="481025" y="3189556"/>
          <a:ext cx="1145957"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xdr:twoCellAnchor>
  <xdr:twoCellAnchor>
    <xdr:from>
      <xdr:col>1</xdr:col>
      <xdr:colOff>3662126</xdr:colOff>
      <xdr:row>13</xdr:row>
      <xdr:rowOff>103667</xdr:rowOff>
    </xdr:from>
    <xdr:to>
      <xdr:col>1</xdr:col>
      <xdr:colOff>4794925</xdr:colOff>
      <xdr:row>15</xdr:row>
      <xdr:rowOff>70139</xdr:rowOff>
    </xdr:to>
    <xdr:sp macro="" textlink="">
      <xdr:nvSpPr>
        <xdr:cNvPr id="7" name="BoutonSuivant" descr="Passer à la feuille suivante">
          <a:hlinkClick xmlns:r="http://schemas.openxmlformats.org/officeDocument/2006/relationships" r:id="rId4" tooltip="Cliquez ici pour passer à la feuille de calcul suivante"/>
          <a:extLst>
            <a:ext uri="{FF2B5EF4-FFF2-40B4-BE49-F238E27FC236}">
              <a16:creationId xmlns:a16="http://schemas.microsoft.com/office/drawing/2014/main" id="{93C2FF84-829D-4524-8D49-C96540754551}"/>
            </a:ext>
          </a:extLst>
        </xdr:cNvPr>
        <xdr:cNvSpPr/>
      </xdr:nvSpPr>
      <xdr:spPr>
        <a:xfrm>
          <a:off x="4509851" y="3151667"/>
          <a:ext cx="1132799" cy="347472"/>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xdr:from>
      <xdr:col>0</xdr:col>
      <xdr:colOff>323850</xdr:colOff>
      <xdr:row>18</xdr:row>
      <xdr:rowOff>66676</xdr:rowOff>
    </xdr:from>
    <xdr:to>
      <xdr:col>1</xdr:col>
      <xdr:colOff>5172075</xdr:colOff>
      <xdr:row>31</xdr:row>
      <xdr:rowOff>38100</xdr:rowOff>
    </xdr:to>
    <xdr:grpSp>
      <xdr:nvGrpSpPr>
        <xdr:cNvPr id="8" name="Groupe 7">
          <a:extLst>
            <a:ext uri="{FF2B5EF4-FFF2-40B4-BE49-F238E27FC236}">
              <a16:creationId xmlns:a16="http://schemas.microsoft.com/office/drawing/2014/main" id="{34D3370D-30CF-40FD-8994-B635D8DF359D}"/>
            </a:ext>
          </a:extLst>
        </xdr:cNvPr>
        <xdr:cNvGrpSpPr/>
      </xdr:nvGrpSpPr>
      <xdr:grpSpPr>
        <a:xfrm>
          <a:off x="323850" y="4067176"/>
          <a:ext cx="5695950" cy="2447924"/>
          <a:chOff x="323850" y="3781426"/>
          <a:chExt cx="5695950" cy="2447924"/>
        </a:xfrm>
      </xdr:grpSpPr>
      <xdr:sp macro="" textlink="">
        <xdr:nvSpPr>
          <xdr:cNvPr id="9" name="Rectangle 61">
            <a:extLst>
              <a:ext uri="{FF2B5EF4-FFF2-40B4-BE49-F238E27FC236}">
                <a16:creationId xmlns:a16="http://schemas.microsoft.com/office/drawing/2014/main" id="{D1858D57-1223-43A1-A8A7-EDB08E97D598}"/>
              </a:ext>
            </a:extLst>
          </xdr:cNvPr>
          <xdr:cNvSpPr/>
        </xdr:nvSpPr>
        <xdr:spPr>
          <a:xfrm>
            <a:off x="323850" y="3781426"/>
            <a:ext cx="5695950" cy="244792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0" name="Étape" descr="Plus d’informations sur le web&#10;">
            <a:extLst>
              <a:ext uri="{FF2B5EF4-FFF2-40B4-BE49-F238E27FC236}">
                <a16:creationId xmlns:a16="http://schemas.microsoft.com/office/drawing/2014/main" id="{1ED4EF89-2EF4-4B09-9A84-126EB896D97F}"/>
              </a:ext>
            </a:extLst>
          </xdr:cNvPr>
          <xdr:cNvSpPr txBox="1"/>
        </xdr:nvSpPr>
        <xdr:spPr>
          <a:xfrm>
            <a:off x="553932" y="386162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1" name="Connecteur droit 10" descr="Ligne décorative">
            <a:extLst>
              <a:ext uri="{FF2B5EF4-FFF2-40B4-BE49-F238E27FC236}">
                <a16:creationId xmlns:a16="http://schemas.microsoft.com/office/drawing/2014/main" id="{F81E0C28-6C75-4564-91CF-03966535F328}"/>
              </a:ext>
            </a:extLst>
          </xdr:cNvPr>
          <xdr:cNvCxnSpPr>
            <a:cxnSpLocks/>
          </xdr:cNvCxnSpPr>
        </xdr:nvCxnSpPr>
        <xdr:spPr>
          <a:xfrm>
            <a:off x="557084" y="4327143"/>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2" name="Connecteur droit 11" descr="Ligne décorative">
            <a:extLst>
              <a:ext uri="{FF2B5EF4-FFF2-40B4-BE49-F238E27FC236}">
                <a16:creationId xmlns:a16="http://schemas.microsoft.com/office/drawing/2014/main" id="{D4AC4784-2D13-493C-BF97-9F4D03140416}"/>
              </a:ext>
            </a:extLst>
          </xdr:cNvPr>
          <xdr:cNvCxnSpPr>
            <a:cxnSpLocks/>
          </xdr:cNvCxnSpPr>
        </xdr:nvCxnSpPr>
        <xdr:spPr>
          <a:xfrm>
            <a:off x="557084" y="602638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533831</xdr:colOff>
      <xdr:row>21</xdr:row>
      <xdr:rowOff>121369</xdr:rowOff>
    </xdr:from>
    <xdr:to>
      <xdr:col>1</xdr:col>
      <xdr:colOff>2552700</xdr:colOff>
      <xdr:row>23</xdr:row>
      <xdr:rowOff>99448</xdr:rowOff>
    </xdr:to>
    <xdr:grpSp>
      <xdr:nvGrpSpPr>
        <xdr:cNvPr id="13" name="Groupe 3">
          <a:extLst>
            <a:ext uri="{FF2B5EF4-FFF2-40B4-BE49-F238E27FC236}">
              <a16:creationId xmlns:a16="http://schemas.microsoft.com/office/drawing/2014/main" id="{74B79E2B-FAAF-4E9D-BDA6-08DC8F42D97A}"/>
            </a:ext>
          </a:extLst>
        </xdr:cNvPr>
        <xdr:cNvGrpSpPr/>
      </xdr:nvGrpSpPr>
      <xdr:grpSpPr>
        <a:xfrm>
          <a:off x="533831" y="4693369"/>
          <a:ext cx="2866594" cy="359079"/>
          <a:chOff x="533831" y="4331419"/>
          <a:chExt cx="2866594" cy="359079"/>
        </a:xfrm>
      </xdr:grpSpPr>
      <xdr:sp macro="" textlink="">
        <xdr:nvSpPr>
          <xdr:cNvPr id="14" name="Étape" descr="À propos de la fonction MOYENNE, lien hypertexte vers le web&#10;&#10;">
            <a:hlinkClick xmlns:r="http://schemas.openxmlformats.org/officeDocument/2006/relationships" r:id="rId5" tooltip="Sélectionnez ce lien pour accéder sur le web à des informations complémentaires sur la fonction MOYENNE"/>
            <a:extLst>
              <a:ext uri="{FF2B5EF4-FFF2-40B4-BE49-F238E27FC236}">
                <a16:creationId xmlns:a16="http://schemas.microsoft.com/office/drawing/2014/main" id="{15D55CEC-7E61-4E42-858D-F7C78BE7FB45}"/>
              </a:ext>
            </a:extLst>
          </xdr:cNvPr>
          <xdr:cNvSpPr txBox="1"/>
        </xdr:nvSpPr>
        <xdr:spPr>
          <a:xfrm>
            <a:off x="999016" y="44057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MOYENNE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5"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6F5DBA48-4797-4B64-B20F-B5DA4C527BC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4331419"/>
            <a:ext cx="492262" cy="359079"/>
          </a:xfrm>
          <a:prstGeom prst="rect">
            <a:avLst/>
          </a:prstGeom>
        </xdr:spPr>
      </xdr:pic>
    </xdr:grpSp>
    <xdr:clientData/>
  </xdr:twoCellAnchor>
  <xdr:twoCellAnchor>
    <xdr:from>
      <xdr:col>0</xdr:col>
      <xdr:colOff>533831</xdr:colOff>
      <xdr:row>23</xdr:row>
      <xdr:rowOff>114810</xdr:rowOff>
    </xdr:from>
    <xdr:to>
      <xdr:col>1</xdr:col>
      <xdr:colOff>2581275</xdr:colOff>
      <xdr:row>25</xdr:row>
      <xdr:rowOff>98199</xdr:rowOff>
    </xdr:to>
    <xdr:grpSp>
      <xdr:nvGrpSpPr>
        <xdr:cNvPr id="16" name="Groupe 4">
          <a:extLst>
            <a:ext uri="{FF2B5EF4-FFF2-40B4-BE49-F238E27FC236}">
              <a16:creationId xmlns:a16="http://schemas.microsoft.com/office/drawing/2014/main" id="{2612C0D2-5CD5-41E0-B69F-72D4D53D9594}"/>
            </a:ext>
          </a:extLst>
        </xdr:cNvPr>
        <xdr:cNvGrpSpPr/>
      </xdr:nvGrpSpPr>
      <xdr:grpSpPr>
        <a:xfrm>
          <a:off x="533831" y="5067810"/>
          <a:ext cx="2895169" cy="364389"/>
          <a:chOff x="533831" y="4705860"/>
          <a:chExt cx="2895169" cy="364389"/>
        </a:xfrm>
      </xdr:grpSpPr>
      <xdr:sp macro="" textlink="">
        <xdr:nvSpPr>
          <xdr:cNvPr id="17" name="Étape" descr="À propos de la fonction NB, lien hypertexte vers le web&#10;">
            <a:hlinkClick xmlns:r="http://schemas.openxmlformats.org/officeDocument/2006/relationships" r:id="rId8" tooltip="Sélectionnez ce lien pour accéder sur le web à des informations complémentaires sur la fonction MEDIANE"/>
            <a:extLst>
              <a:ext uri="{FF2B5EF4-FFF2-40B4-BE49-F238E27FC236}">
                <a16:creationId xmlns:a16="http://schemas.microsoft.com/office/drawing/2014/main" id="{C51E7931-8306-4914-97F9-F17C601E26F8}"/>
              </a:ext>
            </a:extLst>
          </xdr:cNvPr>
          <xdr:cNvSpPr txBox="1"/>
        </xdr:nvSpPr>
        <xdr:spPr>
          <a:xfrm>
            <a:off x="999016" y="480271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MEDIANE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18"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73AB1377-77DD-42AA-AFD2-02C520428E3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4705860"/>
            <a:ext cx="492262" cy="364389"/>
          </a:xfrm>
          <a:prstGeom prst="rect">
            <a:avLst/>
          </a:prstGeom>
        </xdr:spPr>
      </xdr:pic>
    </xdr:grpSp>
    <xdr:clientData/>
  </xdr:twoCellAnchor>
  <xdr:twoCellAnchor>
    <xdr:from>
      <xdr:col>0</xdr:col>
      <xdr:colOff>533831</xdr:colOff>
      <xdr:row>25</xdr:row>
      <xdr:rowOff>128473</xdr:rowOff>
    </xdr:from>
    <xdr:to>
      <xdr:col>1</xdr:col>
      <xdr:colOff>2571750</xdr:colOff>
      <xdr:row>27</xdr:row>
      <xdr:rowOff>106552</xdr:rowOff>
    </xdr:to>
    <xdr:grpSp>
      <xdr:nvGrpSpPr>
        <xdr:cNvPr id="19" name="Groupe 5">
          <a:extLst>
            <a:ext uri="{FF2B5EF4-FFF2-40B4-BE49-F238E27FC236}">
              <a16:creationId xmlns:a16="http://schemas.microsoft.com/office/drawing/2014/main" id="{A9BB6025-EFA9-455C-BA7A-7F0F070F739D}"/>
            </a:ext>
          </a:extLst>
        </xdr:cNvPr>
        <xdr:cNvGrpSpPr/>
      </xdr:nvGrpSpPr>
      <xdr:grpSpPr>
        <a:xfrm>
          <a:off x="533831" y="5462473"/>
          <a:ext cx="2885644" cy="359079"/>
          <a:chOff x="533831" y="5100523"/>
          <a:chExt cx="2885644" cy="359079"/>
        </a:xfrm>
      </xdr:grpSpPr>
      <xdr:sp macro="" textlink="">
        <xdr:nvSpPr>
          <xdr:cNvPr id="20" name="Étape" descr="Utiliser Excel comme calculatrice, lien hypertexte vers le web&#10;">
            <a:hlinkClick xmlns:r="http://schemas.openxmlformats.org/officeDocument/2006/relationships" r:id="rId9" tooltip="Sélectionnez ce lien pour accéder sur le web à des informations complémentaires sur la fonction MODE"/>
            <a:extLst>
              <a:ext uri="{FF2B5EF4-FFF2-40B4-BE49-F238E27FC236}">
                <a16:creationId xmlns:a16="http://schemas.microsoft.com/office/drawing/2014/main" id="{44D9BFFD-65DB-42C3-8B92-E1D32A508DB6}"/>
              </a:ext>
            </a:extLst>
          </xdr:cNvPr>
          <xdr:cNvSpPr txBox="1"/>
        </xdr:nvSpPr>
        <xdr:spPr>
          <a:xfrm>
            <a:off x="999016" y="5196474"/>
            <a:ext cx="2420459" cy="237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MODE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1" name="Graphisme 70"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5372E84E-556F-4BC4-92E6-19BAA771A0D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3831" y="5100523"/>
            <a:ext cx="492262" cy="359079"/>
          </a:xfrm>
          <a:prstGeom prst="rect">
            <a:avLst/>
          </a:prstGeom>
        </xdr:spPr>
      </xdr:pic>
    </xdr:grpSp>
    <xdr:clientData/>
  </xdr:twoCellAnchor>
  <xdr:twoCellAnchor>
    <xdr:from>
      <xdr:col>0</xdr:col>
      <xdr:colOff>546440</xdr:colOff>
      <xdr:row>27</xdr:row>
      <xdr:rowOff>136828</xdr:rowOff>
    </xdr:from>
    <xdr:to>
      <xdr:col>1</xdr:col>
      <xdr:colOff>2771775</xdr:colOff>
      <xdr:row>29</xdr:row>
      <xdr:rowOff>120217</xdr:rowOff>
    </xdr:to>
    <xdr:grpSp>
      <xdr:nvGrpSpPr>
        <xdr:cNvPr id="22" name="Groupe 21">
          <a:extLst>
            <a:ext uri="{FF2B5EF4-FFF2-40B4-BE49-F238E27FC236}">
              <a16:creationId xmlns:a16="http://schemas.microsoft.com/office/drawing/2014/main" id="{75F6BD3A-7F5A-40D6-BECF-5912D7A1D0D3}"/>
            </a:ext>
          </a:extLst>
        </xdr:cNvPr>
        <xdr:cNvGrpSpPr/>
      </xdr:nvGrpSpPr>
      <xdr:grpSpPr>
        <a:xfrm>
          <a:off x="546440" y="5851828"/>
          <a:ext cx="3073060" cy="364389"/>
          <a:chOff x="546440" y="5489878"/>
          <a:chExt cx="3073060" cy="364389"/>
        </a:xfrm>
      </xdr:grpSpPr>
      <xdr:sp macro="" textlink="">
        <xdr:nvSpPr>
          <xdr:cNvPr id="23" name="Étape" descr="Formation Excel gratuite en ligne, lien hypertexte vers le web&#10;">
            <a:hlinkClick xmlns:r="http://schemas.openxmlformats.org/officeDocument/2006/relationships" r:id="rId10" tooltip="Sélectionnez ce lien pour accéder sur le web à une formation gratuite sur Excel"/>
            <a:extLst>
              <a:ext uri="{FF2B5EF4-FFF2-40B4-BE49-F238E27FC236}">
                <a16:creationId xmlns:a16="http://schemas.microsoft.com/office/drawing/2014/main" id="{667156C4-72EC-497A-B4BE-67EDBBEE53DB}"/>
              </a:ext>
            </a:extLst>
          </xdr:cNvPr>
          <xdr:cNvSpPr txBox="1"/>
        </xdr:nvSpPr>
        <xdr:spPr>
          <a:xfrm>
            <a:off x="1011624" y="5569557"/>
            <a:ext cx="2607876"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4" name="Graphisme 22" descr="Flèche">
            <a:hlinkClick xmlns:r="http://schemas.openxmlformats.org/officeDocument/2006/relationships" r:id="rId10" tooltip="Sélectionnez ce lien pour accéder à des informations complémentaires sur le web"/>
            <a:extLst>
              <a:ext uri="{FF2B5EF4-FFF2-40B4-BE49-F238E27FC236}">
                <a16:creationId xmlns:a16="http://schemas.microsoft.com/office/drawing/2014/main" id="{822010B1-5302-48D1-83FC-A72766841B1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46440" y="5489878"/>
            <a:ext cx="492262" cy="364389"/>
          </a:xfrm>
          <a:prstGeom prst="rect">
            <a:avLst/>
          </a:prstGeom>
        </xdr:spPr>
      </xdr:pic>
    </xdr:grpSp>
    <xdr:clientData/>
  </xdr:twoCellAnchor>
  <xdr:twoCellAnchor>
    <xdr:from>
      <xdr:col>0</xdr:col>
      <xdr:colOff>333375</xdr:colOff>
      <xdr:row>0</xdr:row>
      <xdr:rowOff>352424</xdr:rowOff>
    </xdr:from>
    <xdr:to>
      <xdr:col>1</xdr:col>
      <xdr:colOff>5162550</xdr:colOff>
      <xdr:row>17</xdr:row>
      <xdr:rowOff>142875</xdr:rowOff>
    </xdr:to>
    <xdr:grpSp>
      <xdr:nvGrpSpPr>
        <xdr:cNvPr id="25" name="Groupe 1">
          <a:extLst>
            <a:ext uri="{FF2B5EF4-FFF2-40B4-BE49-F238E27FC236}">
              <a16:creationId xmlns:a16="http://schemas.microsoft.com/office/drawing/2014/main" id="{0C8649DD-0F98-4529-9B69-20C2AC9BAA28}"/>
            </a:ext>
          </a:extLst>
        </xdr:cNvPr>
        <xdr:cNvGrpSpPr/>
      </xdr:nvGrpSpPr>
      <xdr:grpSpPr>
        <a:xfrm>
          <a:off x="333375" y="352424"/>
          <a:ext cx="5676900" cy="3600451"/>
          <a:chOff x="333375" y="352424"/>
          <a:chExt cx="5676900" cy="3600451"/>
        </a:xfrm>
      </xdr:grpSpPr>
      <xdr:sp macro="" textlink="">
        <xdr:nvSpPr>
          <xdr:cNvPr id="26" name="Arrière-plan" descr="Arrière-plan">
            <a:extLst>
              <a:ext uri="{FF2B5EF4-FFF2-40B4-BE49-F238E27FC236}">
                <a16:creationId xmlns:a16="http://schemas.microsoft.com/office/drawing/2014/main" id="{F0AFFD09-B529-4C6E-9F34-6C485433F5C2}"/>
              </a:ext>
            </a:extLst>
          </xdr:cNvPr>
          <xdr:cNvSpPr/>
        </xdr:nvSpPr>
        <xdr:spPr>
          <a:xfrm>
            <a:off x="333375" y="352424"/>
            <a:ext cx="5676900" cy="3600451"/>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xnSp macro="">
        <xdr:nvCxnSpPr>
          <xdr:cNvPr id="27" name="Trait inférieur" descr="Ligne décorative">
            <a:extLst>
              <a:ext uri="{FF2B5EF4-FFF2-40B4-BE49-F238E27FC236}">
                <a16:creationId xmlns:a16="http://schemas.microsoft.com/office/drawing/2014/main" id="{92EAF57D-FFCD-4748-A661-FEBD55F8BB26}"/>
              </a:ext>
            </a:extLst>
          </xdr:cNvPr>
          <xdr:cNvCxnSpPr>
            <a:cxnSpLocks/>
          </xdr:cNvCxnSpPr>
        </xdr:nvCxnSpPr>
        <xdr:spPr>
          <a:xfrm>
            <a:off x="561975"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8" name="Étape" descr="Fonctions MOYENNE et NB">
            <a:extLst>
              <a:ext uri="{FF2B5EF4-FFF2-40B4-BE49-F238E27FC236}">
                <a16:creationId xmlns:a16="http://schemas.microsoft.com/office/drawing/2014/main" id="{BC791F17-1025-4349-9FF6-63D78EDACC50}"/>
              </a:ext>
            </a:extLst>
          </xdr:cNvPr>
          <xdr:cNvSpPr txBox="1"/>
        </xdr:nvSpPr>
        <xdr:spPr>
          <a:xfrm>
            <a:off x="561975" y="412054"/>
            <a:ext cx="4531545"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1200">
                <a:solidFill>
                  <a:srgbClr val="3B3838"/>
                </a:solidFill>
                <a:effectLst/>
                <a:latin typeface="Segoe UI Light" panose="020B0502040204020203" pitchFamily="34" charset="0"/>
                <a:ea typeface="+mn-ea"/>
                <a:cs typeface="Segoe UI Light" panose="020B0502040204020203" pitchFamily="34" charset="0"/>
              </a:rPr>
              <a:t>Fonction MOYENNE</a:t>
            </a:r>
            <a:endParaRPr kumimoji="0" lang="en-US" sz="2200" b="0" i="0" u="none" strike="noStrike" kern="0" cap="none" spc="0" normalizeH="0" baseline="0">
              <a:ln>
                <a:noFill/>
              </a:ln>
              <a:solidFill>
                <a:srgbClr val="3B3838"/>
              </a:solidFill>
              <a:effectLst/>
              <a:uLnTx/>
              <a:uFillTx/>
              <a:latin typeface="Segoe UI Light" panose="020B0502040204020203" pitchFamily="34" charset="0"/>
              <a:ea typeface="Segoe UI" pitchFamily="34" charset="0"/>
              <a:cs typeface="Courier New" panose="02070309020205020404" pitchFamily="49" charset="0"/>
            </a:endParaRPr>
          </a:p>
        </xdr:txBody>
      </xdr:sp>
      <xdr:sp macro="" textlink="">
        <xdr:nvSpPr>
          <xdr:cNvPr id="29" name="Présentation de l’ajout de nombres" descr="Use the AVERAGE function to get the average of numbers in a range of cells.&#10;Use the COUNT function to get the count of cells with values in them. The values can be numbers or text.&#10;">
            <a:extLst>
              <a:ext uri="{FF2B5EF4-FFF2-40B4-BE49-F238E27FC236}">
                <a16:creationId xmlns:a16="http://schemas.microsoft.com/office/drawing/2014/main" id="{A0549901-6522-46B3-9025-54FECD6F8579}"/>
              </a:ext>
            </a:extLst>
          </xdr:cNvPr>
          <xdr:cNvSpPr txBox="1"/>
        </xdr:nvSpPr>
        <xdr:spPr>
          <a:xfrm>
            <a:off x="552450" y="895349"/>
            <a:ext cx="5210175" cy="466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Utilisez la fonction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MOYENNE</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pour obtenir la moyenne des nombres d’une plage de cellules.</a:t>
            </a:r>
          </a:p>
        </xdr:txBody>
      </xdr:sp>
      <xdr:cxnSp macro="">
        <xdr:nvCxnSpPr>
          <xdr:cNvPr id="30" name="Connecteur droit 29" descr="Ligne décorative">
            <a:extLst>
              <a:ext uri="{FF2B5EF4-FFF2-40B4-BE49-F238E27FC236}">
                <a16:creationId xmlns:a16="http://schemas.microsoft.com/office/drawing/2014/main" id="{B4EC5266-46DD-484C-B3F0-77FFA8A045CF}"/>
              </a:ext>
            </a:extLst>
          </xdr:cNvPr>
          <xdr:cNvCxnSpPr>
            <a:cxnSpLocks/>
          </xdr:cNvCxnSpPr>
        </xdr:nvCxnSpPr>
        <xdr:spPr>
          <a:xfrm>
            <a:off x="561975" y="3286125"/>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nvGrpSpPr>
          <xdr:cNvPr id="31" name="grp_Étape">
            <a:extLst>
              <a:ext uri="{FF2B5EF4-FFF2-40B4-BE49-F238E27FC236}">
                <a16:creationId xmlns:a16="http://schemas.microsoft.com/office/drawing/2014/main" id="{2D69E705-BED5-4783-B13C-7B87DD73E6D6}"/>
              </a:ext>
            </a:extLst>
          </xdr:cNvPr>
          <xdr:cNvGrpSpPr/>
        </xdr:nvGrpSpPr>
        <xdr:grpSpPr>
          <a:xfrm>
            <a:off x="542930" y="1400175"/>
            <a:ext cx="5236919" cy="583506"/>
            <a:chOff x="263059" y="1926916"/>
            <a:chExt cx="5245171" cy="594185"/>
          </a:xfrm>
        </xdr:grpSpPr>
        <xdr:sp macro="" textlink="">
          <xdr:nvSpPr>
            <xdr:cNvPr id="38" name="Étape" descr="Cliquez sur la cellule D7, puis utilisez l’Assistant Somme automatique pour ajouter une fonction MOYENNE.&#10;">
              <a:extLst>
                <a:ext uri="{FF2B5EF4-FFF2-40B4-BE49-F238E27FC236}">
                  <a16:creationId xmlns:a16="http://schemas.microsoft.com/office/drawing/2014/main" id="{DB7DA611-CCF6-4AE8-BE70-C07940E2ED16}"/>
                </a:ext>
              </a:extLst>
            </xdr:cNvPr>
            <xdr:cNvSpPr txBox="1"/>
          </xdr:nvSpPr>
          <xdr:spPr>
            <a:xfrm>
              <a:off x="698714" y="1959718"/>
              <a:ext cx="4809516" cy="561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D7, puis utilisez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ajouter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39" name="1" descr="1">
              <a:extLst>
                <a:ext uri="{FF2B5EF4-FFF2-40B4-BE49-F238E27FC236}">
                  <a16:creationId xmlns:a16="http://schemas.microsoft.com/office/drawing/2014/main" id="{DFA6CD18-D97E-4448-9361-2AB367DDBE00}"/>
                </a:ext>
              </a:extLst>
            </xdr:cNvPr>
            <xdr:cNvSpPr/>
          </xdr:nvSpPr>
          <xdr:spPr>
            <a:xfrm>
              <a:off x="263059" y="1926916"/>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2" name="grp_Étape">
            <a:extLst>
              <a:ext uri="{FF2B5EF4-FFF2-40B4-BE49-F238E27FC236}">
                <a16:creationId xmlns:a16="http://schemas.microsoft.com/office/drawing/2014/main" id="{1C2AFD61-59DC-45BF-9E36-44E772510A9C}"/>
              </a:ext>
            </a:extLst>
          </xdr:cNvPr>
          <xdr:cNvGrpSpPr/>
        </xdr:nvGrpSpPr>
        <xdr:grpSpPr>
          <a:xfrm>
            <a:off x="533405" y="2052648"/>
            <a:ext cx="5246444" cy="554931"/>
            <a:chOff x="145889" y="1274909"/>
            <a:chExt cx="5254711" cy="565087"/>
          </a:xfrm>
        </xdr:grpSpPr>
        <xdr:sp macro="" textlink="">
          <xdr:nvSpPr>
            <xdr:cNvPr id="36" name="Étape" descr="Cliquez maintenant sur la cellule G7, puis entrez manuellement une fonction NB en tapant =NB(D3:D6).&#10;">
              <a:extLst>
                <a:ext uri="{FF2B5EF4-FFF2-40B4-BE49-F238E27FC236}">
                  <a16:creationId xmlns:a16="http://schemas.microsoft.com/office/drawing/2014/main" id="{9F39A49A-A80A-4B5D-A1C1-9EDA101DB634}"/>
                </a:ext>
              </a:extLst>
            </xdr:cNvPr>
            <xdr:cNvSpPr txBox="1"/>
          </xdr:nvSpPr>
          <xdr:spPr>
            <a:xfrm>
              <a:off x="591084" y="1278610"/>
              <a:ext cx="4809516" cy="56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maintenant la cellule G7, puis entrez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en tapant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=MOYENNE(G3:G6)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7" name="1" descr="1">
              <a:extLst>
                <a:ext uri="{FF2B5EF4-FFF2-40B4-BE49-F238E27FC236}">
                  <a16:creationId xmlns:a16="http://schemas.microsoft.com/office/drawing/2014/main" id="{298198E8-ACCF-4291-BD6D-29BBF5BBE668}"/>
                </a:ext>
              </a:extLst>
            </xdr:cNvPr>
            <xdr:cNvSpPr/>
          </xdr:nvSpPr>
          <xdr:spPr>
            <a:xfrm>
              <a:off x="145889" y="1274909"/>
              <a:ext cx="371587" cy="371588"/>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3" name="grp_Étape">
            <a:extLst>
              <a:ext uri="{FF2B5EF4-FFF2-40B4-BE49-F238E27FC236}">
                <a16:creationId xmlns:a16="http://schemas.microsoft.com/office/drawing/2014/main" id="{F55144BA-AFB2-4D3B-BBDE-42CADBFC17BD}"/>
              </a:ext>
            </a:extLst>
          </xdr:cNvPr>
          <xdr:cNvGrpSpPr/>
        </xdr:nvGrpSpPr>
        <xdr:grpSpPr>
          <a:xfrm>
            <a:off x="533400" y="2662229"/>
            <a:ext cx="5293285" cy="596210"/>
            <a:chOff x="146717" y="1273479"/>
            <a:chExt cx="5250416" cy="603888"/>
          </a:xfrm>
        </xdr:grpSpPr>
        <xdr:sp macro="" textlink="">
          <xdr:nvSpPr>
            <xdr:cNvPr id="34" name="Étape" descr="À la cellule D15, vous pouvez utiliser l’Assistant Somme automatique, ou entrer manuellement une fonction MOYENNE ou NB. &#10;">
              <a:extLst>
                <a:ext uri="{FF2B5EF4-FFF2-40B4-BE49-F238E27FC236}">
                  <a16:creationId xmlns:a16="http://schemas.microsoft.com/office/drawing/2014/main" id="{44162101-128A-40A1-BB37-69C4D9C077D2}"/>
                </a:ext>
              </a:extLst>
            </xdr:cNvPr>
            <xdr:cNvSpPr txBox="1"/>
          </xdr:nvSpPr>
          <xdr:spPr>
            <a:xfrm>
              <a:off x="587617" y="1315980"/>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D15, vous pouvez utiliser la fonctionnalité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 automatique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entrer manuellement une autre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MOYENNE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sp macro="" textlink="">
          <xdr:nvSpPr>
            <xdr:cNvPr id="35" name="1" descr="1">
              <a:extLst>
                <a:ext uri="{FF2B5EF4-FFF2-40B4-BE49-F238E27FC236}">
                  <a16:creationId xmlns:a16="http://schemas.microsoft.com/office/drawing/2014/main" id="{33783133-F652-4AC1-9F5E-78BC8049B0AC}"/>
                </a:ext>
              </a:extLst>
            </xdr:cNvPr>
            <xdr:cNvSpPr/>
          </xdr:nvSpPr>
          <xdr:spPr>
            <a:xfrm>
              <a:off x="146717" y="1273479"/>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absoluteAnchor>
    <xdr:pos x="571500" y="3457575"/>
    <xdr:ext cx="1275170" cy="335449"/>
    <xdr:sp macro="" textlink="">
      <xdr:nvSpPr>
        <xdr:cNvPr id="40"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88F06835-9494-47FC-9F34-ED9C37717D8F}"/>
            </a:ext>
          </a:extLst>
        </xdr:cNvPr>
        <xdr:cNvSpPr/>
      </xdr:nvSpPr>
      <xdr:spPr>
        <a:xfrm flipH="1">
          <a:off x="571500" y="34575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absoluteAnchor>
  <xdr:absoluteAnchor>
    <xdr:pos x="4494261" y="3457575"/>
    <xdr:ext cx="1275170" cy="335449"/>
    <xdr:sp macro="" textlink="">
      <xdr:nvSpPr>
        <xdr:cNvPr id="41"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AFE5A6AF-B972-4311-9245-03C3C107E117}"/>
            </a:ext>
          </a:extLst>
        </xdr:cNvPr>
        <xdr:cNvSpPr/>
      </xdr:nvSpPr>
      <xdr:spPr>
        <a:xfrm>
          <a:off x="4494261" y="34575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absoluteAnchor>
  <xdr:twoCellAnchor editAs="absolute">
    <xdr:from>
      <xdr:col>7</xdr:col>
      <xdr:colOff>1</xdr:colOff>
      <xdr:row>1</xdr:row>
      <xdr:rowOff>95250</xdr:rowOff>
    </xdr:from>
    <xdr:to>
      <xdr:col>11</xdr:col>
      <xdr:colOff>400051</xdr:colOff>
      <xdr:row>8</xdr:row>
      <xdr:rowOff>171451</xdr:rowOff>
    </xdr:to>
    <xdr:grpSp>
      <xdr:nvGrpSpPr>
        <xdr:cNvPr id="42" name="ESSAYEZ ÇA" descr="ESSAYEZ ÇA&#10;&#10;">
          <a:extLst>
            <a:ext uri="{FF2B5EF4-FFF2-40B4-BE49-F238E27FC236}">
              <a16:creationId xmlns:a16="http://schemas.microsoft.com/office/drawing/2014/main" id="{4E98D64E-10B1-4673-83C2-BC5A974CB094}"/>
            </a:ext>
          </a:extLst>
        </xdr:cNvPr>
        <xdr:cNvGrpSpPr/>
      </xdr:nvGrpSpPr>
      <xdr:grpSpPr>
        <a:xfrm>
          <a:off x="10096501" y="857250"/>
          <a:ext cx="2762250" cy="1409701"/>
          <a:chOff x="7539454" y="7993902"/>
          <a:chExt cx="2762115" cy="1409701"/>
        </a:xfrm>
      </xdr:grpSpPr>
      <xdr:grpSp>
        <xdr:nvGrpSpPr>
          <xdr:cNvPr id="43" name="Lignes d’accolade">
            <a:extLst>
              <a:ext uri="{FF2B5EF4-FFF2-40B4-BE49-F238E27FC236}">
                <a16:creationId xmlns:a16="http://schemas.microsoft.com/office/drawing/2014/main" id="{117882BA-9D0A-4126-94AD-4DA134EED99E}"/>
              </a:ext>
            </a:extLst>
          </xdr:cNvPr>
          <xdr:cNvGrpSpPr/>
        </xdr:nvGrpSpPr>
        <xdr:grpSpPr>
          <a:xfrm rot="599914">
            <a:off x="7539454" y="8145377"/>
            <a:ext cx="293814" cy="698211"/>
            <a:chOff x="9871108" y="1184220"/>
            <a:chExt cx="273326" cy="789155"/>
          </a:xfrm>
        </xdr:grpSpPr>
        <xdr:sp macro="" textlink="">
          <xdr:nvSpPr>
            <xdr:cNvPr id="46" name="Une autre ligne d’accolade" descr="Ligne d’accolade">
              <a:extLst>
                <a:ext uri="{FF2B5EF4-FFF2-40B4-BE49-F238E27FC236}">
                  <a16:creationId xmlns:a16="http://schemas.microsoft.com/office/drawing/2014/main" id="{7BCECDC8-5EC4-413C-B6FA-6CFE68328B68}"/>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47" name="Ligne d’accolade" descr="Ligne d’accolade&#10;">
              <a:extLst>
                <a:ext uri="{FF2B5EF4-FFF2-40B4-BE49-F238E27FC236}">
                  <a16:creationId xmlns:a16="http://schemas.microsoft.com/office/drawing/2014/main" id="{76A0243F-AA3B-4CFB-AD37-723BDA3792F4}"/>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4" name="Étoiles" descr="Étoiles">
            <a:extLst>
              <a:ext uri="{FF2B5EF4-FFF2-40B4-BE49-F238E27FC236}">
                <a16:creationId xmlns:a16="http://schemas.microsoft.com/office/drawing/2014/main" id="{389AD886-8C01-4670-92C0-76B4E32B606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830674" y="8038700"/>
            <a:ext cx="388098" cy="337815"/>
          </a:xfrm>
          <a:prstGeom prst="rect">
            <a:avLst/>
          </a:prstGeom>
        </xdr:spPr>
      </xdr:pic>
      <xdr:sp macro="" textlink="">
        <xdr:nvSpPr>
          <xdr:cNvPr id="45" name="Instructions" descr="CHECK THIS OUT&#10;Select any range of numbers, then look in the Status Bar for an instant Average.&#10;">
            <a:extLst>
              <a:ext uri="{FF2B5EF4-FFF2-40B4-BE49-F238E27FC236}">
                <a16:creationId xmlns:a16="http://schemas.microsoft.com/office/drawing/2014/main" id="{4346644F-94D9-4371-A2E7-8D94DC40F5FF}"/>
              </a:ext>
            </a:extLst>
          </xdr:cNvPr>
          <xdr:cNvSpPr txBox="1"/>
        </xdr:nvSpPr>
        <xdr:spPr>
          <a:xfrm>
            <a:off x="8132529" y="7993902"/>
            <a:ext cx="2169040"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Sélectionnez une plage de nombres</a:t>
            </a:r>
            <a:r>
              <a:rPr lang="fr" sz="1100" kern="0" baseline="0">
                <a:solidFill>
                  <a:schemeClr val="bg2">
                    <a:lumMod val="25000"/>
                  </a:schemeClr>
                </a:solidFill>
                <a:latin typeface="+mn-lt"/>
                <a:ea typeface="Segoe UI" pitchFamily="34" charset="0"/>
                <a:cs typeface="Segoe UI Light" panose="020B0502040204020203" pitchFamily="34" charset="0"/>
              </a:rPr>
              <a:t> et consultez la barre d’état pour connaître la moyenne.</a:t>
            </a:r>
            <a:endParaRPr lang="en-US" sz="110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507180</xdr:colOff>
      <xdr:row>1</xdr:row>
      <xdr:rowOff>110785</xdr:rowOff>
    </xdr:from>
    <xdr:to>
      <xdr:col>1</xdr:col>
      <xdr:colOff>4855395</xdr:colOff>
      <xdr:row>1</xdr:row>
      <xdr:rowOff>110785</xdr:rowOff>
    </xdr:to>
    <xdr:cxnSp macro="">
      <xdr:nvCxnSpPr>
        <xdr:cNvPr id="2" name="Trait inférieur" descr="Ligne décorative">
          <a:extLst>
            <a:ext uri="{FF2B5EF4-FFF2-40B4-BE49-F238E27FC236}">
              <a16:creationId xmlns:a16="http://schemas.microsoft.com/office/drawing/2014/main" id="{012808B9-ADEC-4F1B-9488-5AB09C6F45DC}"/>
            </a:ext>
          </a:extLst>
        </xdr:cNvPr>
        <xdr:cNvCxnSpPr>
          <a:cxnSpLocks/>
        </xdr:cNvCxnSpPr>
      </xdr:nvCxnSpPr>
      <xdr:spPr>
        <a:xfrm>
          <a:off x="507180" y="87278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342900</xdr:colOff>
      <xdr:row>0</xdr:row>
      <xdr:rowOff>352425</xdr:rowOff>
    </xdr:from>
    <xdr:to>
      <xdr:col>1</xdr:col>
      <xdr:colOff>5172075</xdr:colOff>
      <xdr:row>16</xdr:row>
      <xdr:rowOff>123825</xdr:rowOff>
    </xdr:to>
    <xdr:sp macro="" textlink="">
      <xdr:nvSpPr>
        <xdr:cNvPr id="3" name="Arrière-plan" descr="Arrière-plan">
          <a:extLst>
            <a:ext uri="{FF2B5EF4-FFF2-40B4-BE49-F238E27FC236}">
              <a16:creationId xmlns:a16="http://schemas.microsoft.com/office/drawing/2014/main" id="{C7228CE9-0A9E-44F5-925E-40E1D01EFFD2}"/>
            </a:ext>
          </a:extLst>
        </xdr:cNvPr>
        <xdr:cNvSpPr/>
      </xdr:nvSpPr>
      <xdr:spPr>
        <a:xfrm>
          <a:off x="342900" y="352425"/>
          <a:ext cx="5676900" cy="33909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554805</xdr:colOff>
      <xdr:row>0</xdr:row>
      <xdr:rowOff>383479</xdr:rowOff>
    </xdr:from>
    <xdr:to>
      <xdr:col>1</xdr:col>
      <xdr:colOff>4906184</xdr:colOff>
      <xdr:row>2</xdr:row>
      <xdr:rowOff>75226</xdr:rowOff>
    </xdr:to>
    <xdr:sp macro="" textlink="">
      <xdr:nvSpPr>
        <xdr:cNvPr id="4" name="Étape" descr="Fonctions MIN et MAX &#10;">
          <a:extLst>
            <a:ext uri="{FF2B5EF4-FFF2-40B4-BE49-F238E27FC236}">
              <a16:creationId xmlns:a16="http://schemas.microsoft.com/office/drawing/2014/main" id="{C317A4DF-62D0-4EF3-A3D7-1C96E9789198}"/>
            </a:ext>
          </a:extLst>
        </xdr:cNvPr>
        <xdr:cNvSpPr txBox="1"/>
      </xdr:nvSpPr>
      <xdr:spPr>
        <a:xfrm>
          <a:off x="554805" y="383479"/>
          <a:ext cx="5199104" cy="644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1200">
              <a:solidFill>
                <a:srgbClr val="3B3838"/>
              </a:solidFill>
              <a:effectLst/>
              <a:latin typeface="Segoe UI Light" panose="020B0502040204020203" pitchFamily="34" charset="0"/>
              <a:ea typeface="+mn-ea"/>
              <a:cs typeface="Segoe UI Light" panose="020B0502040204020203" pitchFamily="34" charset="0"/>
            </a:rPr>
            <a:t>Fonctions MIN et MAX </a:t>
          </a:r>
          <a:endParaRPr kumimoji="0" lang="en-US" sz="2200" b="0" i="0" u="none" strike="noStrike" kern="0" cap="none" spc="0" normalizeH="0" baseline="0">
            <a:ln>
              <a:noFill/>
            </a:ln>
            <a:solidFill>
              <a:srgbClr val="3B3838"/>
            </a:solidFill>
            <a:effectLst/>
            <a:uLnTx/>
            <a:uFillTx/>
            <a:latin typeface="Segoe UI Light" panose="020B0502040204020203" pitchFamily="34" charset="0"/>
            <a:ea typeface="Segoe UI" pitchFamily="34" charset="0"/>
            <a:cs typeface="Courier New" panose="02070309020205020404" pitchFamily="49" charset="0"/>
          </a:endParaRPr>
        </a:p>
      </xdr:txBody>
    </xdr:sp>
    <xdr:clientData/>
  </xdr:twoCellAnchor>
  <xdr:twoCellAnchor>
    <xdr:from>
      <xdr:col>0</xdr:col>
      <xdr:colOff>554805</xdr:colOff>
      <xdr:row>13</xdr:row>
      <xdr:rowOff>70137</xdr:rowOff>
    </xdr:from>
    <xdr:to>
      <xdr:col>1</xdr:col>
      <xdr:colOff>4903020</xdr:colOff>
      <xdr:row>13</xdr:row>
      <xdr:rowOff>70137</xdr:rowOff>
    </xdr:to>
    <xdr:cxnSp macro="">
      <xdr:nvCxnSpPr>
        <xdr:cNvPr id="5" name="Trait inférieur" descr="Ligne décorative">
          <a:extLst>
            <a:ext uri="{FF2B5EF4-FFF2-40B4-BE49-F238E27FC236}">
              <a16:creationId xmlns:a16="http://schemas.microsoft.com/office/drawing/2014/main" id="{24D705EB-6A20-4A30-B3DE-EE856D474AC3}"/>
            </a:ext>
          </a:extLst>
        </xdr:cNvPr>
        <xdr:cNvCxnSpPr>
          <a:cxnSpLocks/>
        </xdr:cNvCxnSpPr>
      </xdr:nvCxnSpPr>
      <xdr:spPr>
        <a:xfrm>
          <a:off x="554805" y="3118137"/>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571505</xdr:colOff>
      <xdr:row>4</xdr:row>
      <xdr:rowOff>109542</xdr:rowOff>
    </xdr:from>
    <xdr:to>
      <xdr:col>1</xdr:col>
      <xdr:colOff>4941642</xdr:colOff>
      <xdr:row>7</xdr:row>
      <xdr:rowOff>112013</xdr:rowOff>
    </xdr:to>
    <xdr:grpSp>
      <xdr:nvGrpSpPr>
        <xdr:cNvPr id="6" name="grp_Étape">
          <a:extLst>
            <a:ext uri="{FF2B5EF4-FFF2-40B4-BE49-F238E27FC236}">
              <a16:creationId xmlns:a16="http://schemas.microsoft.com/office/drawing/2014/main" id="{41C27E6F-8CDF-4BEC-9243-D59A2ACC1F1F}"/>
            </a:ext>
          </a:extLst>
        </xdr:cNvPr>
        <xdr:cNvGrpSpPr/>
      </xdr:nvGrpSpPr>
      <xdr:grpSpPr>
        <a:xfrm>
          <a:off x="571505" y="1443042"/>
          <a:ext cx="5217862" cy="573971"/>
          <a:chOff x="425239" y="1752333"/>
          <a:chExt cx="5226084" cy="584476"/>
        </a:xfrm>
      </xdr:grpSpPr>
      <xdr:sp macro="" textlink="">
        <xdr:nvSpPr>
          <xdr:cNvPr id="7" name="Étape" descr="Sélectionnez la cellule D7, puis utilisez l’Assistant Somme automatique pour ajouter une fonction MIN.&#10;&#10;">
            <a:extLst>
              <a:ext uri="{FF2B5EF4-FFF2-40B4-BE49-F238E27FC236}">
                <a16:creationId xmlns:a16="http://schemas.microsoft.com/office/drawing/2014/main" id="{361F811E-B7E4-4901-8A14-1738CDD2835B}"/>
              </a:ext>
            </a:extLst>
          </xdr:cNvPr>
          <xdr:cNvSpPr txBox="1"/>
        </xdr:nvSpPr>
        <xdr:spPr>
          <a:xfrm>
            <a:off x="841807" y="1775427"/>
            <a:ext cx="4809516" cy="561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D7, puis utilisez l’Assistant Somme automatique pour ajouter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8" name="1" descr="1">
            <a:extLst>
              <a:ext uri="{FF2B5EF4-FFF2-40B4-BE49-F238E27FC236}">
                <a16:creationId xmlns:a16="http://schemas.microsoft.com/office/drawing/2014/main" id="{2E14B187-3FE6-4FEF-949B-7D37D94EF0A2}"/>
              </a:ext>
            </a:extLst>
          </xdr:cNvPr>
          <xdr:cNvSpPr/>
        </xdr:nvSpPr>
        <xdr:spPr>
          <a:xfrm>
            <a:off x="425239" y="1752333"/>
            <a:ext cx="371587" cy="371586"/>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561980</xdr:colOff>
      <xdr:row>7</xdr:row>
      <xdr:rowOff>57164</xdr:rowOff>
    </xdr:from>
    <xdr:to>
      <xdr:col>1</xdr:col>
      <xdr:colOff>4932123</xdr:colOff>
      <xdr:row>10</xdr:row>
      <xdr:rowOff>40595</xdr:rowOff>
    </xdr:to>
    <xdr:grpSp>
      <xdr:nvGrpSpPr>
        <xdr:cNvPr id="9" name="grp_Étape">
          <a:extLst>
            <a:ext uri="{FF2B5EF4-FFF2-40B4-BE49-F238E27FC236}">
              <a16:creationId xmlns:a16="http://schemas.microsoft.com/office/drawing/2014/main" id="{282646EA-4CA8-495B-896B-5DB4E38D1F0F}"/>
            </a:ext>
          </a:extLst>
        </xdr:cNvPr>
        <xdr:cNvGrpSpPr/>
      </xdr:nvGrpSpPr>
      <xdr:grpSpPr>
        <a:xfrm>
          <a:off x="561980" y="1962164"/>
          <a:ext cx="5217868" cy="554931"/>
          <a:chOff x="308069" y="1003336"/>
          <a:chExt cx="5226090" cy="565088"/>
        </a:xfrm>
      </xdr:grpSpPr>
      <xdr:sp macro="" textlink="">
        <xdr:nvSpPr>
          <xdr:cNvPr id="10" name="Étape" descr="Sélectionnez maintenant la cellule G7 et entrez une fonction MAX en tapant =MAX(D3:D6).&#10;">
            <a:extLst>
              <a:ext uri="{FF2B5EF4-FFF2-40B4-BE49-F238E27FC236}">
                <a16:creationId xmlns:a16="http://schemas.microsoft.com/office/drawing/2014/main" id="{CC3A925E-7CEE-4B27-9465-47E7C1B3D8E8}"/>
              </a:ext>
            </a:extLst>
          </xdr:cNvPr>
          <xdr:cNvSpPr txBox="1"/>
        </xdr:nvSpPr>
        <xdr:spPr>
          <a:xfrm>
            <a:off x="724643" y="1007037"/>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maintenant la cellule G7 et entrez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en tapant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=MAX(G3:G6)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xdr:txBody>
      </xdr:sp>
      <xdr:sp macro="" textlink="">
        <xdr:nvSpPr>
          <xdr:cNvPr id="11" name="1" descr="1">
            <a:extLst>
              <a:ext uri="{FF2B5EF4-FFF2-40B4-BE49-F238E27FC236}">
                <a16:creationId xmlns:a16="http://schemas.microsoft.com/office/drawing/2014/main" id="{69F7F884-2229-47D2-9BC0-BCFFB40305A4}"/>
              </a:ext>
            </a:extLst>
          </xdr:cNvPr>
          <xdr:cNvSpPr/>
        </xdr:nvSpPr>
        <xdr:spPr>
          <a:xfrm>
            <a:off x="308069"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xdr:from>
      <xdr:col>0</xdr:col>
      <xdr:colOff>571500</xdr:colOff>
      <xdr:row>1</xdr:row>
      <xdr:rowOff>133348</xdr:rowOff>
    </xdr:from>
    <xdr:to>
      <xdr:col>1</xdr:col>
      <xdr:colOff>5024713</xdr:colOff>
      <xdr:row>3</xdr:row>
      <xdr:rowOff>190499</xdr:rowOff>
    </xdr:to>
    <xdr:sp macro="" textlink="">
      <xdr:nvSpPr>
        <xdr:cNvPr id="12" name="Présentation de l’ajout de nombres" descr="Use the MIN function to get the smallest number in a range of cells.&#10;Use the MAX function to get the largest number in a range of cells.&#10;">
          <a:extLst>
            <a:ext uri="{FF2B5EF4-FFF2-40B4-BE49-F238E27FC236}">
              <a16:creationId xmlns:a16="http://schemas.microsoft.com/office/drawing/2014/main" id="{5F59E9C9-8239-43EC-AE6C-C6BEE32CA7DE}"/>
            </a:ext>
          </a:extLst>
        </xdr:cNvPr>
        <xdr:cNvSpPr txBox="1"/>
      </xdr:nvSpPr>
      <xdr:spPr>
        <a:xfrm>
          <a:off x="571500" y="895348"/>
          <a:ext cx="5300938" cy="438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Utilisez la fonction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MIN</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pour obtenir le plus petit nombre d’une plage de cellules.</a:t>
          </a: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Utilisez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MAX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obtenir le plus grand nombre d’une plage de cellules.</a:t>
          </a:r>
        </a:p>
      </xdr:txBody>
    </xdr:sp>
    <xdr:clientData/>
  </xdr:twoCellAnchor>
  <xdr:twoCellAnchor>
    <xdr:from>
      <xdr:col>0</xdr:col>
      <xdr:colOff>561975</xdr:colOff>
      <xdr:row>9</xdr:row>
      <xdr:rowOff>190499</xdr:rowOff>
    </xdr:from>
    <xdr:to>
      <xdr:col>1</xdr:col>
      <xdr:colOff>4982917</xdr:colOff>
      <xdr:row>13</xdr:row>
      <xdr:rowOff>24706</xdr:rowOff>
    </xdr:to>
    <xdr:grpSp>
      <xdr:nvGrpSpPr>
        <xdr:cNvPr id="13" name="grp_Étape">
          <a:extLst>
            <a:ext uri="{FF2B5EF4-FFF2-40B4-BE49-F238E27FC236}">
              <a16:creationId xmlns:a16="http://schemas.microsoft.com/office/drawing/2014/main" id="{AA928279-996D-4EC6-AAC1-C5292780D639}"/>
            </a:ext>
          </a:extLst>
        </xdr:cNvPr>
        <xdr:cNvGrpSpPr/>
      </xdr:nvGrpSpPr>
      <xdr:grpSpPr>
        <a:xfrm>
          <a:off x="561975" y="2476499"/>
          <a:ext cx="5268667" cy="596207"/>
          <a:chOff x="307333" y="1003336"/>
          <a:chExt cx="5225997" cy="603885"/>
        </a:xfrm>
      </xdr:grpSpPr>
      <xdr:sp macro="" textlink="">
        <xdr:nvSpPr>
          <xdr:cNvPr id="14" name="Étape" descr="À la cellule D15, vous pouvez utiliser l’Assistant Somme automatique ou entrer manuellement une fonction MIN ou MAX. &#10;&#10;">
            <a:extLst>
              <a:ext uri="{FF2B5EF4-FFF2-40B4-BE49-F238E27FC236}">
                <a16:creationId xmlns:a16="http://schemas.microsoft.com/office/drawing/2014/main" id="{799068EB-E1E0-4816-B70E-849A77393C87}"/>
              </a:ext>
            </a:extLst>
          </xdr:cNvPr>
          <xdr:cNvSpPr txBox="1"/>
        </xdr:nvSpPr>
        <xdr:spPr>
          <a:xfrm>
            <a:off x="723814" y="1045834"/>
            <a:ext cx="4809516" cy="5613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D15, vous pouvez utiliser l’Assistant Somme automatique ou entrer manuellement une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MIN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ou</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MAX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sp macro="" textlink="">
        <xdr:nvSpPr>
          <xdr:cNvPr id="15" name="1" descr="1">
            <a:extLst>
              <a:ext uri="{FF2B5EF4-FFF2-40B4-BE49-F238E27FC236}">
                <a16:creationId xmlns:a16="http://schemas.microsoft.com/office/drawing/2014/main" id="{F24A0AB5-B832-4F23-A624-A336C7BEBB62}"/>
              </a:ext>
            </a:extLst>
          </xdr:cNvPr>
          <xdr:cNvSpPr/>
        </xdr:nvSpPr>
        <xdr:spPr>
          <a:xfrm>
            <a:off x="307333" y="1003336"/>
            <a:ext cx="371587" cy="371587"/>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xdr:from>
      <xdr:col>0</xdr:col>
      <xdr:colOff>342900</xdr:colOff>
      <xdr:row>17</xdr:row>
      <xdr:rowOff>19051</xdr:rowOff>
    </xdr:from>
    <xdr:to>
      <xdr:col>1</xdr:col>
      <xdr:colOff>5191125</xdr:colOff>
      <xdr:row>28</xdr:row>
      <xdr:rowOff>1</xdr:rowOff>
    </xdr:to>
    <xdr:grpSp>
      <xdr:nvGrpSpPr>
        <xdr:cNvPr id="16" name="Groupe 15">
          <a:extLst>
            <a:ext uri="{FF2B5EF4-FFF2-40B4-BE49-F238E27FC236}">
              <a16:creationId xmlns:a16="http://schemas.microsoft.com/office/drawing/2014/main" id="{2053BAF0-05AC-41D8-A720-DB2EF7C63440}"/>
            </a:ext>
          </a:extLst>
        </xdr:cNvPr>
        <xdr:cNvGrpSpPr/>
      </xdr:nvGrpSpPr>
      <xdr:grpSpPr>
        <a:xfrm>
          <a:off x="342900" y="3829051"/>
          <a:ext cx="5695950" cy="2076450"/>
          <a:chOff x="361950" y="4257676"/>
          <a:chExt cx="5695950" cy="2076450"/>
        </a:xfrm>
      </xdr:grpSpPr>
      <xdr:sp macro="" textlink="">
        <xdr:nvSpPr>
          <xdr:cNvPr id="17" name="Rectangle 26">
            <a:extLst>
              <a:ext uri="{FF2B5EF4-FFF2-40B4-BE49-F238E27FC236}">
                <a16:creationId xmlns:a16="http://schemas.microsoft.com/office/drawing/2014/main" id="{B3CC6911-2ADA-46C5-A5CD-6F77E7F1285B}"/>
              </a:ext>
            </a:extLst>
          </xdr:cNvPr>
          <xdr:cNvSpPr/>
        </xdr:nvSpPr>
        <xdr:spPr>
          <a:xfrm>
            <a:off x="361950" y="4257676"/>
            <a:ext cx="5695950" cy="20764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8" name="Étape" descr="Plus d’informations sur le web&#10;">
            <a:extLst>
              <a:ext uri="{FF2B5EF4-FFF2-40B4-BE49-F238E27FC236}">
                <a16:creationId xmlns:a16="http://schemas.microsoft.com/office/drawing/2014/main" id="{08984102-DBD4-4453-91F1-9FCC45BC31A3}"/>
              </a:ext>
            </a:extLst>
          </xdr:cNvPr>
          <xdr:cNvSpPr txBox="1"/>
        </xdr:nvSpPr>
        <xdr:spPr>
          <a:xfrm>
            <a:off x="553932" y="4356929"/>
            <a:ext cx="5008668"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9" name="Connecteur droit 28" descr="Ligne décorative">
            <a:extLst>
              <a:ext uri="{FF2B5EF4-FFF2-40B4-BE49-F238E27FC236}">
                <a16:creationId xmlns:a16="http://schemas.microsoft.com/office/drawing/2014/main" id="{CD42F22E-CDF6-46C0-B759-9C61496AC7E8}"/>
              </a:ext>
            </a:extLst>
          </xdr:cNvPr>
          <xdr:cNvCxnSpPr>
            <a:cxnSpLocks/>
          </xdr:cNvCxnSpPr>
        </xdr:nvCxnSpPr>
        <xdr:spPr>
          <a:xfrm>
            <a:off x="553932" y="4822443"/>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0" name="Connecteur droit 19" descr="Ligne décorative">
            <a:extLst>
              <a:ext uri="{FF2B5EF4-FFF2-40B4-BE49-F238E27FC236}">
                <a16:creationId xmlns:a16="http://schemas.microsoft.com/office/drawing/2014/main" id="{C9FFF8C2-428F-419C-B9FB-67C1F54BA759}"/>
              </a:ext>
            </a:extLst>
          </xdr:cNvPr>
          <xdr:cNvCxnSpPr>
            <a:cxnSpLocks/>
          </xdr:cNvCxnSpPr>
        </xdr:nvCxnSpPr>
        <xdr:spPr>
          <a:xfrm>
            <a:off x="553932" y="606448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571931</xdr:colOff>
      <xdr:row>20</xdr:row>
      <xdr:rowOff>73744</xdr:rowOff>
    </xdr:from>
    <xdr:to>
      <xdr:col>1</xdr:col>
      <xdr:colOff>2590800</xdr:colOff>
      <xdr:row>22</xdr:row>
      <xdr:rowOff>51823</xdr:rowOff>
    </xdr:to>
    <xdr:grpSp>
      <xdr:nvGrpSpPr>
        <xdr:cNvPr id="21" name="Groupe 5">
          <a:extLst>
            <a:ext uri="{FF2B5EF4-FFF2-40B4-BE49-F238E27FC236}">
              <a16:creationId xmlns:a16="http://schemas.microsoft.com/office/drawing/2014/main" id="{B6EA394F-385B-4CBC-8311-DB45EEEEF1E4}"/>
            </a:ext>
          </a:extLst>
        </xdr:cNvPr>
        <xdr:cNvGrpSpPr/>
      </xdr:nvGrpSpPr>
      <xdr:grpSpPr>
        <a:xfrm>
          <a:off x="571931" y="4455244"/>
          <a:ext cx="2866594" cy="359079"/>
          <a:chOff x="571931" y="4826719"/>
          <a:chExt cx="2866594" cy="359079"/>
        </a:xfrm>
      </xdr:grpSpPr>
      <xdr:sp macro="" textlink="">
        <xdr:nvSpPr>
          <xdr:cNvPr id="22" name="Étape" descr="À propos de la fonction MIN, lien hypertexte vers le web&#10;&#10;">
            <a:hlinkClick xmlns:r="http://schemas.openxmlformats.org/officeDocument/2006/relationships" r:id="rId1" tooltip="Sélectionnez ce lien pour accéder sur le web à des informations complémentaires sur la fonction MIN"/>
            <a:extLst>
              <a:ext uri="{FF2B5EF4-FFF2-40B4-BE49-F238E27FC236}">
                <a16:creationId xmlns:a16="http://schemas.microsoft.com/office/drawing/2014/main" id="{AF8DFAC6-4FE5-41B3-AEDA-9F8879AFF6A5}"/>
              </a:ext>
            </a:extLst>
          </xdr:cNvPr>
          <xdr:cNvSpPr txBox="1"/>
        </xdr:nvSpPr>
        <xdr:spPr>
          <a:xfrm>
            <a:off x="1037116" y="49010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MIN</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3" name="Graphisme 22" descr="Flèche">
            <a:hlinkClick xmlns:r="http://schemas.openxmlformats.org/officeDocument/2006/relationships" r:id="rId1" tooltip="Sélectionnez ce lien pour accéder à des informations complémentaires sur le web"/>
            <a:extLst>
              <a:ext uri="{FF2B5EF4-FFF2-40B4-BE49-F238E27FC236}">
                <a16:creationId xmlns:a16="http://schemas.microsoft.com/office/drawing/2014/main" id="{50905448-71C6-4A32-8B94-0954B944214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1931" y="4826719"/>
            <a:ext cx="492262" cy="359079"/>
          </a:xfrm>
          <a:prstGeom prst="rect">
            <a:avLst/>
          </a:prstGeom>
        </xdr:spPr>
      </xdr:pic>
    </xdr:grpSp>
    <xdr:clientData/>
  </xdr:twoCellAnchor>
  <xdr:twoCellAnchor>
    <xdr:from>
      <xdr:col>0</xdr:col>
      <xdr:colOff>571931</xdr:colOff>
      <xdr:row>22</xdr:row>
      <xdr:rowOff>59671</xdr:rowOff>
    </xdr:from>
    <xdr:to>
      <xdr:col>1</xdr:col>
      <xdr:colOff>2619375</xdr:colOff>
      <xdr:row>24</xdr:row>
      <xdr:rowOff>43060</xdr:rowOff>
    </xdr:to>
    <xdr:grpSp>
      <xdr:nvGrpSpPr>
        <xdr:cNvPr id="24" name="Groupe 4">
          <a:extLst>
            <a:ext uri="{FF2B5EF4-FFF2-40B4-BE49-F238E27FC236}">
              <a16:creationId xmlns:a16="http://schemas.microsoft.com/office/drawing/2014/main" id="{83531438-3242-418F-965C-F75AA0BBB22D}"/>
            </a:ext>
          </a:extLst>
        </xdr:cNvPr>
        <xdr:cNvGrpSpPr/>
      </xdr:nvGrpSpPr>
      <xdr:grpSpPr>
        <a:xfrm>
          <a:off x="571931" y="4822171"/>
          <a:ext cx="2895169" cy="364389"/>
          <a:chOff x="571931" y="5193646"/>
          <a:chExt cx="2895169" cy="364389"/>
        </a:xfrm>
      </xdr:grpSpPr>
      <xdr:sp macro="" textlink="">
        <xdr:nvSpPr>
          <xdr:cNvPr id="25" name="Étape" descr="À propos de la fonction MAX, lien hypertexte vers le web&#10;">
            <a:hlinkClick xmlns:r="http://schemas.openxmlformats.org/officeDocument/2006/relationships" r:id="rId4" tooltip="Sélectionnez ce lien pour accéder sur le web à des informations complémentaires sur la fonction MAX"/>
            <a:extLst>
              <a:ext uri="{FF2B5EF4-FFF2-40B4-BE49-F238E27FC236}">
                <a16:creationId xmlns:a16="http://schemas.microsoft.com/office/drawing/2014/main" id="{B53A732B-B394-4F7F-9CD0-3F5D885F1026}"/>
              </a:ext>
            </a:extLst>
          </xdr:cNvPr>
          <xdr:cNvSpPr txBox="1"/>
        </xdr:nvSpPr>
        <xdr:spPr>
          <a:xfrm>
            <a:off x="1037116" y="5278961"/>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MAX</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6" name="Graphisme 22" descr="Flèche">
            <a:hlinkClick xmlns:r="http://schemas.openxmlformats.org/officeDocument/2006/relationships" r:id="rId4" tooltip="Sélectionnez ce lien pour accéder à des informations complémentaires sur le web"/>
            <a:extLst>
              <a:ext uri="{FF2B5EF4-FFF2-40B4-BE49-F238E27FC236}">
                <a16:creationId xmlns:a16="http://schemas.microsoft.com/office/drawing/2014/main" id="{3BD996D7-609F-47B1-B4A0-82C8E42847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1931" y="5193646"/>
            <a:ext cx="492262" cy="364389"/>
          </a:xfrm>
          <a:prstGeom prst="rect">
            <a:avLst/>
          </a:prstGeom>
        </xdr:spPr>
      </xdr:pic>
    </xdr:grpSp>
    <xdr:clientData/>
  </xdr:twoCellAnchor>
  <xdr:twoCellAnchor>
    <xdr:from>
      <xdr:col>0</xdr:col>
      <xdr:colOff>584540</xdr:colOff>
      <xdr:row>24</xdr:row>
      <xdr:rowOff>98728</xdr:rowOff>
    </xdr:from>
    <xdr:to>
      <xdr:col>1</xdr:col>
      <xdr:colOff>2971800</xdr:colOff>
      <xdr:row>26</xdr:row>
      <xdr:rowOff>82117</xdr:rowOff>
    </xdr:to>
    <xdr:grpSp>
      <xdr:nvGrpSpPr>
        <xdr:cNvPr id="27" name="Groupe 3">
          <a:extLst>
            <a:ext uri="{FF2B5EF4-FFF2-40B4-BE49-F238E27FC236}">
              <a16:creationId xmlns:a16="http://schemas.microsoft.com/office/drawing/2014/main" id="{FB266322-970D-4164-9AA0-97424BE4BAA9}"/>
            </a:ext>
          </a:extLst>
        </xdr:cNvPr>
        <xdr:cNvGrpSpPr/>
      </xdr:nvGrpSpPr>
      <xdr:grpSpPr>
        <a:xfrm>
          <a:off x="584540" y="5242228"/>
          <a:ext cx="3234985" cy="364389"/>
          <a:chOff x="584540" y="5613703"/>
          <a:chExt cx="3234985" cy="364389"/>
        </a:xfrm>
      </xdr:grpSpPr>
      <xdr:sp macro="" textlink="">
        <xdr:nvSpPr>
          <xdr:cNvPr id="28" name="Étape" descr="Formation Excel gratuite en ligne, lien hypertexte vers le web&#10;">
            <a:hlinkClick xmlns:r="http://schemas.openxmlformats.org/officeDocument/2006/relationships" r:id="rId5" tooltip="Sélectionnez ce lien pour accéder sur le web à une formation gratuite sur Excel"/>
            <a:extLst>
              <a:ext uri="{FF2B5EF4-FFF2-40B4-BE49-F238E27FC236}">
                <a16:creationId xmlns:a16="http://schemas.microsoft.com/office/drawing/2014/main" id="{4B880E3F-A119-4251-9C97-7C7AC4AA735F}"/>
              </a:ext>
            </a:extLst>
          </xdr:cNvPr>
          <xdr:cNvSpPr txBox="1"/>
        </xdr:nvSpPr>
        <xdr:spPr>
          <a:xfrm>
            <a:off x="1049724" y="5636232"/>
            <a:ext cx="276980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9"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1A3F5C71-1410-4177-AB96-4DA7288D462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84540" y="5613703"/>
            <a:ext cx="492262" cy="364389"/>
          </a:xfrm>
          <a:prstGeom prst="rect">
            <a:avLst/>
          </a:prstGeom>
        </xdr:spPr>
      </xdr:pic>
    </xdr:grpSp>
    <xdr:clientData/>
  </xdr:twoCellAnchor>
  <xdr:twoCellAnchor editAs="oneCell">
    <xdr:from>
      <xdr:col>2</xdr:col>
      <xdr:colOff>762000</xdr:colOff>
      <xdr:row>15</xdr:row>
      <xdr:rowOff>139166</xdr:rowOff>
    </xdr:from>
    <xdr:to>
      <xdr:col>7</xdr:col>
      <xdr:colOff>247650</xdr:colOff>
      <xdr:row>25</xdr:row>
      <xdr:rowOff>96713</xdr:rowOff>
    </xdr:to>
    <xdr:grpSp>
      <xdr:nvGrpSpPr>
        <xdr:cNvPr id="30" name="BON À SAVOIR" descr="BON À SAVOIR&#10;&#10;">
          <a:extLst>
            <a:ext uri="{FF2B5EF4-FFF2-40B4-BE49-F238E27FC236}">
              <a16:creationId xmlns:a16="http://schemas.microsoft.com/office/drawing/2014/main" id="{C278EDBC-0525-49BA-8AC4-91FA3C228C2B}"/>
            </a:ext>
          </a:extLst>
        </xdr:cNvPr>
        <xdr:cNvGrpSpPr/>
      </xdr:nvGrpSpPr>
      <xdr:grpSpPr>
        <a:xfrm>
          <a:off x="7134225" y="3568166"/>
          <a:ext cx="3209925" cy="1862547"/>
          <a:chOff x="6778625" y="15502051"/>
          <a:chExt cx="3312054" cy="1788999"/>
        </a:xfrm>
      </xdr:grpSpPr>
      <xdr:sp macro="" textlink="">
        <xdr:nvSpPr>
          <xdr:cNvPr id="31" name="Étape" descr="GOOD TO KNOW&#10;You can use either MIN or MAX with multiple ranges, or values to show the greater or lesser of those values, like =MIN(A1:A10,B1:B10), or =MAX(A1:A10,B1), where B1 contains a threshold value, like 10, in which case the formula would never return a result less than 10.&#10;&#10;">
            <a:extLst>
              <a:ext uri="{FF2B5EF4-FFF2-40B4-BE49-F238E27FC236}">
                <a16:creationId xmlns:a16="http://schemas.microsoft.com/office/drawing/2014/main" id="{ACD15CB7-EDD9-4EFA-A74A-BA3A2E200834}"/>
              </a:ext>
            </a:extLst>
          </xdr:cNvPr>
          <xdr:cNvSpPr txBox="1"/>
        </xdr:nvSpPr>
        <xdr:spPr>
          <a:xfrm>
            <a:off x="7042958" y="15665450"/>
            <a:ext cx="3047721"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utiliser </a:t>
            </a:r>
            <a:r>
              <a:rPr lang="fr" sz="1100" b="1" i="0" kern="1200" baseline="0">
                <a:solidFill>
                  <a:schemeClr val="dk1"/>
                </a:solidFill>
                <a:effectLst/>
                <a:latin typeface="+mn-lt"/>
                <a:ea typeface="+mn-ea"/>
                <a:cs typeface="+mn-cs"/>
              </a:rPr>
              <a:t>MIN</a:t>
            </a:r>
            <a:r>
              <a:rPr lang="fr" sz="1100" b="0" i="0" kern="1200" baseline="0">
                <a:solidFill>
                  <a:schemeClr val="dk1"/>
                </a:solidFill>
                <a:effectLst/>
                <a:latin typeface="+mn-lt"/>
                <a:ea typeface="+mn-ea"/>
                <a:cs typeface="+mn-cs"/>
              </a:rPr>
              <a:t> ou </a:t>
            </a:r>
            <a:r>
              <a:rPr lang="fr" sz="1100" b="1" i="0" kern="1200" baseline="0">
                <a:solidFill>
                  <a:schemeClr val="dk1"/>
                </a:solidFill>
                <a:effectLst/>
                <a:latin typeface="+mn-lt"/>
                <a:ea typeface="+mn-ea"/>
                <a:cs typeface="+mn-cs"/>
              </a:rPr>
              <a:t>MAX</a:t>
            </a:r>
            <a:r>
              <a:rPr lang="fr" sz="1100" b="0" i="0" kern="1200" baseline="0">
                <a:solidFill>
                  <a:schemeClr val="dk1"/>
                </a:solidFill>
                <a:effectLst/>
                <a:latin typeface="+mn-lt"/>
                <a:ea typeface="+mn-ea"/>
                <a:cs typeface="+mn-cs"/>
              </a:rPr>
              <a:t> avec plusieurs plages, ou avec des valeurs pour renvoyer la plus grande ou la plus petite de ces valeurs, par exemple, =MIN(A1:A10;B1:B10) ou =MAX(A1:A10;B1), où B1 contient une valeur seuil (par exemple, 10), auquel cas la formule ne renverra jamais un résultat inférieur à 10.</a:t>
            </a:r>
            <a:endParaRPr lang="en-US" sz="1100">
              <a:effectLst/>
              <a:latin typeface="+mn-lt"/>
            </a:endParaRPr>
          </a:p>
        </xdr:txBody>
      </xdr:sp>
      <xdr:pic>
        <xdr:nvPicPr>
          <xdr:cNvPr id="32" name="Graphisme 147" descr="Lunettes">
            <a:extLst>
              <a:ext uri="{FF2B5EF4-FFF2-40B4-BE49-F238E27FC236}">
                <a16:creationId xmlns:a16="http://schemas.microsoft.com/office/drawing/2014/main" id="{6158DEBE-B498-475A-95F4-581C71A26FE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6778625" y="15628855"/>
            <a:ext cx="323347" cy="349115"/>
          </a:xfrm>
          <a:prstGeom prst="rect">
            <a:avLst/>
          </a:prstGeom>
        </xdr:spPr>
      </xdr:pic>
      <xdr:sp macro="" textlink="">
        <xdr:nvSpPr>
          <xdr:cNvPr id="33" name="Forme libre : forme 41" descr="Flèche">
            <a:extLst>
              <a:ext uri="{FF2B5EF4-FFF2-40B4-BE49-F238E27FC236}">
                <a16:creationId xmlns:a16="http://schemas.microsoft.com/office/drawing/2014/main" id="{F16CFBFD-E4CF-4DD2-A80C-DE2AD7D834F7}"/>
              </a:ext>
            </a:extLst>
          </xdr:cNvPr>
          <xdr:cNvSpPr/>
        </xdr:nvSpPr>
        <xdr:spPr>
          <a:xfrm rot="5953034" flipV="1">
            <a:off x="8657085" y="14956489"/>
            <a:ext cx="284005" cy="1375129"/>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absoluteAnchor>
    <xdr:pos x="561975" y="3267075"/>
    <xdr:ext cx="1275170" cy="335449"/>
    <xdr:sp macro="" textlink="">
      <xdr:nvSpPr>
        <xdr:cNvPr id="34" name="BoutonPrécédent" descr="Revenir à la feuille précédente">
          <a:hlinkClick xmlns:r="http://schemas.openxmlformats.org/officeDocument/2006/relationships" r:id="rId8" tooltip="Cliquez ici pour revenir à la feuille précédente"/>
          <a:extLst>
            <a:ext uri="{FF2B5EF4-FFF2-40B4-BE49-F238E27FC236}">
              <a16:creationId xmlns:a16="http://schemas.microsoft.com/office/drawing/2014/main" id="{DF4DA878-EDBE-4A44-B82E-39477CEA909B}"/>
            </a:ext>
          </a:extLst>
        </xdr:cNvPr>
        <xdr:cNvSpPr/>
      </xdr:nvSpPr>
      <xdr:spPr>
        <a:xfrm flipH="1">
          <a:off x="561975"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absoluteAnchor>
  <xdr:absoluteAnchor>
    <xdr:pos x="4484736" y="3267075"/>
    <xdr:ext cx="1275170" cy="335449"/>
    <xdr:sp macro="" textlink="">
      <xdr:nvSpPr>
        <xdr:cNvPr id="35" name="BoutonSuivant" descr="Passer à la feuille suivante">
          <a:hlinkClick xmlns:r="http://schemas.openxmlformats.org/officeDocument/2006/relationships" r:id="rId9" tooltip="Cliquez ici pour passer à la feuille suivante"/>
          <a:extLst>
            <a:ext uri="{FF2B5EF4-FFF2-40B4-BE49-F238E27FC236}">
              <a16:creationId xmlns:a16="http://schemas.microsoft.com/office/drawing/2014/main" id="{291C532F-E138-4F7E-A8D8-D06F61ECF3DD}"/>
            </a:ext>
          </a:extLst>
        </xdr:cNvPr>
        <xdr:cNvSpPr/>
      </xdr:nvSpPr>
      <xdr:spPr>
        <a:xfrm>
          <a:off x="4484736" y="326707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absoluteAnchor>
  <xdr:twoCellAnchor>
    <xdr:from>
      <xdr:col>0</xdr:col>
      <xdr:colOff>554805</xdr:colOff>
      <xdr:row>1</xdr:row>
      <xdr:rowOff>85725</xdr:rowOff>
    </xdr:from>
    <xdr:to>
      <xdr:col>1</xdr:col>
      <xdr:colOff>4903020</xdr:colOff>
      <xdr:row>1</xdr:row>
      <xdr:rowOff>85725</xdr:rowOff>
    </xdr:to>
    <xdr:cxnSp macro="">
      <xdr:nvCxnSpPr>
        <xdr:cNvPr id="36" name="Trait inférieur" descr="Ligne décorative">
          <a:extLst>
            <a:ext uri="{FF2B5EF4-FFF2-40B4-BE49-F238E27FC236}">
              <a16:creationId xmlns:a16="http://schemas.microsoft.com/office/drawing/2014/main" id="{EF8EE4EC-E079-431E-81BD-C910A6B62E87}"/>
            </a:ext>
          </a:extLst>
        </xdr:cNvPr>
        <xdr:cNvCxnSpPr>
          <a:cxnSpLocks/>
        </xdr:cNvCxnSpPr>
      </xdr:nvCxnSpPr>
      <xdr:spPr>
        <a:xfrm>
          <a:off x="554805" y="847725"/>
          <a:ext cx="519594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25</xdr:row>
      <xdr:rowOff>66675</xdr:rowOff>
    </xdr:from>
    <xdr:to>
      <xdr:col>1</xdr:col>
      <xdr:colOff>5210175</xdr:colOff>
      <xdr:row>51</xdr:row>
      <xdr:rowOff>57150</xdr:rowOff>
    </xdr:to>
    <xdr:grpSp>
      <xdr:nvGrpSpPr>
        <xdr:cNvPr id="2" name="Groupe 1">
          <a:extLst>
            <a:ext uri="{FF2B5EF4-FFF2-40B4-BE49-F238E27FC236}">
              <a16:creationId xmlns:a16="http://schemas.microsoft.com/office/drawing/2014/main" id="{B548B466-6AC7-4989-824F-0B7C30EBEA0E}"/>
            </a:ext>
          </a:extLst>
        </xdr:cNvPr>
        <xdr:cNvGrpSpPr/>
      </xdr:nvGrpSpPr>
      <xdr:grpSpPr>
        <a:xfrm>
          <a:off x="323850" y="5400675"/>
          <a:ext cx="5734050" cy="4943475"/>
          <a:chOff x="323850" y="5172075"/>
          <a:chExt cx="5734050" cy="4943475"/>
        </a:xfrm>
      </xdr:grpSpPr>
      <xdr:grpSp>
        <xdr:nvGrpSpPr>
          <xdr:cNvPr id="3" name="grp_VoletVisiteGuidée">
            <a:extLst>
              <a:ext uri="{FF2B5EF4-FFF2-40B4-BE49-F238E27FC236}">
                <a16:creationId xmlns:a16="http://schemas.microsoft.com/office/drawing/2014/main" id="{D70D8668-2011-44A3-AE48-37CFDAEA3C5E}"/>
              </a:ext>
            </a:extLst>
          </xdr:cNvPr>
          <xdr:cNvGrpSpPr/>
        </xdr:nvGrpSpPr>
        <xdr:grpSpPr>
          <a:xfrm>
            <a:off x="323850" y="5172075"/>
            <a:ext cx="5734050" cy="4943475"/>
            <a:chOff x="609600" y="1678004"/>
            <a:chExt cx="5695950" cy="4995512"/>
          </a:xfrm>
        </xdr:grpSpPr>
        <xdr:sp macro="" textlink="">
          <xdr:nvSpPr>
            <xdr:cNvPr id="10" name="txt_ArrièrePlanVisiteGuidée" descr="Arrière-plan">
              <a:extLst>
                <a:ext uri="{FF2B5EF4-FFF2-40B4-BE49-F238E27FC236}">
                  <a16:creationId xmlns:a16="http://schemas.microsoft.com/office/drawing/2014/main" id="{D1BE819D-9A4D-405C-B468-90179CDD567A}"/>
                </a:ext>
              </a:extLst>
            </xdr:cNvPr>
            <xdr:cNvSpPr/>
          </xdr:nvSpPr>
          <xdr:spPr>
            <a:xfrm>
              <a:off x="609600" y="1678004"/>
              <a:ext cx="5695950" cy="4995512"/>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1" name="txt_EnTêteVisiteGuidée" descr="Combiner du texte et des nombres">
              <a:extLst>
                <a:ext uri="{FF2B5EF4-FFF2-40B4-BE49-F238E27FC236}">
                  <a16:creationId xmlns:a16="http://schemas.microsoft.com/office/drawing/2014/main" id="{F8E5B376-1E8B-4D85-A6B5-BED41CEC3B00}"/>
                </a:ext>
              </a:extLst>
            </xdr:cNvPr>
            <xdr:cNvSpPr txBox="1"/>
          </xdr:nvSpPr>
          <xdr:spPr>
            <a:xfrm>
              <a:off x="849300" y="1802129"/>
              <a:ext cx="5216551"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Combiner du texte et des nombres</a:t>
              </a:r>
            </a:p>
          </xdr:txBody>
        </xdr:sp>
        <xdr:cxnSp macro="">
          <xdr:nvCxnSpPr>
            <xdr:cNvPr id="12" name="txt_VisiteGuidéeLigne1" descr="Ligne décorative">
              <a:extLst>
                <a:ext uri="{FF2B5EF4-FFF2-40B4-BE49-F238E27FC236}">
                  <a16:creationId xmlns:a16="http://schemas.microsoft.com/office/drawing/2014/main" id="{7F05E13B-0287-49B6-8C73-E1ECC8F08B11}"/>
                </a:ext>
              </a:extLst>
            </xdr:cNvPr>
            <xdr:cNvCxnSpPr>
              <a:cxnSpLocks/>
            </xdr:cNvCxnSpPr>
          </xdr:nvCxnSpPr>
          <xdr:spPr>
            <a:xfrm>
              <a:off x="850887" y="237363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3" name="txt_VisiteGuidéeLigne2" descr="Ligne décorative">
              <a:extLst>
                <a:ext uri="{FF2B5EF4-FFF2-40B4-BE49-F238E27FC236}">
                  <a16:creationId xmlns:a16="http://schemas.microsoft.com/office/drawing/2014/main" id="{74F2B869-3438-4AD1-B299-7DD41040897F}"/>
                </a:ext>
              </a:extLst>
            </xdr:cNvPr>
            <xdr:cNvCxnSpPr>
              <a:cxnSpLocks/>
            </xdr:cNvCxnSpPr>
          </xdr:nvCxnSpPr>
          <xdr:spPr>
            <a:xfrm>
              <a:off x="850887" y="5903806"/>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txt_IntroVisiteGuidée" descr="Now we'll use the &amp; to join text and numbers, not just text and text&#10;&#10;Look at cells C28:D29. See how the date and times are in separate cells? You can join them together with the &amp; symbol like you'll see in cells C32:C33, but that doesn't look right, does it? Unfortunately, Excel doesn't know how you want to format the numbers, so it breaks them down to their basest format, which is the the Serial date in this case. We need to explicity tell Excel how to format the number portion of the formula, so it displays the way you want in the resulting text string. You can do that with the TEXT function and a format code.&#10;">
              <a:extLst>
                <a:ext uri="{FF2B5EF4-FFF2-40B4-BE49-F238E27FC236}">
                  <a16:creationId xmlns:a16="http://schemas.microsoft.com/office/drawing/2014/main" id="{193BEED8-4BD9-405F-88EC-3CFCD71208A6}"/>
                </a:ext>
              </a:extLst>
            </xdr:cNvPr>
            <xdr:cNvSpPr txBox="1"/>
          </xdr:nvSpPr>
          <xdr:spPr>
            <a:xfrm>
              <a:off x="846305" y="2407046"/>
              <a:ext cx="5216551" cy="20430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Nous allons maintenant utiliser le symbole &amp; pour combiner du texte et des nombres.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Examinez les cellules C28:D29. Comme vous pouvez le constater, la date et l’heure figurent dans des cellules distinctes. Vous pouvez les combiner avec le symbole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comme dans les cellules C32:C33, mais le résultat ne convient pas. Dans la mesure où Excel n’est pas capable de deviner de quelle façon vous souhaitez afficher les chiffres, il retourne la date au format de base, sous forme de numéros de série. Nous devons explicitement indiquer à Excel comment mettre en forme la portion numérique de la formule afin qu’il l’affiche au format de notre choix dans la chaîne de texte qui en résulte. Pour ce faire, nous allons utiliser la fonction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TEXTE</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et un code de format.</a:t>
              </a:r>
            </a:p>
          </xdr:txBody>
        </xdr:sp>
      </xdr:grpSp>
      <xdr:grpSp>
        <xdr:nvGrpSpPr>
          <xdr:cNvPr id="4" name="grp_Étape">
            <a:extLst>
              <a:ext uri="{FF2B5EF4-FFF2-40B4-BE49-F238E27FC236}">
                <a16:creationId xmlns:a16="http://schemas.microsoft.com/office/drawing/2014/main" id="{3A40E593-CD55-4D3D-94EE-C0C5ABBFF285}"/>
              </a:ext>
            </a:extLst>
          </xdr:cNvPr>
          <xdr:cNvGrpSpPr/>
        </xdr:nvGrpSpPr>
        <xdr:grpSpPr>
          <a:xfrm>
            <a:off x="561975" y="7962900"/>
            <a:ext cx="5229626" cy="752475"/>
            <a:chOff x="619063" y="8172450"/>
            <a:chExt cx="5195697" cy="752475"/>
          </a:xfrm>
        </xdr:grpSpPr>
        <xdr:sp macro="" textlink="">
          <xdr:nvSpPr>
            <xdr:cNvPr id="8" name="txt_Étape" descr="Dans la cellule C36, entrez =C28&amp;&quot; &quot;&amp;TEXTE(D28,&quot;JJ/MM/AAAA&quot;). JJ/MM/AAAA correspond au code de format français Jour/Mois/Année, par exemple 25/09/2017.">
              <a:extLst>
                <a:ext uri="{FF2B5EF4-FFF2-40B4-BE49-F238E27FC236}">
                  <a16:creationId xmlns:a16="http://schemas.microsoft.com/office/drawing/2014/main" id="{B6264199-9A33-4A37-981A-A6B44082017B}"/>
                </a:ext>
              </a:extLst>
            </xdr:cNvPr>
            <xdr:cNvSpPr txBox="1"/>
          </xdr:nvSpPr>
          <xdr:spPr>
            <a:xfrm>
              <a:off x="1036221" y="8214408"/>
              <a:ext cx="4778539" cy="710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C36,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=C28&amp;" "&amp;TEXTE(D28;"JJ/MM/AAAA")</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JJ/MM/AAAA correspond au code de format français Jour/Mois/Année (par exemple, 25/09/2017).</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948D811F-621D-402B-B6C4-34DB88B42C44}"/>
                </a:ext>
              </a:extLst>
            </xdr:cNvPr>
            <xdr:cNvSpPr/>
          </xdr:nvSpPr>
          <xdr:spPr>
            <a:xfrm>
              <a:off x="619063" y="817245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5" name="grp_Étape">
            <a:extLst>
              <a:ext uri="{FF2B5EF4-FFF2-40B4-BE49-F238E27FC236}">
                <a16:creationId xmlns:a16="http://schemas.microsoft.com/office/drawing/2014/main" id="{E49AF29F-91FA-4C38-A6D2-F75860C567E2}"/>
              </a:ext>
            </a:extLst>
          </xdr:cNvPr>
          <xdr:cNvGrpSpPr/>
        </xdr:nvGrpSpPr>
        <xdr:grpSpPr>
          <a:xfrm>
            <a:off x="561975" y="8724900"/>
            <a:ext cx="5229626" cy="596207"/>
            <a:chOff x="619063" y="8353425"/>
            <a:chExt cx="5195697" cy="596207"/>
          </a:xfrm>
        </xdr:grpSpPr>
        <xdr:sp macro="" textlink="">
          <xdr:nvSpPr>
            <xdr:cNvPr id="6" name="txt_Étape" descr="Dans la cellule C37, entrez =C29&amp;&quot; &quot;&amp;TEXTE(D29,&quot;HH:MM&quot;). HH:MM correspond au code de format français Heures:Minutes, par exemple 13:30.">
              <a:extLst>
                <a:ext uri="{FF2B5EF4-FFF2-40B4-BE49-F238E27FC236}">
                  <a16:creationId xmlns:a16="http://schemas.microsoft.com/office/drawing/2014/main" id="{8A7CE570-D5F3-46FC-8914-5C11ABD7DC60}"/>
                </a:ext>
              </a:extLst>
            </xdr:cNvPr>
            <xdr:cNvSpPr txBox="1"/>
          </xdr:nvSpPr>
          <xdr:spPr>
            <a:xfrm>
              <a:off x="1036221" y="8395383"/>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C37, entrez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=C29&amp;" "&amp;TEXTE(D29;"H:MM")</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H:MM correspond au code de format français Heures:Minutes</a:t>
              </a:r>
              <a:r>
                <a:rPr sz="1100" spc="-20">
                  <a:latin typeface="Segoe UI" panose="020B0502040204020203" pitchFamily="34" charset="0"/>
                  <a:cs typeface="Segoe UI" panose="020B0502040204020203" pitchFamily="34" charset="0"/>
                </a:rPr>
                <a:t> (</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par exemple, 13:30).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7" name="shp_Étape" descr="2">
              <a:extLst>
                <a:ext uri="{FF2B5EF4-FFF2-40B4-BE49-F238E27FC236}">
                  <a16:creationId xmlns:a16="http://schemas.microsoft.com/office/drawing/2014/main" id="{B4C7D5DE-D6A5-48E7-83E5-019D08CD7E15}"/>
                </a:ext>
              </a:extLst>
            </xdr:cNvPr>
            <xdr:cNvSpPr/>
          </xdr:nvSpPr>
          <xdr:spPr>
            <a:xfrm>
              <a:off x="619063" y="835342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542925</xdr:colOff>
      <xdr:row>48</xdr:row>
      <xdr:rowOff>85725</xdr:rowOff>
    </xdr:from>
    <xdr:to>
      <xdr:col>1</xdr:col>
      <xdr:colOff>970370</xdr:colOff>
      <xdr:row>50</xdr:row>
      <xdr:rowOff>40174</xdr:rowOff>
    </xdr:to>
    <xdr:sp macro="" textlink="">
      <xdr:nvSpPr>
        <xdr:cNvPr id="15" name="BoutonPrécédent" descr="Revenir à la feuille précédente">
          <a:hlinkClick xmlns:r="http://schemas.openxmlformats.org/officeDocument/2006/relationships" r:id="rId1" tooltip="Cliquez ici pour revenir à la feuille précédente"/>
          <a:extLst>
            <a:ext uri="{FF2B5EF4-FFF2-40B4-BE49-F238E27FC236}">
              <a16:creationId xmlns:a16="http://schemas.microsoft.com/office/drawing/2014/main" id="{5922784C-4852-4CDF-BE97-7012903E7A23}"/>
            </a:ext>
          </a:extLst>
        </xdr:cNvPr>
        <xdr:cNvSpPr/>
      </xdr:nvSpPr>
      <xdr:spPr>
        <a:xfrm flipH="1">
          <a:off x="542925" y="980122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xdr:twoCellAnchor>
  <xdr:twoCellAnchor editAs="absolute">
    <xdr:from>
      <xdr:col>1</xdr:col>
      <xdr:colOff>3713211</xdr:colOff>
      <xdr:row>48</xdr:row>
      <xdr:rowOff>85725</xdr:rowOff>
    </xdr:from>
    <xdr:to>
      <xdr:col>1</xdr:col>
      <xdr:colOff>4988381</xdr:colOff>
      <xdr:row>50</xdr:row>
      <xdr:rowOff>40174</xdr:rowOff>
    </xdr:to>
    <xdr:sp macro="" textlink="">
      <xdr:nvSpPr>
        <xdr:cNvPr id="16" name="BoutonSuivant" descr="Passer à la feuille suivante">
          <a:hlinkClick xmlns:r="http://schemas.openxmlformats.org/officeDocument/2006/relationships" r:id="rId2" tooltip="Cliquez ici pour passer à la feuille de calcul suivante"/>
          <a:extLst>
            <a:ext uri="{FF2B5EF4-FFF2-40B4-BE49-F238E27FC236}">
              <a16:creationId xmlns:a16="http://schemas.microsoft.com/office/drawing/2014/main" id="{43569A8A-221F-4ED4-8980-8BE22AD99605}"/>
            </a:ext>
          </a:extLst>
        </xdr:cNvPr>
        <xdr:cNvSpPr/>
      </xdr:nvSpPr>
      <xdr:spPr>
        <a:xfrm>
          <a:off x="4560936" y="9801225"/>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1</xdr:col>
      <xdr:colOff>5453062</xdr:colOff>
      <xdr:row>42</xdr:row>
      <xdr:rowOff>76200</xdr:rowOff>
    </xdr:from>
    <xdr:to>
      <xdr:col>4</xdr:col>
      <xdr:colOff>749828</xdr:colOff>
      <xdr:row>51</xdr:row>
      <xdr:rowOff>77259</xdr:rowOff>
    </xdr:to>
    <xdr:grpSp>
      <xdr:nvGrpSpPr>
        <xdr:cNvPr id="17" name="À APPROFONDIR" descr="À APPROFONDIR">
          <a:extLst>
            <a:ext uri="{FF2B5EF4-FFF2-40B4-BE49-F238E27FC236}">
              <a16:creationId xmlns:a16="http://schemas.microsoft.com/office/drawing/2014/main" id="{596A6E4B-8461-4088-8A56-C0FD77EF6C29}"/>
            </a:ext>
          </a:extLst>
        </xdr:cNvPr>
        <xdr:cNvGrpSpPr/>
      </xdr:nvGrpSpPr>
      <xdr:grpSpPr>
        <a:xfrm>
          <a:off x="6300787" y="8648700"/>
          <a:ext cx="3335866" cy="1715559"/>
          <a:chOff x="8477250" y="8591549"/>
          <a:chExt cx="3314700" cy="1504951"/>
        </a:xfrm>
      </xdr:grpSpPr>
      <xdr:pic>
        <xdr:nvPicPr>
          <xdr:cNvPr id="18" name="Graphisme 9" descr="Randonnée">
            <a:extLst>
              <a:ext uri="{FF2B5EF4-FFF2-40B4-BE49-F238E27FC236}">
                <a16:creationId xmlns:a16="http://schemas.microsoft.com/office/drawing/2014/main" id="{076D859C-B102-472E-890F-6F91E5D2E5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77250" y="8682899"/>
            <a:ext cx="420378" cy="420378"/>
          </a:xfrm>
          <a:prstGeom prst="rect">
            <a:avLst/>
          </a:prstGeom>
        </xdr:spPr>
      </xdr:pic>
      <xdr:sp macro="" textlink="">
        <xdr:nvSpPr>
          <xdr:cNvPr id="19" name="Étape" descr="WORTH EXPLORING&#10;If you don't know what format code to use, you can use Ctrl+1 &gt; Number to format any cell the way you want.  Then select the Custom option. You can copy the format code that's displayed back to your formula.&#10;">
            <a:extLst>
              <a:ext uri="{FF2B5EF4-FFF2-40B4-BE49-F238E27FC236}">
                <a16:creationId xmlns:a16="http://schemas.microsoft.com/office/drawing/2014/main" id="{CBB403D1-3A56-4D0A-A68D-9E85E7F65AC0}"/>
              </a:ext>
            </a:extLst>
          </xdr:cNvPr>
          <xdr:cNvSpPr txBox="1"/>
        </xdr:nvSpPr>
        <xdr:spPr>
          <a:xfrm>
            <a:off x="8783628" y="8591549"/>
            <a:ext cx="3008322"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À APPROFONDIR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ea typeface="Segoe UI" pitchFamily="34" charset="0"/>
                <a:cs typeface="Segoe UI Light" panose="020B0502040204020203" pitchFamily="34" charset="0"/>
              </a:rPr>
              <a:t>Si vous ne savez pas quel code de format utiliser, vous pouvez utiliser </a:t>
            </a:r>
            <a:r>
              <a:rPr lang="fr" sz="1100" b="1" kern="0">
                <a:solidFill>
                  <a:schemeClr val="bg2">
                    <a:lumMod val="25000"/>
                  </a:schemeClr>
                </a:solidFill>
                <a:ea typeface="Segoe UI" pitchFamily="34" charset="0"/>
                <a:cs typeface="Segoe UI Light" panose="020B0502040204020203" pitchFamily="34" charset="0"/>
              </a:rPr>
              <a:t>Ctrl+1</a:t>
            </a:r>
            <a:r>
              <a:rPr lang="fr" sz="1100" kern="0">
                <a:solidFill>
                  <a:schemeClr val="bg2">
                    <a:lumMod val="25000"/>
                  </a:schemeClr>
                </a:solidFill>
                <a:ea typeface="Segoe UI" pitchFamily="34" charset="0"/>
                <a:cs typeface="Segoe UI Light" panose="020B0502040204020203" pitchFamily="34" charset="0"/>
              </a:rPr>
              <a:t> &gt; </a:t>
            </a:r>
            <a:r>
              <a:rPr lang="fr" sz="1100" b="1" kern="0">
                <a:solidFill>
                  <a:schemeClr val="bg2">
                    <a:lumMod val="25000"/>
                  </a:schemeClr>
                </a:solidFill>
                <a:ea typeface="Segoe UI" pitchFamily="34" charset="0"/>
                <a:cs typeface="Segoe UI Light" panose="020B0502040204020203" pitchFamily="34" charset="0"/>
              </a:rPr>
              <a:t>Nombre</a:t>
            </a:r>
            <a:r>
              <a:rPr lang="fr" sz="1100" kern="0">
                <a:solidFill>
                  <a:schemeClr val="bg2">
                    <a:lumMod val="25000"/>
                  </a:schemeClr>
                </a:solidFill>
                <a:ea typeface="Segoe UI" pitchFamily="34" charset="0"/>
                <a:cs typeface="Segoe UI Light" panose="020B0502040204020203" pitchFamily="34" charset="0"/>
              </a:rPr>
              <a:t> pour appliquer le format de votre choix à une cellule.  Sélectionnez ensuite l’option </a:t>
            </a:r>
            <a:r>
              <a:rPr lang="fr" sz="1100" b="1" kern="0">
                <a:solidFill>
                  <a:schemeClr val="bg2">
                    <a:lumMod val="25000"/>
                  </a:schemeClr>
                </a:solidFill>
                <a:ea typeface="Segoe UI" pitchFamily="34" charset="0"/>
                <a:cs typeface="Segoe UI Light" panose="020B0502040204020203" pitchFamily="34" charset="0"/>
              </a:rPr>
              <a:t>Personnalisée</a:t>
            </a:r>
            <a:r>
              <a:rPr lang="fr" sz="1100" b="0" kern="0">
                <a:solidFill>
                  <a:schemeClr val="bg2">
                    <a:lumMod val="25000"/>
                  </a:schemeClr>
                </a:solidFill>
                <a:ea typeface="Segoe UI" pitchFamily="34" charset="0"/>
                <a:cs typeface="Segoe UI Light" panose="020B0502040204020203" pitchFamily="34" charset="0"/>
              </a:rPr>
              <a:t>.</a:t>
            </a:r>
            <a:r>
              <a:rPr lang="fr" sz="1100" kern="0">
                <a:solidFill>
                  <a:schemeClr val="bg2">
                    <a:lumMod val="25000"/>
                  </a:schemeClr>
                </a:solidFill>
                <a:ea typeface="Segoe UI" pitchFamily="34" charset="0"/>
                <a:cs typeface="Segoe UI Light" panose="020B0502040204020203" pitchFamily="34" charset="0"/>
              </a:rPr>
              <a:t> Vous pouvez alors copier le code de format affiché dans votre formule.</a:t>
            </a:r>
            <a:endParaRPr lang="en-US" sz="1100" b="0" i="0">
              <a:solidFill>
                <a:schemeClr val="bg2">
                  <a:lumMod val="25000"/>
                </a:schemeClr>
              </a:solidFill>
              <a:effectLst/>
              <a:latin typeface="+mn-lt"/>
              <a:ea typeface="Segoe UI" pitchFamily="34" charset="0"/>
              <a:cs typeface="Segoe UI Light" panose="020B0502040204020203" pitchFamily="34" charset="0"/>
            </a:endParaRPr>
          </a:p>
        </xdr:txBody>
      </xdr:sp>
    </xdr:grpSp>
    <xdr:clientData/>
  </xdr:twoCellAnchor>
  <xdr:twoCellAnchor>
    <xdr:from>
      <xdr:col>0</xdr:col>
      <xdr:colOff>323850</xdr:colOff>
      <xdr:row>51</xdr:row>
      <xdr:rowOff>161924</xdr:rowOff>
    </xdr:from>
    <xdr:to>
      <xdr:col>1</xdr:col>
      <xdr:colOff>5209413</xdr:colOff>
      <xdr:row>64</xdr:row>
      <xdr:rowOff>38100</xdr:rowOff>
    </xdr:to>
    <xdr:grpSp>
      <xdr:nvGrpSpPr>
        <xdr:cNvPr id="20" name="Groupe 19">
          <a:extLst>
            <a:ext uri="{FF2B5EF4-FFF2-40B4-BE49-F238E27FC236}">
              <a16:creationId xmlns:a16="http://schemas.microsoft.com/office/drawing/2014/main" id="{C4E81C51-62C6-4672-A9AC-776F0F869F33}"/>
            </a:ext>
          </a:extLst>
        </xdr:cNvPr>
        <xdr:cNvGrpSpPr/>
      </xdr:nvGrpSpPr>
      <xdr:grpSpPr>
        <a:xfrm>
          <a:off x="323850" y="10448924"/>
          <a:ext cx="5733288" cy="2352676"/>
          <a:chOff x="323850" y="9629774"/>
          <a:chExt cx="5733288" cy="2066925"/>
        </a:xfrm>
      </xdr:grpSpPr>
      <xdr:sp macro="" textlink="">
        <xdr:nvSpPr>
          <xdr:cNvPr id="21" name="Rectangle 75">
            <a:extLst>
              <a:ext uri="{FF2B5EF4-FFF2-40B4-BE49-F238E27FC236}">
                <a16:creationId xmlns:a16="http://schemas.microsoft.com/office/drawing/2014/main" id="{72FD2B41-5667-45CC-8186-45F3E1BCA414}"/>
              </a:ext>
            </a:extLst>
          </xdr:cNvPr>
          <xdr:cNvSpPr/>
        </xdr:nvSpPr>
        <xdr:spPr>
          <a:xfrm>
            <a:off x="323850" y="9629774"/>
            <a:ext cx="5733288" cy="20669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22" name="Étape" descr="Plus d’informations sur le web&#10;">
            <a:extLst>
              <a:ext uri="{FF2B5EF4-FFF2-40B4-BE49-F238E27FC236}">
                <a16:creationId xmlns:a16="http://schemas.microsoft.com/office/drawing/2014/main" id="{B306C231-17EA-4C95-AC97-C2D386E8AEEE}"/>
              </a:ext>
            </a:extLst>
          </xdr:cNvPr>
          <xdr:cNvSpPr txBox="1"/>
        </xdr:nvSpPr>
        <xdr:spPr>
          <a:xfrm>
            <a:off x="555440" y="9729487"/>
            <a:ext cx="5254218" cy="39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23" name="Connecteur droit 22" descr="Ligne décorative">
            <a:extLst>
              <a:ext uri="{FF2B5EF4-FFF2-40B4-BE49-F238E27FC236}">
                <a16:creationId xmlns:a16="http://schemas.microsoft.com/office/drawing/2014/main" id="{CFCF51E6-FFA2-453B-A02F-F1C06C269E60}"/>
              </a:ext>
            </a:extLst>
          </xdr:cNvPr>
          <xdr:cNvCxnSpPr>
            <a:cxnSpLocks/>
          </xdr:cNvCxnSpPr>
        </xdr:nvCxnSpPr>
        <xdr:spPr>
          <a:xfrm>
            <a:off x="558613" y="10149257"/>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4" name="Connecteur droit 23" descr="Ligne décorative">
            <a:extLst>
              <a:ext uri="{FF2B5EF4-FFF2-40B4-BE49-F238E27FC236}">
                <a16:creationId xmlns:a16="http://schemas.microsoft.com/office/drawing/2014/main" id="{DAE0C14A-5AC8-450F-AF5F-6EC56FC84032}"/>
              </a:ext>
            </a:extLst>
          </xdr:cNvPr>
          <xdr:cNvCxnSpPr>
            <a:cxnSpLocks/>
          </xdr:cNvCxnSpPr>
        </xdr:nvCxnSpPr>
        <xdr:spPr>
          <a:xfrm>
            <a:off x="558613" y="1146408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535207</xdr:colOff>
      <xdr:row>55</xdr:row>
      <xdr:rowOff>104951</xdr:rowOff>
    </xdr:from>
    <xdr:to>
      <xdr:col>1</xdr:col>
      <xdr:colOff>2572868</xdr:colOff>
      <xdr:row>57</xdr:row>
      <xdr:rowOff>80567</xdr:rowOff>
    </xdr:to>
    <xdr:grpSp>
      <xdr:nvGrpSpPr>
        <xdr:cNvPr id="25" name="Groupe 24">
          <a:extLst>
            <a:ext uri="{FF2B5EF4-FFF2-40B4-BE49-F238E27FC236}">
              <a16:creationId xmlns:a16="http://schemas.microsoft.com/office/drawing/2014/main" id="{2778077D-F26F-450B-BF75-8DC70D95D37A}"/>
            </a:ext>
          </a:extLst>
        </xdr:cNvPr>
        <xdr:cNvGrpSpPr/>
      </xdr:nvGrpSpPr>
      <xdr:grpSpPr>
        <a:xfrm>
          <a:off x="535207" y="11153951"/>
          <a:ext cx="2885386" cy="356616"/>
          <a:chOff x="535207" y="10201451"/>
          <a:chExt cx="2885386" cy="356616"/>
        </a:xfrm>
      </xdr:grpSpPr>
      <xdr:sp macro="" textlink="">
        <xdr:nvSpPr>
          <xdr:cNvPr id="26" name="Étape" descr="À propos de la fonction TEXTE&#10;&#10;&#10;">
            <a:hlinkClick xmlns:r="http://schemas.openxmlformats.org/officeDocument/2006/relationships" r:id="rId5" tooltip="Sélectionnez ce lien pour accéder sur le web à des informations complémentaires sur la fonction TEXTE"/>
            <a:extLst>
              <a:ext uri="{FF2B5EF4-FFF2-40B4-BE49-F238E27FC236}">
                <a16:creationId xmlns:a16="http://schemas.microsoft.com/office/drawing/2014/main" id="{FCFE5961-AAE3-4D75-AE6A-3A8CE347EB3A}"/>
              </a:ext>
            </a:extLst>
          </xdr:cNvPr>
          <xdr:cNvSpPr txBox="1"/>
        </xdr:nvSpPr>
        <xdr:spPr>
          <a:xfrm>
            <a:off x="1003442" y="10276156"/>
            <a:ext cx="2417151" cy="255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TEXTE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7"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8D16B330-611C-45FB-B91B-BB5B8090551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5207" y="10201451"/>
            <a:ext cx="489823" cy="356616"/>
          </a:xfrm>
          <a:prstGeom prst="rect">
            <a:avLst/>
          </a:prstGeom>
        </xdr:spPr>
      </xdr:pic>
    </xdr:grpSp>
    <xdr:clientData/>
  </xdr:twoCellAnchor>
  <xdr:twoCellAnchor>
    <xdr:from>
      <xdr:col>0</xdr:col>
      <xdr:colOff>535207</xdr:colOff>
      <xdr:row>57</xdr:row>
      <xdr:rowOff>126167</xdr:rowOff>
    </xdr:from>
    <xdr:to>
      <xdr:col>1</xdr:col>
      <xdr:colOff>2601630</xdr:colOff>
      <xdr:row>59</xdr:row>
      <xdr:rowOff>101783</xdr:rowOff>
    </xdr:to>
    <xdr:grpSp>
      <xdr:nvGrpSpPr>
        <xdr:cNvPr id="28" name="Groupe 27">
          <a:extLst>
            <a:ext uri="{FF2B5EF4-FFF2-40B4-BE49-F238E27FC236}">
              <a16:creationId xmlns:a16="http://schemas.microsoft.com/office/drawing/2014/main" id="{18BC81F0-4A28-48E3-93C2-A0041E8C4792}"/>
            </a:ext>
          </a:extLst>
        </xdr:cNvPr>
        <xdr:cNvGrpSpPr/>
      </xdr:nvGrpSpPr>
      <xdr:grpSpPr>
        <a:xfrm>
          <a:off x="535207" y="11556167"/>
          <a:ext cx="2914148" cy="356616"/>
          <a:chOff x="535207" y="10603667"/>
          <a:chExt cx="2914148" cy="356616"/>
        </a:xfrm>
      </xdr:grpSpPr>
      <xdr:sp macro="" textlink="">
        <xdr:nvSpPr>
          <xdr:cNvPr id="29" name="Étape" descr="Combiner du texte et des nombres, lien hypertexte vers le web&#10;">
            <a:hlinkClick xmlns:r="http://schemas.openxmlformats.org/officeDocument/2006/relationships" r:id="rId8" tooltip="Sélectionnez ce lien pour accéder sur le web à des informations complémentaires sur la combinaison de texte et de nombres"/>
            <a:extLst>
              <a:ext uri="{FF2B5EF4-FFF2-40B4-BE49-F238E27FC236}">
                <a16:creationId xmlns:a16="http://schemas.microsoft.com/office/drawing/2014/main" id="{747BAA0D-02FD-4906-AFBB-EC71D6F54750}"/>
              </a:ext>
            </a:extLst>
          </xdr:cNvPr>
          <xdr:cNvSpPr txBox="1"/>
        </xdr:nvSpPr>
        <xdr:spPr>
          <a:xfrm>
            <a:off x="1003442" y="10655787"/>
            <a:ext cx="2445913" cy="233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Combiner du texte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et des nombres</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30"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E8361FE4-A25A-4F4E-951D-41E3BDCFC45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35207" y="10603667"/>
            <a:ext cx="482685" cy="356616"/>
          </a:xfrm>
          <a:prstGeom prst="rect">
            <a:avLst/>
          </a:prstGeom>
        </xdr:spPr>
      </xdr:pic>
    </xdr:grpSp>
    <xdr:clientData/>
  </xdr:twoCellAnchor>
  <xdr:twoCellAnchor>
    <xdr:from>
      <xdr:col>0</xdr:col>
      <xdr:colOff>547899</xdr:colOff>
      <xdr:row>59</xdr:row>
      <xdr:rowOff>152717</xdr:rowOff>
    </xdr:from>
    <xdr:to>
      <xdr:col>1</xdr:col>
      <xdr:colOff>3333749</xdr:colOff>
      <xdr:row>61</xdr:row>
      <xdr:rowOff>128333</xdr:rowOff>
    </xdr:to>
    <xdr:grpSp>
      <xdr:nvGrpSpPr>
        <xdr:cNvPr id="31" name="Groupe 18">
          <a:extLst>
            <a:ext uri="{FF2B5EF4-FFF2-40B4-BE49-F238E27FC236}">
              <a16:creationId xmlns:a16="http://schemas.microsoft.com/office/drawing/2014/main" id="{59B986DD-D616-4F64-ACFB-2FF0FE91DB6E}"/>
            </a:ext>
          </a:extLst>
        </xdr:cNvPr>
        <xdr:cNvGrpSpPr/>
      </xdr:nvGrpSpPr>
      <xdr:grpSpPr>
        <a:xfrm>
          <a:off x="547899" y="11963717"/>
          <a:ext cx="3633575" cy="356616"/>
          <a:chOff x="547899" y="11011217"/>
          <a:chExt cx="3633575" cy="356616"/>
        </a:xfrm>
      </xdr:grpSpPr>
      <xdr:sp macro="" textlink="">
        <xdr:nvSpPr>
          <xdr:cNvPr id="32" name="Étape" descr="Formation Excel gratuite en ligne, lien hypertexte vers le web&#10;">
            <a:hlinkClick xmlns:r="http://schemas.openxmlformats.org/officeDocument/2006/relationships" r:id="rId9" tooltip="Sélectionnez ce lien pour accéder sur le web à une formation gratuite sur Excel"/>
            <a:extLst>
              <a:ext uri="{FF2B5EF4-FFF2-40B4-BE49-F238E27FC236}">
                <a16:creationId xmlns:a16="http://schemas.microsoft.com/office/drawing/2014/main" id="{5AAA7E7C-220F-49A5-A1EF-C0FB918822CC}"/>
              </a:ext>
            </a:extLst>
          </xdr:cNvPr>
          <xdr:cNvSpPr txBox="1"/>
        </xdr:nvSpPr>
        <xdr:spPr>
          <a:xfrm>
            <a:off x="1016131" y="11062558"/>
            <a:ext cx="3165343" cy="24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33"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A92BF9F4-A8F6-4F9A-9E7A-3A4F7EC6A74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47899" y="11011217"/>
            <a:ext cx="482685" cy="356616"/>
          </a:xfrm>
          <a:prstGeom prst="rect">
            <a:avLst/>
          </a:prstGeom>
        </xdr:spPr>
      </xdr:pic>
    </xdr:grpSp>
    <xdr:clientData/>
  </xdr:twoCellAnchor>
  <xdr:twoCellAnchor>
    <xdr:from>
      <xdr:col>0</xdr:col>
      <xdr:colOff>333375</xdr:colOff>
      <xdr:row>0</xdr:row>
      <xdr:rowOff>352425</xdr:rowOff>
    </xdr:from>
    <xdr:to>
      <xdr:col>1</xdr:col>
      <xdr:colOff>5219700</xdr:colOff>
      <xdr:row>24</xdr:row>
      <xdr:rowOff>123825</xdr:rowOff>
    </xdr:to>
    <xdr:grpSp>
      <xdr:nvGrpSpPr>
        <xdr:cNvPr id="34" name="Groupe 33">
          <a:extLst>
            <a:ext uri="{FF2B5EF4-FFF2-40B4-BE49-F238E27FC236}">
              <a16:creationId xmlns:a16="http://schemas.microsoft.com/office/drawing/2014/main" id="{EF151D03-485D-41FB-8394-9EAE812B0E76}"/>
            </a:ext>
          </a:extLst>
        </xdr:cNvPr>
        <xdr:cNvGrpSpPr/>
      </xdr:nvGrpSpPr>
      <xdr:grpSpPr>
        <a:xfrm>
          <a:off x="333375" y="352425"/>
          <a:ext cx="5734050" cy="4914900"/>
          <a:chOff x="0" y="0"/>
          <a:chExt cx="5734050" cy="4914900"/>
        </a:xfrm>
      </xdr:grpSpPr>
      <xdr:grpSp>
        <xdr:nvGrpSpPr>
          <xdr:cNvPr id="35" name="grp_VoletVisiteGuidée">
            <a:extLst>
              <a:ext uri="{FF2B5EF4-FFF2-40B4-BE49-F238E27FC236}">
                <a16:creationId xmlns:a16="http://schemas.microsoft.com/office/drawing/2014/main" id="{88B7C55B-F84B-401F-B532-D7E8F759091F}"/>
              </a:ext>
            </a:extLst>
          </xdr:cNvPr>
          <xdr:cNvGrpSpPr/>
        </xdr:nvGrpSpPr>
        <xdr:grpSpPr>
          <a:xfrm>
            <a:off x="0" y="0"/>
            <a:ext cx="5734050" cy="4914900"/>
            <a:chOff x="609600" y="1524000"/>
            <a:chExt cx="5695950" cy="4914900"/>
          </a:xfrm>
        </xdr:grpSpPr>
        <xdr:sp macro="" textlink="">
          <xdr:nvSpPr>
            <xdr:cNvPr id="45" name="txt_ArrièrePlanVisiteGuidée" descr="Arrière-plan">
              <a:extLst>
                <a:ext uri="{FF2B5EF4-FFF2-40B4-BE49-F238E27FC236}">
                  <a16:creationId xmlns:a16="http://schemas.microsoft.com/office/drawing/2014/main" id="{B5A6B242-516F-48A3-9568-72504A31DC03}"/>
                </a:ext>
              </a:extLst>
            </xdr:cNvPr>
            <xdr:cNvSpPr/>
          </xdr:nvSpPr>
          <xdr:spPr>
            <a:xfrm>
              <a:off x="609600" y="1524000"/>
              <a:ext cx="5695950" cy="49149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46" name="txt_EnTêteVisiteGuidée" descr="Combiner du texte à partir de différentes cellules">
              <a:extLst>
                <a:ext uri="{FF2B5EF4-FFF2-40B4-BE49-F238E27FC236}">
                  <a16:creationId xmlns:a16="http://schemas.microsoft.com/office/drawing/2014/main" id="{1023F4C9-1B42-4741-9B20-07722ED882AF}"/>
                </a:ext>
              </a:extLst>
            </xdr:cNvPr>
            <xdr:cNvSpPr txBox="1"/>
          </xdr:nvSpPr>
          <xdr:spPr>
            <a:xfrm>
              <a:off x="849300" y="1619248"/>
              <a:ext cx="5216551" cy="1028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Combiner du texte à partir de différentes cellules</a:t>
              </a:r>
            </a:p>
          </xdr:txBody>
        </xdr:sp>
        <xdr:cxnSp macro="">
          <xdr:nvCxnSpPr>
            <xdr:cNvPr id="47" name="txt_VisiteGuidéeLigne1" descr="Ligne décorative">
              <a:extLst>
                <a:ext uri="{FF2B5EF4-FFF2-40B4-BE49-F238E27FC236}">
                  <a16:creationId xmlns:a16="http://schemas.microsoft.com/office/drawing/2014/main" id="{C0D13DD4-019A-47C9-94E5-E9BAA7FF87C5}"/>
                </a:ext>
              </a:extLst>
            </xdr:cNvPr>
            <xdr:cNvCxnSpPr>
              <a:cxnSpLocks/>
            </xdr:cNvCxnSpPr>
          </xdr:nvCxnSpPr>
          <xdr:spPr>
            <a:xfrm>
              <a:off x="850887" y="251460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8" name="txt_VisiteGuidéeLigne2" descr="Ligne décorative">
              <a:extLst>
                <a:ext uri="{FF2B5EF4-FFF2-40B4-BE49-F238E27FC236}">
                  <a16:creationId xmlns:a16="http://schemas.microsoft.com/office/drawing/2014/main" id="{51CDB5C1-E58E-4F10-B1A6-E7BAC8B64E18}"/>
                </a:ext>
              </a:extLst>
            </xdr:cNvPr>
            <xdr:cNvCxnSpPr>
              <a:cxnSpLocks/>
            </xdr:cNvCxnSpPr>
          </xdr:nvCxnSpPr>
          <xdr:spPr>
            <a:xfrm>
              <a:off x="850887" y="5593291"/>
              <a:ext cx="521337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9" name="txt_IntroVisiteGuidée" descr="Dans Excel, il est souvent utile de combiner du texte réparti dans des cellules différentes. Cet exemple est très courant : vous disposez de prénoms et de noms que vous souhaitez combiner sous la forme « Prénom, Nom » ou « Nom complet ». Pour ce faire, vous pouvez utiliser le signe &amp; (Shift+7).">
              <a:extLst>
                <a:ext uri="{FF2B5EF4-FFF2-40B4-BE49-F238E27FC236}">
                  <a16:creationId xmlns:a16="http://schemas.microsoft.com/office/drawing/2014/main" id="{9CACD837-C203-4A47-955B-83A6786A72D5}"/>
                </a:ext>
              </a:extLst>
            </xdr:cNvPr>
            <xdr:cNvSpPr txBox="1"/>
          </xdr:nvSpPr>
          <xdr:spPr>
            <a:xfrm>
              <a:off x="846305" y="2528965"/>
              <a:ext cx="5216551" cy="852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Dans Excel, il est souvent utile de combiner du texte réparti dans des cellules différentes. Cet exemple est très courant : vous disposez de prénoms et de noms que vous souhaitez combiner sous la forme « Prénom, Nom » ou « Nom complet ». Pour ce faire, vous pouvez utiliser le signe esperluette (</a:t>
              </a:r>
              <a:r>
                <a:rPr lang="fr" sz="1100" b="1"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&amp;</a:t>
              </a: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disponible sous la touche </a:t>
              </a:r>
              <a:r>
                <a:rPr lang="fr" sz="1100" b="1"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1</a:t>
              </a: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du clavier.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grpSp>
        <xdr:nvGrpSpPr>
          <xdr:cNvPr id="36" name="grp_Étape">
            <a:extLst>
              <a:ext uri="{FF2B5EF4-FFF2-40B4-BE49-F238E27FC236}">
                <a16:creationId xmlns:a16="http://schemas.microsoft.com/office/drawing/2014/main" id="{7BA1E874-D070-4224-A6C9-C21565745E26}"/>
              </a:ext>
            </a:extLst>
          </xdr:cNvPr>
          <xdr:cNvGrpSpPr/>
        </xdr:nvGrpSpPr>
        <xdr:grpSpPr>
          <a:xfrm>
            <a:off x="238125" y="1933575"/>
            <a:ext cx="5220101" cy="596207"/>
            <a:chOff x="590674" y="8115300"/>
            <a:chExt cx="5186234" cy="596207"/>
          </a:xfrm>
        </xdr:grpSpPr>
        <xdr:sp macro="" textlink="">
          <xdr:nvSpPr>
            <xdr:cNvPr id="43" name="txt_Étape" descr="À la cellule E3, entrez =D3&amp;C3 pour combiner les noms et prénoms. ">
              <a:extLst>
                <a:ext uri="{FF2B5EF4-FFF2-40B4-BE49-F238E27FC236}">
                  <a16:creationId xmlns:a16="http://schemas.microsoft.com/office/drawing/2014/main" id="{3D5817F6-0E88-4382-BB68-34F97298C1E3}"/>
                </a:ext>
              </a:extLst>
            </xdr:cNvPr>
            <xdr:cNvSpPr txBox="1"/>
          </xdr:nvSpPr>
          <xdr:spPr>
            <a:xfrm>
              <a:off x="998369" y="81572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E3,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=D3&amp;C3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combiner les noms et prénoms.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4" name="shp_Étape" descr="1">
              <a:extLst>
                <a:ext uri="{FF2B5EF4-FFF2-40B4-BE49-F238E27FC236}">
                  <a16:creationId xmlns:a16="http://schemas.microsoft.com/office/drawing/2014/main" id="{315BFCEF-8F89-4BAD-ADF6-07251C0EA5F7}"/>
                </a:ext>
              </a:extLst>
            </xdr:cNvPr>
            <xdr:cNvSpPr/>
          </xdr:nvSpPr>
          <xdr:spPr>
            <a:xfrm>
              <a:off x="590674" y="8115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7" name="grp_Étape">
            <a:extLst>
              <a:ext uri="{FF2B5EF4-FFF2-40B4-BE49-F238E27FC236}">
                <a16:creationId xmlns:a16="http://schemas.microsoft.com/office/drawing/2014/main" id="{39871E21-1A82-445B-B7A5-EB351752FCE6}"/>
              </a:ext>
            </a:extLst>
          </xdr:cNvPr>
          <xdr:cNvGrpSpPr/>
        </xdr:nvGrpSpPr>
        <xdr:grpSpPr>
          <a:xfrm>
            <a:off x="238125" y="2471738"/>
            <a:ext cx="5220101" cy="881062"/>
            <a:chOff x="590674" y="8115300"/>
            <a:chExt cx="5186234" cy="881062"/>
          </a:xfrm>
        </xdr:grpSpPr>
        <xdr:sp macro="" textlink="">
          <xdr:nvSpPr>
            <xdr:cNvPr id="41" name="txt_Étape" descr="SmithNancy ne s’affiche pas correctement. Une virgule et un espace doivent être ajoutés. Pour ce faire, nous allons utiliser des guillemets afin de créer une nouvelle chaîne de texte. Cette fois-ci, entrez =D3&amp;&quot;, &quot;&amp;C3. La portion &amp;&quot;, &quot;&amp; nous permet d’ajouter une virgule et un espace au texte des cellules.">
              <a:extLst>
                <a:ext uri="{FF2B5EF4-FFF2-40B4-BE49-F238E27FC236}">
                  <a16:creationId xmlns:a16="http://schemas.microsoft.com/office/drawing/2014/main" id="{5D02C161-977D-4710-A8F3-204513D65D8D}"/>
                </a:ext>
              </a:extLst>
            </xdr:cNvPr>
            <xdr:cNvSpPr txBox="1"/>
          </xdr:nvSpPr>
          <xdr:spPr>
            <a:xfrm>
              <a:off x="998369" y="8128683"/>
              <a:ext cx="4778539" cy="867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Cela dit, la forme DurandNicole n’est pas idéale. Une virgule et un espace doivent être ajoutés. Pour ce faire, nous allons utiliser des guillemets afin de créer une nouvelle chaîne de texte. Cette fois, entrez </a:t>
              </a:r>
              <a:r>
                <a:rPr lang="fr" sz="1100" b="1"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=D3&amp;", "&amp;C3</a:t>
              </a: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portion </a:t>
              </a:r>
              <a:r>
                <a:rPr lang="fr" sz="1100" b="1"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&amp;", "&amp;</a:t>
              </a: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nous permet d’ajouter une virgule et un espace au texte des cellules.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2" name="shp_Étape" descr="2">
              <a:extLst>
                <a:ext uri="{FF2B5EF4-FFF2-40B4-BE49-F238E27FC236}">
                  <a16:creationId xmlns:a16="http://schemas.microsoft.com/office/drawing/2014/main" id="{617DC5B3-0F8C-4750-9D6D-22C6875B3BE6}"/>
                </a:ext>
              </a:extLst>
            </xdr:cNvPr>
            <xdr:cNvSpPr/>
          </xdr:nvSpPr>
          <xdr:spPr>
            <a:xfrm>
              <a:off x="590674" y="8115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8" name="grp_Étape">
            <a:extLst>
              <a:ext uri="{FF2B5EF4-FFF2-40B4-BE49-F238E27FC236}">
                <a16:creationId xmlns:a16="http://schemas.microsoft.com/office/drawing/2014/main" id="{B74B4F79-5FDC-469B-B72D-723BBE6F5F11}"/>
              </a:ext>
            </a:extLst>
          </xdr:cNvPr>
          <xdr:cNvGrpSpPr/>
        </xdr:nvGrpSpPr>
        <xdr:grpSpPr>
          <a:xfrm>
            <a:off x="238125" y="3409950"/>
            <a:ext cx="5220101" cy="596207"/>
            <a:chOff x="590674" y="8115300"/>
            <a:chExt cx="5186234" cy="596207"/>
          </a:xfrm>
        </xdr:grpSpPr>
        <xdr:sp macro="" textlink="">
          <xdr:nvSpPr>
            <xdr:cNvPr id="39" name="txt_Étape" descr="Pour créer le nom complet, nous allons combiner le prénom et le nom, mais utiliser un espace sans virgule. Dans la cellule F3, entrez =C3&amp;&quot; &quot;&amp;D3.">
              <a:extLst>
                <a:ext uri="{FF2B5EF4-FFF2-40B4-BE49-F238E27FC236}">
                  <a16:creationId xmlns:a16="http://schemas.microsoft.com/office/drawing/2014/main" id="{E80360C3-002F-4827-8492-BAEC0A9FCD88}"/>
                </a:ext>
              </a:extLst>
            </xdr:cNvPr>
            <xdr:cNvSpPr txBox="1"/>
          </xdr:nvSpPr>
          <xdr:spPr>
            <a:xfrm>
              <a:off x="998369" y="81572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créer le nom complet, nous allons combiner le prénom et le nom, mais utiliser un espace sans virgule. Dans la cellule F3, entrez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=C3&amp;" "&amp;D3</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0" name="shp_Étape" descr="3">
              <a:extLst>
                <a:ext uri="{FF2B5EF4-FFF2-40B4-BE49-F238E27FC236}">
                  <a16:creationId xmlns:a16="http://schemas.microsoft.com/office/drawing/2014/main" id="{73FF546C-25A7-4938-806C-45FE67892F57}"/>
                </a:ext>
              </a:extLst>
            </xdr:cNvPr>
            <xdr:cNvSpPr/>
          </xdr:nvSpPr>
          <xdr:spPr>
            <a:xfrm>
              <a:off x="590674" y="8115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581025</xdr:colOff>
      <xdr:row>21</xdr:row>
      <xdr:rowOff>76200</xdr:rowOff>
    </xdr:from>
    <xdr:to>
      <xdr:col>1</xdr:col>
      <xdr:colOff>3238500</xdr:colOff>
      <xdr:row>24</xdr:row>
      <xdr:rowOff>40387</xdr:rowOff>
    </xdr:to>
    <xdr:sp macro="" textlink="">
      <xdr:nvSpPr>
        <xdr:cNvPr id="50" name="btn_Poursuivre" descr="Poursuivez votre lecture pour plus d’informations">
          <a:hlinkClick xmlns:r="http://schemas.openxmlformats.org/officeDocument/2006/relationships" r:id="rId10"/>
          <a:extLst>
            <a:ext uri="{FF2B5EF4-FFF2-40B4-BE49-F238E27FC236}">
              <a16:creationId xmlns:a16="http://schemas.microsoft.com/office/drawing/2014/main" id="{CE394B60-7EF4-4564-9F19-805E03F7ABEB}"/>
            </a:ext>
          </a:extLst>
        </xdr:cNvPr>
        <xdr:cNvSpPr/>
      </xdr:nvSpPr>
      <xdr:spPr>
        <a:xfrm>
          <a:off x="581025" y="4648200"/>
          <a:ext cx="3505200" cy="53568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editAs="absolute">
    <xdr:from>
      <xdr:col>1</xdr:col>
      <xdr:colOff>3713211</xdr:colOff>
      <xdr:row>21</xdr:row>
      <xdr:rowOff>76200</xdr:rowOff>
    </xdr:from>
    <xdr:to>
      <xdr:col>1</xdr:col>
      <xdr:colOff>4988381</xdr:colOff>
      <xdr:row>23</xdr:row>
      <xdr:rowOff>30649</xdr:rowOff>
    </xdr:to>
    <xdr:sp macro="" textlink="">
      <xdr:nvSpPr>
        <xdr:cNvPr id="51" name="BoutonSuivant" descr="Passer à la feuille suivante">
          <a:hlinkClick xmlns:r="http://schemas.openxmlformats.org/officeDocument/2006/relationships" r:id="rId2" tooltip="Cliquez ici pour passer à la feuille suivante"/>
          <a:extLst>
            <a:ext uri="{FF2B5EF4-FFF2-40B4-BE49-F238E27FC236}">
              <a16:creationId xmlns:a16="http://schemas.microsoft.com/office/drawing/2014/main" id="{78FCB6D1-3C9B-469B-8AA4-ABEAD122DBB0}"/>
            </a:ext>
          </a:extLst>
        </xdr:cNvPr>
        <xdr:cNvSpPr/>
      </xdr:nvSpPr>
      <xdr:spPr>
        <a:xfrm>
          <a:off x="4560936" y="46482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4</xdr:col>
      <xdr:colOff>0</xdr:colOff>
      <xdr:row>33</xdr:row>
      <xdr:rowOff>66673</xdr:rowOff>
    </xdr:from>
    <xdr:to>
      <xdr:col>7</xdr:col>
      <xdr:colOff>323850</xdr:colOff>
      <xdr:row>40</xdr:row>
      <xdr:rowOff>57148</xdr:rowOff>
    </xdr:to>
    <xdr:grpSp>
      <xdr:nvGrpSpPr>
        <xdr:cNvPr id="52" name="ESSAYEZ ÇA" descr="ESSAYEZ ÇA&#10;&#10;">
          <a:extLst>
            <a:ext uri="{FF2B5EF4-FFF2-40B4-BE49-F238E27FC236}">
              <a16:creationId xmlns:a16="http://schemas.microsoft.com/office/drawing/2014/main" id="{E01F7625-4B10-439C-840F-D0457E02A847}"/>
            </a:ext>
          </a:extLst>
        </xdr:cNvPr>
        <xdr:cNvGrpSpPr/>
      </xdr:nvGrpSpPr>
      <xdr:grpSpPr>
        <a:xfrm>
          <a:off x="8886825" y="6924673"/>
          <a:ext cx="3552825" cy="1323975"/>
          <a:chOff x="7539454" y="7993902"/>
          <a:chExt cx="3552651" cy="1567588"/>
        </a:xfrm>
      </xdr:grpSpPr>
      <xdr:grpSp>
        <xdr:nvGrpSpPr>
          <xdr:cNvPr id="53" name="Lignes d’accolade">
            <a:extLst>
              <a:ext uri="{FF2B5EF4-FFF2-40B4-BE49-F238E27FC236}">
                <a16:creationId xmlns:a16="http://schemas.microsoft.com/office/drawing/2014/main" id="{C8830D7E-7C63-48CE-98F5-21C40493D539}"/>
              </a:ext>
            </a:extLst>
          </xdr:cNvPr>
          <xdr:cNvGrpSpPr/>
        </xdr:nvGrpSpPr>
        <xdr:grpSpPr>
          <a:xfrm rot="599914">
            <a:off x="7539454" y="8145377"/>
            <a:ext cx="293814" cy="698211"/>
            <a:chOff x="9871108" y="1184220"/>
            <a:chExt cx="273326" cy="789155"/>
          </a:xfrm>
        </xdr:grpSpPr>
        <xdr:sp macro="" textlink="">
          <xdr:nvSpPr>
            <xdr:cNvPr id="56" name="Une autre ligne d’accolade" descr="Ligne d’accolade">
              <a:extLst>
                <a:ext uri="{FF2B5EF4-FFF2-40B4-BE49-F238E27FC236}">
                  <a16:creationId xmlns:a16="http://schemas.microsoft.com/office/drawing/2014/main" id="{C5AEA028-A726-4155-BB8A-9CBF6EB3CCEC}"/>
                </a:ext>
              </a:extLst>
            </xdr:cNvPr>
            <xdr:cNvSpPr/>
          </xdr:nvSpPr>
          <xdr:spPr>
            <a:xfrm>
              <a:off x="9871108" y="1184220"/>
              <a:ext cx="273326" cy="262769"/>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57" name="Ligne d’accolade" descr="Ligne d’accolade&#10;">
              <a:extLst>
                <a:ext uri="{FF2B5EF4-FFF2-40B4-BE49-F238E27FC236}">
                  <a16:creationId xmlns:a16="http://schemas.microsoft.com/office/drawing/2014/main" id="{54FB2B3E-038B-4937-B6CF-49642ECDB3B4}"/>
                </a:ext>
              </a:extLst>
            </xdr:cNvPr>
            <xdr:cNvSpPr/>
          </xdr:nvSpPr>
          <xdr:spPr>
            <a:xfrm>
              <a:off x="9983011" y="1430777"/>
              <a:ext cx="160895" cy="542598"/>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54" name="Étoiles" descr="Étoiles">
            <a:extLst>
              <a:ext uri="{FF2B5EF4-FFF2-40B4-BE49-F238E27FC236}">
                <a16:creationId xmlns:a16="http://schemas.microsoft.com/office/drawing/2014/main" id="{4B595065-C592-4CC8-91AE-2BFC07A867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830674" y="8038700"/>
            <a:ext cx="388098" cy="337815"/>
          </a:xfrm>
          <a:prstGeom prst="rect">
            <a:avLst/>
          </a:prstGeom>
        </xdr:spPr>
      </xdr:pic>
      <xdr:sp macro="" textlink="">
        <xdr:nvSpPr>
          <xdr:cNvPr id="55" name="Instructions" descr="CHECK THIS OUT&#10;Formulas, especially big ones, can sometimes be hard to read, but you can break up their parts with spaces like this:&#10;&#10;=C28 &amp; &quot; &quot; &amp; TEXT(D28,&quot;MM/DD/YYYY&quot;)&#10;">
            <a:extLst>
              <a:ext uri="{FF2B5EF4-FFF2-40B4-BE49-F238E27FC236}">
                <a16:creationId xmlns:a16="http://schemas.microsoft.com/office/drawing/2014/main" id="{D5C4FD2D-B6BC-4DBA-94FC-2155A224D736}"/>
              </a:ext>
            </a:extLst>
          </xdr:cNvPr>
          <xdr:cNvSpPr txBox="1"/>
        </xdr:nvSpPr>
        <xdr:spPr>
          <a:xfrm>
            <a:off x="8132528" y="7993902"/>
            <a:ext cx="2959577" cy="1567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Les formules</a:t>
            </a:r>
            <a:r>
              <a:rPr lang="fr" sz="1100" kern="0" baseline="0">
                <a:solidFill>
                  <a:schemeClr val="bg2">
                    <a:lumMod val="25000"/>
                  </a:schemeClr>
                </a:solidFill>
                <a:latin typeface="+mn-lt"/>
                <a:ea typeface="Segoe UI" pitchFamily="34" charset="0"/>
                <a:cs typeface="Segoe UI Light" panose="020B0502040204020203" pitchFamily="34" charset="0"/>
              </a:rPr>
              <a:t> sont parfois difficiles à lire, en particulier lorsqu’elles sont longues, mais vous pouvez séparer des portions de celles-ci à l’aide d’espaces, comme dans l’exemple suivant :</a:t>
            </a:r>
          </a:p>
          <a:p>
            <a:pPr lvl="0" rtl="0">
              <a:defRPr/>
            </a:pPr>
            <a:endParaRPr lang="en-US" sz="1100" kern="0" baseline="0">
              <a:solidFill>
                <a:schemeClr val="bg2">
                  <a:lumMod val="25000"/>
                </a:schemeClr>
              </a:solidFill>
              <a:latin typeface="+mn-lt"/>
              <a:ea typeface="Segoe UI" pitchFamily="34" charset="0"/>
              <a:cs typeface="Segoe UI Light" panose="020B0502040204020203" pitchFamily="34" charset="0"/>
            </a:endParaRPr>
          </a:p>
          <a:p>
            <a:pPr lvl="0" rtl="0">
              <a:defRPr/>
            </a:pPr>
            <a:r>
              <a:rPr lang="fr" sz="1100" b="1">
                <a:solidFill>
                  <a:schemeClr val="bg2">
                    <a:lumMod val="25000"/>
                  </a:schemeClr>
                </a:solidFill>
                <a:latin typeface="+mn-lt"/>
                <a:ea typeface="Segoe UI" pitchFamily="34" charset="0"/>
                <a:cs typeface="Segoe UI Light" panose="020B0502040204020203" pitchFamily="34" charset="0"/>
              </a:rPr>
              <a:t>=C28 &amp; " " &amp; TEXTE(D28;"JJ/MM/AAAA")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342900</xdr:colOff>
      <xdr:row>0</xdr:row>
      <xdr:rowOff>361950</xdr:rowOff>
    </xdr:from>
    <xdr:to>
      <xdr:col>1</xdr:col>
      <xdr:colOff>5229225</xdr:colOff>
      <xdr:row>22</xdr:row>
      <xdr:rowOff>156549</xdr:rowOff>
    </xdr:to>
    <xdr:grpSp>
      <xdr:nvGrpSpPr>
        <xdr:cNvPr id="2" name="Groupe 31">
          <a:extLst>
            <a:ext uri="{FF2B5EF4-FFF2-40B4-BE49-F238E27FC236}">
              <a16:creationId xmlns:a16="http://schemas.microsoft.com/office/drawing/2014/main" id="{DE8CE89F-2C7B-45D4-876F-AB51EF5FBD61}"/>
            </a:ext>
          </a:extLst>
        </xdr:cNvPr>
        <xdr:cNvGrpSpPr/>
      </xdr:nvGrpSpPr>
      <xdr:grpSpPr>
        <a:xfrm>
          <a:off x="342900" y="361950"/>
          <a:ext cx="5734050" cy="4557099"/>
          <a:chOff x="342900" y="361950"/>
          <a:chExt cx="5734050" cy="4557099"/>
        </a:xfrm>
      </xdr:grpSpPr>
      <xdr:grpSp>
        <xdr:nvGrpSpPr>
          <xdr:cNvPr id="3" name="Groupe 69">
            <a:extLst>
              <a:ext uri="{FF2B5EF4-FFF2-40B4-BE49-F238E27FC236}">
                <a16:creationId xmlns:a16="http://schemas.microsoft.com/office/drawing/2014/main" id="{2D44FCC2-706A-47EB-BA6D-9ABBE621DB6C}"/>
              </a:ext>
            </a:extLst>
          </xdr:cNvPr>
          <xdr:cNvGrpSpPr/>
        </xdr:nvGrpSpPr>
        <xdr:grpSpPr>
          <a:xfrm>
            <a:off x="342900" y="361950"/>
            <a:ext cx="5734050" cy="4557099"/>
            <a:chOff x="342900" y="342900"/>
            <a:chExt cx="5734050" cy="4419600"/>
          </a:xfrm>
        </xdr:grpSpPr>
        <xdr:sp macro="" textlink="">
          <xdr:nvSpPr>
            <xdr:cNvPr id="13" name="txt_ArrièrePlanVisiteGuidée" descr="Arrière-plan">
              <a:extLst>
                <a:ext uri="{FF2B5EF4-FFF2-40B4-BE49-F238E27FC236}">
                  <a16:creationId xmlns:a16="http://schemas.microsoft.com/office/drawing/2014/main" id="{B67AB13C-A61A-4660-8CCE-06FA8D8A75A7}"/>
                </a:ext>
              </a:extLst>
            </xdr:cNvPr>
            <xdr:cNvSpPr/>
          </xdr:nvSpPr>
          <xdr:spPr>
            <a:xfrm>
              <a:off x="342900" y="342900"/>
              <a:ext cx="5734050" cy="44196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14" name="txt_EnTêteVisiteGuidée" descr="Instructions SI">
              <a:extLst>
                <a:ext uri="{FF2B5EF4-FFF2-40B4-BE49-F238E27FC236}">
                  <a16:creationId xmlns:a16="http://schemas.microsoft.com/office/drawing/2014/main" id="{A38D7DB9-C346-475E-B6F8-02E76AA30DAF}"/>
                </a:ext>
              </a:extLst>
            </xdr:cNvPr>
            <xdr:cNvSpPr txBox="1"/>
          </xdr:nvSpPr>
          <xdr:spPr>
            <a:xfrm>
              <a:off x="555628" y="43814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Instructions SI</a:t>
              </a:r>
              <a:endParaRPr kumimoji="0" lang="en-US" sz="2200" b="1"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endParaRPr>
            </a:p>
          </xdr:txBody>
        </xdr:sp>
        <xdr:cxnSp macro="">
          <xdr:nvCxnSpPr>
            <xdr:cNvPr id="15" name="txt_VisiteGuidéeLigne1" descr="Ligne décorative">
              <a:extLst>
                <a:ext uri="{FF2B5EF4-FFF2-40B4-BE49-F238E27FC236}">
                  <a16:creationId xmlns:a16="http://schemas.microsoft.com/office/drawing/2014/main" id="{556481F1-CC46-4FCF-927D-9864ABE335F5}"/>
                </a:ext>
              </a:extLst>
            </xdr:cNvPr>
            <xdr:cNvCxnSpPr>
              <a:cxnSpLocks/>
            </xdr:cNvCxnSpPr>
          </xdr:nvCxnSpPr>
          <xdr:spPr>
            <a:xfrm>
              <a:off x="555628" y="100965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6" name="txt_VisiteGuidéeLigne2" descr="Ligne décorative">
              <a:extLst>
                <a:ext uri="{FF2B5EF4-FFF2-40B4-BE49-F238E27FC236}">
                  <a16:creationId xmlns:a16="http://schemas.microsoft.com/office/drawing/2014/main" id="{3E754C44-0E74-4D7D-BB7B-BC2AD0E0AA1A}"/>
                </a:ext>
              </a:extLst>
            </xdr:cNvPr>
            <xdr:cNvCxnSpPr>
              <a:cxnSpLocks/>
            </xdr:cNvCxnSpPr>
          </xdr:nvCxnSpPr>
          <xdr:spPr>
            <a:xfrm>
              <a:off x="555628" y="393594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txt_IntroVisiteGuidée" descr="Les instructions SI vous permettent d’établir des comparaisons logiques entre les conditions. Une instruction SI dit généralement ceci : si une condition est vraie, faire telle chose, et si elle est fausse, faire autre chose. Les formules peuvent renvoyer du texte, des valeurs ou d’autres calculs.">
              <a:extLst>
                <a:ext uri="{FF2B5EF4-FFF2-40B4-BE49-F238E27FC236}">
                  <a16:creationId xmlns:a16="http://schemas.microsoft.com/office/drawing/2014/main" id="{0F185BD9-36D3-412E-BDD0-66D4FB4F45CB}"/>
                </a:ext>
              </a:extLst>
            </xdr:cNvPr>
            <xdr:cNvSpPr txBox="1"/>
          </xdr:nvSpPr>
          <xdr:spPr>
            <a:xfrm>
              <a:off x="562138" y="1043065"/>
              <a:ext cx="5251444" cy="870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instructions SI vous permettent d’établir des comparaisons logiques entre les conditions. Une instruction SI dit généralement ceci : si une condition est vraie, faire telle chose. Sinon, faire autre chose. Les formules peuvent renvoyer du texte, des valeurs ou d’autres calculs.</a:t>
              </a:r>
            </a:p>
          </xdr:txBody>
        </xdr:sp>
      </xdr:grpSp>
      <xdr:grpSp>
        <xdr:nvGrpSpPr>
          <xdr:cNvPr id="4" name="grp_Étape">
            <a:extLst>
              <a:ext uri="{FF2B5EF4-FFF2-40B4-BE49-F238E27FC236}">
                <a16:creationId xmlns:a16="http://schemas.microsoft.com/office/drawing/2014/main" id="{CD8D3024-4215-40C0-9008-C4BA66F51140}"/>
              </a:ext>
            </a:extLst>
          </xdr:cNvPr>
          <xdr:cNvGrpSpPr/>
        </xdr:nvGrpSpPr>
        <xdr:grpSpPr>
          <a:xfrm>
            <a:off x="571500" y="1962150"/>
            <a:ext cx="5305429" cy="596207"/>
            <a:chOff x="666377" y="7810500"/>
            <a:chExt cx="5271008" cy="596207"/>
          </a:xfrm>
        </xdr:grpSpPr>
        <xdr:sp macro="" textlink="">
          <xdr:nvSpPr>
            <xdr:cNvPr id="11" name="txt_Étape" descr="Dans la cellule D9, entrez =SI(C9=&quot;Pomme&quot;,VRAI,FAUX). La bonne réponse est VRAI.">
              <a:extLst>
                <a:ext uri="{FF2B5EF4-FFF2-40B4-BE49-F238E27FC236}">
                  <a16:creationId xmlns:a16="http://schemas.microsoft.com/office/drawing/2014/main" id="{0FD31430-EF3C-485E-85A0-64F07DB099D1}"/>
                </a:ext>
              </a:extLst>
            </xdr:cNvPr>
            <xdr:cNvSpPr txBox="1"/>
          </xdr:nvSpPr>
          <xdr:spPr>
            <a:xfrm>
              <a:off x="1074075" y="7852458"/>
              <a:ext cx="4863310"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D9,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=SI(C9="Pomme";VRAI;FAUX)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La bonne réponse est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VRAI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1">
              <a:extLst>
                <a:ext uri="{FF2B5EF4-FFF2-40B4-BE49-F238E27FC236}">
                  <a16:creationId xmlns:a16="http://schemas.microsoft.com/office/drawing/2014/main" id="{1D1125FA-BB36-4BB9-AB22-259FBFF6C224}"/>
                </a:ext>
              </a:extLst>
            </xdr:cNvPr>
            <xdr:cNvSpPr/>
          </xdr:nvSpPr>
          <xdr:spPr>
            <a:xfrm>
              <a:off x="666377" y="7810500"/>
              <a:ext cx="372192"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5" name="grp_Étape">
            <a:extLst>
              <a:ext uri="{FF2B5EF4-FFF2-40B4-BE49-F238E27FC236}">
                <a16:creationId xmlns:a16="http://schemas.microsoft.com/office/drawing/2014/main" id="{78657A83-29CE-4FDB-959F-1E2EB191F795}"/>
              </a:ext>
            </a:extLst>
          </xdr:cNvPr>
          <xdr:cNvGrpSpPr/>
        </xdr:nvGrpSpPr>
        <xdr:grpSpPr>
          <a:xfrm>
            <a:off x="571500" y="2540000"/>
            <a:ext cx="5220103" cy="596207"/>
            <a:chOff x="685304" y="7810500"/>
            <a:chExt cx="5186236" cy="596207"/>
          </a:xfrm>
        </xdr:grpSpPr>
        <xdr:sp macro="" textlink="">
          <xdr:nvSpPr>
            <xdr:cNvPr id="9" name="txt_Étape" descr="Copiez le contenu de la cellule D9 dans la cellule D10. La réponse est FAUX car une orange n’est pas une pomme.&#10;&#10;">
              <a:extLst>
                <a:ext uri="{FF2B5EF4-FFF2-40B4-BE49-F238E27FC236}">
                  <a16:creationId xmlns:a16="http://schemas.microsoft.com/office/drawing/2014/main" id="{544DC18F-E574-4244-9E24-92554AD196CB}"/>
                </a:ext>
              </a:extLst>
            </xdr:cNvPr>
            <xdr:cNvSpPr txBox="1"/>
          </xdr:nvSpPr>
          <xdr:spPr>
            <a:xfrm>
              <a:off x="1093001" y="7852458"/>
              <a:ext cx="4778539"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Copiez le contenu de la cellule D9 dans la cellule D10. La réponse est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car une orange n’est pas une pomme.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 name="shp_Étape" descr="2">
              <a:extLst>
                <a:ext uri="{FF2B5EF4-FFF2-40B4-BE49-F238E27FC236}">
                  <a16:creationId xmlns:a16="http://schemas.microsoft.com/office/drawing/2014/main" id="{59EC97E5-CB42-4D9E-B3D7-4BD4EEBD443E}"/>
                </a:ext>
              </a:extLst>
            </xdr:cNvPr>
            <xdr:cNvSpPr/>
          </xdr:nvSpPr>
          <xdr:spPr>
            <a:xfrm>
              <a:off x="685304"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6" name="grp_Étape">
            <a:extLst>
              <a:ext uri="{FF2B5EF4-FFF2-40B4-BE49-F238E27FC236}">
                <a16:creationId xmlns:a16="http://schemas.microsoft.com/office/drawing/2014/main" id="{570276A7-3261-4BD5-BE8B-C4EF404F5AAF}"/>
              </a:ext>
            </a:extLst>
          </xdr:cNvPr>
          <xdr:cNvGrpSpPr/>
        </xdr:nvGrpSpPr>
        <xdr:grpSpPr>
          <a:xfrm>
            <a:off x="571500" y="3165475"/>
            <a:ext cx="5210176" cy="873125"/>
            <a:chOff x="694767" y="7810500"/>
            <a:chExt cx="5176373" cy="873125"/>
          </a:xfrm>
        </xdr:grpSpPr>
        <xdr:sp macro="" textlink="">
          <xdr:nvSpPr>
            <xdr:cNvPr id="7" name="txt_Étape" descr="Prenons un autre exemple : examinez la cellule D12. Nous commençons avec la formule =SI(C12&lt;100,&quot;Inférieur à 100&quot;,&quot;Supérieur ou égal à 100&quot;). Que se passe-t-il si vous entrez un nombre supérieur à 100 dans la cellule C12 ?">
              <a:extLst>
                <a:ext uri="{FF2B5EF4-FFF2-40B4-BE49-F238E27FC236}">
                  <a16:creationId xmlns:a16="http://schemas.microsoft.com/office/drawing/2014/main" id="{9FA3845C-AD83-4C74-8D4E-038EE2CF7044}"/>
                </a:ext>
              </a:extLst>
            </xdr:cNvPr>
            <xdr:cNvSpPr txBox="1"/>
          </xdr:nvSpPr>
          <xdr:spPr>
            <a:xfrm>
              <a:off x="1102464" y="7852458"/>
              <a:ext cx="4768676" cy="831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Prenons un autre exemple : examinez la cellule D12. Nous y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=SI(C12&lt;100;"Inférieur à 100";"Supérieur ou égal à 100")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Que se passe-t-il si vous entrez un nombre supérieur ou égal à </a:t>
              </a: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100 dans la cellule C12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8" name="shp_Étape" descr="3">
              <a:extLst>
                <a:ext uri="{FF2B5EF4-FFF2-40B4-BE49-F238E27FC236}">
                  <a16:creationId xmlns:a16="http://schemas.microsoft.com/office/drawing/2014/main" id="{B4E3FC3B-A56B-429C-BA66-C1F4676B052F}"/>
                </a:ext>
              </a:extLst>
            </xdr:cNvPr>
            <xdr:cNvSpPr/>
          </xdr:nvSpPr>
          <xdr:spPr>
            <a:xfrm>
              <a:off x="694767"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1</xdr:col>
      <xdr:colOff>3684072</xdr:colOff>
      <xdr:row>19</xdr:row>
      <xdr:rowOff>76200</xdr:rowOff>
    </xdr:from>
    <xdr:to>
      <xdr:col>1</xdr:col>
      <xdr:colOff>4959242</xdr:colOff>
      <xdr:row>21</xdr:row>
      <xdr:rowOff>30649</xdr:rowOff>
    </xdr:to>
    <xdr:sp macro="" textlink="">
      <xdr:nvSpPr>
        <xdr:cNvPr id="18"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33B9CC59-6D6E-4C37-8230-85CAB47A98B2}"/>
            </a:ext>
          </a:extLst>
        </xdr:cNvPr>
        <xdr:cNvSpPr/>
      </xdr:nvSpPr>
      <xdr:spPr>
        <a:xfrm>
          <a:off x="4531797" y="42672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2</xdr:col>
      <xdr:colOff>420093</xdr:colOff>
      <xdr:row>13</xdr:row>
      <xdr:rowOff>173240</xdr:rowOff>
    </xdr:from>
    <xdr:to>
      <xdr:col>5</xdr:col>
      <xdr:colOff>581036</xdr:colOff>
      <xdr:row>22</xdr:row>
      <xdr:rowOff>142877</xdr:rowOff>
    </xdr:to>
    <xdr:grpSp>
      <xdr:nvGrpSpPr>
        <xdr:cNvPr id="19" name="DÉTAIL IMPORTANT" descr="DÉTAIL IMPORTANT&#10;&#10;">
          <a:extLst>
            <a:ext uri="{FF2B5EF4-FFF2-40B4-BE49-F238E27FC236}">
              <a16:creationId xmlns:a16="http://schemas.microsoft.com/office/drawing/2014/main" id="{141594D2-C882-464D-BF8D-89EF41EBA0A3}"/>
            </a:ext>
          </a:extLst>
        </xdr:cNvPr>
        <xdr:cNvGrpSpPr/>
      </xdr:nvGrpSpPr>
      <xdr:grpSpPr>
        <a:xfrm>
          <a:off x="6792318" y="3221240"/>
          <a:ext cx="3656618" cy="1684137"/>
          <a:chOff x="6863991" y="11363324"/>
          <a:chExt cx="2736277" cy="1434768"/>
        </a:xfrm>
      </xdr:grpSpPr>
      <xdr:sp macro="" textlink="">
        <xdr:nvSpPr>
          <xdr:cNvPr id="20" name="Instruction" descr="IMPORTANT DETAIL&#10;TRUE and FALSE are unlike other words in Excel formulas in that they don't need to be in quotes, and Excel will automatically capitalize them. Numbers don't need to be in quotes either. Regular text, like Yes or No does need to be in quotes like this: =IF(C3=&quot;Apple&quot;,&quot;Yes&quot;,&quot;No&quot;)&#10;">
            <a:extLst>
              <a:ext uri="{FF2B5EF4-FFF2-40B4-BE49-F238E27FC236}">
                <a16:creationId xmlns:a16="http://schemas.microsoft.com/office/drawing/2014/main" id="{DC6BF7D5-05C9-45BC-9BEA-2B908DD0530F}"/>
              </a:ext>
            </a:extLst>
          </xdr:cNvPr>
          <xdr:cNvSpPr txBox="1"/>
        </xdr:nvSpPr>
        <xdr:spPr>
          <a:xfrm>
            <a:off x="7073900" y="11363324"/>
            <a:ext cx="2526368" cy="1434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sz="1100"/>
              <a:t>Contrairement à d’autres termes employés dans les formules Excel, il n’est pas nécessaire de mettre </a:t>
            </a:r>
            <a:r>
              <a:rPr lang="fr" sz="1100" b="1" i="0" kern="1200" baseline="0">
                <a:solidFill>
                  <a:schemeClr val="dk1"/>
                </a:solidFill>
                <a:effectLst/>
                <a:latin typeface="+mn-lt"/>
                <a:ea typeface="+mn-ea"/>
                <a:cs typeface="+mn-cs"/>
              </a:rPr>
              <a:t>VRAI</a:t>
            </a:r>
            <a:r>
              <a:rPr lang="fr" sz="1100" b="0" i="0" kern="1200" baseline="0">
                <a:solidFill>
                  <a:schemeClr val="dk1"/>
                </a:solidFill>
                <a:effectLst/>
                <a:latin typeface="+mn-lt"/>
                <a:ea typeface="+mn-ea"/>
                <a:cs typeface="+mn-cs"/>
              </a:rPr>
              <a:t> et </a:t>
            </a:r>
            <a:r>
              <a:rPr lang="fr" sz="1100" b="1" i="0" kern="1200" baseline="0">
                <a:solidFill>
                  <a:schemeClr val="dk1"/>
                </a:solidFill>
                <a:effectLst/>
                <a:latin typeface="+mn-lt"/>
                <a:ea typeface="+mn-ea"/>
                <a:cs typeface="+mn-cs"/>
              </a:rPr>
              <a:t>FAUX</a:t>
            </a:r>
            <a:r>
              <a:rPr lang="fr" sz="1100" b="0" i="0" kern="1200" baseline="0">
                <a:solidFill>
                  <a:schemeClr val="dk1"/>
                </a:solidFill>
                <a:effectLst/>
                <a:latin typeface="+mn-lt"/>
                <a:ea typeface="+mn-ea"/>
                <a:cs typeface="+mn-cs"/>
              </a:rPr>
              <a:t> entre guillemets, et Excel les met automatiquement en majuscules. Il n’est pas non plus nécessaire de mettre les chiffres entre guillemets. Les termes ou expressions ordinaires, tels que </a:t>
            </a:r>
            <a:r>
              <a:rPr lang="fr" sz="1100" b="1" i="0" kern="1200" baseline="0">
                <a:solidFill>
                  <a:schemeClr val="dk1"/>
                </a:solidFill>
                <a:effectLst/>
                <a:latin typeface="+mn-lt"/>
                <a:ea typeface="+mn-ea"/>
                <a:cs typeface="+mn-cs"/>
              </a:rPr>
              <a:t>Oui</a:t>
            </a:r>
            <a:r>
              <a:rPr lang="fr" sz="1100" b="0" i="0" kern="1200" baseline="0">
                <a:solidFill>
                  <a:schemeClr val="dk1"/>
                </a:solidFill>
                <a:effectLst/>
                <a:latin typeface="+mn-lt"/>
                <a:ea typeface="+mn-ea"/>
                <a:cs typeface="+mn-cs"/>
              </a:rPr>
              <a:t> ou </a:t>
            </a:r>
            <a:r>
              <a:rPr lang="fr" sz="1100" b="1" i="0" kern="1200" baseline="0">
                <a:solidFill>
                  <a:schemeClr val="dk1"/>
                </a:solidFill>
                <a:effectLst/>
                <a:latin typeface="+mn-lt"/>
                <a:ea typeface="+mn-ea"/>
                <a:cs typeface="+mn-cs"/>
              </a:rPr>
              <a:t>Non</a:t>
            </a:r>
            <a:r>
              <a:rPr lang="fr" sz="1100" b="0" i="0" kern="1200" baseline="0">
                <a:solidFill>
                  <a:schemeClr val="dk1"/>
                </a:solidFill>
                <a:effectLst/>
                <a:latin typeface="+mn-lt"/>
                <a:ea typeface="+mn-ea"/>
                <a:cs typeface="+mn-cs"/>
              </a:rPr>
              <a:t> doivent être mis entre guillemets. Par exemple : </a:t>
            </a:r>
          </a:p>
          <a:p>
            <a:pPr rtl="0" eaLnBrk="1" fontAlgn="auto" latinLnBrk="0" hangingPunct="1"/>
            <a:r>
              <a:rPr lang="fr" sz="1100" b="1" kern="1200">
                <a:solidFill>
                  <a:schemeClr val="dk1"/>
                </a:solidFill>
                <a:latin typeface="+mn-lt"/>
                <a:ea typeface="+mn-ea"/>
                <a:cs typeface="+mn-cs"/>
              </a:rPr>
              <a:t>=SI(C9="Pomme";"Oui";"Non")</a:t>
            </a:r>
            <a:endParaRPr lang="en-US" sz="800" b="1">
              <a:effectLst/>
            </a:endParaRPr>
          </a:p>
        </xdr:txBody>
      </xdr:sp>
      <xdr:pic>
        <xdr:nvPicPr>
          <xdr:cNvPr id="21" name="Loupe" descr="Loupe">
            <a:extLst>
              <a:ext uri="{FF2B5EF4-FFF2-40B4-BE49-F238E27FC236}">
                <a16:creationId xmlns:a16="http://schemas.microsoft.com/office/drawing/2014/main" id="{D8905D4E-E37A-4419-B54F-C0A7A08E661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flipH="1">
            <a:off x="6863991" y="11396132"/>
            <a:ext cx="253174" cy="244047"/>
          </a:xfrm>
          <a:prstGeom prst="rect">
            <a:avLst/>
          </a:prstGeom>
        </xdr:spPr>
      </xdr:pic>
    </xdr:grpSp>
    <xdr:clientData/>
  </xdr:twoCellAnchor>
  <xdr:twoCellAnchor editAs="absolute">
    <xdr:from>
      <xdr:col>1</xdr:col>
      <xdr:colOff>5476875</xdr:colOff>
      <xdr:row>41</xdr:row>
      <xdr:rowOff>123825</xdr:rowOff>
    </xdr:from>
    <xdr:to>
      <xdr:col>4</xdr:col>
      <xdr:colOff>600075</xdr:colOff>
      <xdr:row>48</xdr:row>
      <xdr:rowOff>114301</xdr:rowOff>
    </xdr:to>
    <xdr:grpSp>
      <xdr:nvGrpSpPr>
        <xdr:cNvPr id="22" name="CONSEIL D’EXPERT" descr="CONSEIL D’EXPERT">
          <a:extLst>
            <a:ext uri="{FF2B5EF4-FFF2-40B4-BE49-F238E27FC236}">
              <a16:creationId xmlns:a16="http://schemas.microsoft.com/office/drawing/2014/main" id="{83D6FFD3-2E20-4A3D-BD97-7FDF6AA14541}"/>
            </a:ext>
          </a:extLst>
        </xdr:cNvPr>
        <xdr:cNvGrpSpPr/>
      </xdr:nvGrpSpPr>
      <xdr:grpSpPr>
        <a:xfrm>
          <a:off x="6324600" y="8610600"/>
          <a:ext cx="3533775" cy="1323976"/>
          <a:chOff x="8448675" y="2143125"/>
          <a:chExt cx="2812587" cy="1315897"/>
        </a:xfrm>
      </xdr:grpSpPr>
      <xdr:pic>
        <xdr:nvPicPr>
          <xdr:cNvPr id="23" name="Graphisme 2" descr="Chouette">
            <a:extLst>
              <a:ext uri="{FF2B5EF4-FFF2-40B4-BE49-F238E27FC236}">
                <a16:creationId xmlns:a16="http://schemas.microsoft.com/office/drawing/2014/main" id="{E8154EA1-46E7-474C-B00C-987770ED6B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8448675" y="2170284"/>
            <a:ext cx="444647" cy="444647"/>
          </a:xfrm>
          <a:prstGeom prst="rect">
            <a:avLst/>
          </a:prstGeom>
        </xdr:spPr>
      </xdr:pic>
      <xdr:sp macro="" textlink="">
        <xdr:nvSpPr>
          <xdr:cNvPr id="24" name="Étape" descr="EXPERT TIP&#10;Named Ranges allow you to define terms or values in a single place, and then reuse them throughout a workbook. You can see all of the named ranges in this workbook by going to Formulas &gt; Name Manager.Click here to learn more.&#10;">
            <a:hlinkClick xmlns:r="http://schemas.openxmlformats.org/officeDocument/2006/relationships" r:id="rId6" tooltip="Cliquez ici pour accéder sur le web à des informations complémentaires sur les plages nommées."/>
            <a:extLst>
              <a:ext uri="{FF2B5EF4-FFF2-40B4-BE49-F238E27FC236}">
                <a16:creationId xmlns:a16="http://schemas.microsoft.com/office/drawing/2014/main" id="{D6B34F27-5020-434E-9511-040D78B21A91}"/>
              </a:ext>
            </a:extLst>
          </xdr:cNvPr>
          <xdr:cNvSpPr txBox="1"/>
        </xdr:nvSpPr>
        <xdr:spPr>
          <a:xfrm>
            <a:off x="8782052" y="2143125"/>
            <a:ext cx="2479210" cy="1315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CONSEIL D’EXPERT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b="1" i="1" u="sng" kern="0">
                <a:solidFill>
                  <a:schemeClr val="accent1"/>
                </a:solidFill>
                <a:ea typeface="Segoe UI" pitchFamily="34" charset="0"/>
                <a:cs typeface="Segoe UI Light" panose="020B0502040204020203" pitchFamily="34" charset="0"/>
              </a:rPr>
              <a:t>Les plages nommées </a:t>
            </a:r>
            <a:r>
              <a:rPr lang="fr" sz="1100" kern="0">
                <a:solidFill>
                  <a:schemeClr val="bg2">
                    <a:lumMod val="25000"/>
                  </a:schemeClr>
                </a:solidFill>
                <a:ea typeface="Segoe UI" pitchFamily="34" charset="0"/>
                <a:cs typeface="Segoe UI Light" panose="020B0502040204020203" pitchFamily="34" charset="0"/>
              </a:rPr>
              <a:t>vous permettent de définir des termes ou valeurs à un emplacement, puis de les réutiliser à d’autres emplacements</a:t>
            </a:r>
            <a:r>
              <a:rPr lang="fr" sz="1100" kern="0" baseline="0">
                <a:solidFill>
                  <a:schemeClr val="bg2">
                    <a:lumMod val="25000"/>
                  </a:schemeClr>
                </a:solidFill>
                <a:ea typeface="Segoe UI" pitchFamily="34" charset="0"/>
                <a:cs typeface="Segoe UI Light" panose="020B0502040204020203" pitchFamily="34" charset="0"/>
              </a:rPr>
              <a:t> du classeur. Pour afficher toutes les plages nommées de ce classeur, accédez à </a:t>
            </a:r>
            <a:r>
              <a:rPr lang="fr" sz="1100" b="1" kern="0" baseline="0">
                <a:solidFill>
                  <a:schemeClr val="bg2">
                    <a:lumMod val="25000"/>
                  </a:schemeClr>
                </a:solidFill>
                <a:ea typeface="Segoe UI" pitchFamily="34" charset="0"/>
                <a:cs typeface="Segoe UI Light" panose="020B0502040204020203" pitchFamily="34" charset="0"/>
              </a:rPr>
              <a:t>Formules</a:t>
            </a:r>
            <a:r>
              <a:rPr lang="fr" sz="1100" kern="0" baseline="0">
                <a:solidFill>
                  <a:schemeClr val="bg2">
                    <a:lumMod val="25000"/>
                  </a:schemeClr>
                </a:solidFill>
                <a:ea typeface="Segoe UI" pitchFamily="34" charset="0"/>
                <a:cs typeface="Segoe UI Light" panose="020B0502040204020203" pitchFamily="34" charset="0"/>
              </a:rPr>
              <a:t> &gt; </a:t>
            </a:r>
            <a:r>
              <a:rPr lang="fr" sz="1100" b="1" kern="0" baseline="0">
                <a:solidFill>
                  <a:schemeClr val="bg2">
                    <a:lumMod val="25000"/>
                  </a:schemeClr>
                </a:solidFill>
                <a:ea typeface="Segoe UI" pitchFamily="34" charset="0"/>
                <a:cs typeface="Segoe UI Light" panose="020B0502040204020203" pitchFamily="34" charset="0"/>
              </a:rPr>
              <a:t>Gestionnaire de noms.</a:t>
            </a:r>
            <a:r>
              <a:rPr lang="fr" sz="1100" b="0" kern="0" baseline="0">
                <a:solidFill>
                  <a:schemeClr val="bg2">
                    <a:lumMod val="25000"/>
                  </a:schemeClr>
                </a:solidFill>
                <a:ea typeface="Segoe UI" pitchFamily="34" charset="0"/>
                <a:cs typeface="Segoe UI Light" panose="020B0502040204020203" pitchFamily="34" charset="0"/>
              </a:rPr>
              <a:t> Cliquez ici pour en savoir plus.</a:t>
            </a:r>
            <a:endParaRPr lang="en-US" sz="1100" b="0">
              <a:solidFill>
                <a:schemeClr val="bg2">
                  <a:lumMod val="25000"/>
                </a:schemeClr>
              </a:solidFill>
              <a:ea typeface="Segoe UI" pitchFamily="34" charset="0"/>
              <a:cs typeface="Segoe UI Light" panose="020B0502040204020203" pitchFamily="34" charset="0"/>
            </a:endParaRPr>
          </a:p>
        </xdr:txBody>
      </xdr:sp>
    </xdr:grpSp>
    <xdr:clientData/>
  </xdr:twoCellAnchor>
  <xdr:twoCellAnchor editAs="absolute">
    <xdr:from>
      <xdr:col>6</xdr:col>
      <xdr:colOff>57152</xdr:colOff>
      <xdr:row>31</xdr:row>
      <xdr:rowOff>128299</xdr:rowOff>
    </xdr:from>
    <xdr:to>
      <xdr:col>11</xdr:col>
      <xdr:colOff>571501</xdr:colOff>
      <xdr:row>40</xdr:row>
      <xdr:rowOff>77654</xdr:rowOff>
    </xdr:to>
    <xdr:grpSp>
      <xdr:nvGrpSpPr>
        <xdr:cNvPr id="25" name="BON À SAVOIR" descr="BON À SAVOIR&#10;&#10;">
          <a:extLst>
            <a:ext uri="{FF2B5EF4-FFF2-40B4-BE49-F238E27FC236}">
              <a16:creationId xmlns:a16="http://schemas.microsoft.com/office/drawing/2014/main" id="{E48936EA-3122-4779-AA0F-FBCE1A55AD43}"/>
            </a:ext>
          </a:extLst>
        </xdr:cNvPr>
        <xdr:cNvGrpSpPr/>
      </xdr:nvGrpSpPr>
      <xdr:grpSpPr>
        <a:xfrm>
          <a:off x="10534652" y="6633874"/>
          <a:ext cx="3562349" cy="1740055"/>
          <a:chOff x="6778625" y="15619705"/>
          <a:chExt cx="3252736" cy="1671345"/>
        </a:xfrm>
      </xdr:grpSpPr>
      <xdr:sp macro="" textlink="">
        <xdr:nvSpPr>
          <xdr:cNvPr id="26" name="Étape" descr="GOOD TO KNOW&#10;When you create a formula, Excel will automatically place colored borders around any ranges referenced in the formula, and the corresponding ranges in the formula will be the same color. You can see this if you select cell F33 and press F2 to edit the formula.&#10;">
            <a:extLst>
              <a:ext uri="{FF2B5EF4-FFF2-40B4-BE49-F238E27FC236}">
                <a16:creationId xmlns:a16="http://schemas.microsoft.com/office/drawing/2014/main" id="{AE346EC7-CCCB-477B-ACF8-6EE9812F59AB}"/>
              </a:ext>
            </a:extLst>
          </xdr:cNvPr>
          <xdr:cNvSpPr txBox="1"/>
        </xdr:nvSpPr>
        <xdr:spPr>
          <a:xfrm>
            <a:off x="7042959" y="15665450"/>
            <a:ext cx="298840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Lorsque vous créez une formule, Excel affiche automatiquement des bordures de couleur autour des plages référencées par la formule, et les plages correspondantes apparaissent dans la même couleur au sein de la formule proprement dite. Ces couleurs sont également visibles si vous sélectionnez la cellule F33 et appuyez sur </a:t>
            </a:r>
            <a:r>
              <a:rPr lang="fr" sz="1100" b="1" i="0" kern="1200" baseline="0">
                <a:solidFill>
                  <a:schemeClr val="dk1"/>
                </a:solidFill>
                <a:effectLst/>
                <a:latin typeface="+mn-lt"/>
                <a:ea typeface="+mn-ea"/>
                <a:cs typeface="+mn-cs"/>
              </a:rPr>
              <a:t>F2</a:t>
            </a:r>
            <a:r>
              <a:rPr lang="fr" sz="1100" b="0" i="0" kern="1200" baseline="0">
                <a:solidFill>
                  <a:schemeClr val="dk1"/>
                </a:solidFill>
                <a:effectLst/>
                <a:latin typeface="+mn-lt"/>
                <a:ea typeface="+mn-ea"/>
                <a:cs typeface="+mn-cs"/>
              </a:rPr>
              <a:t> pour modifier la formule.</a:t>
            </a:r>
            <a:endParaRPr lang="en-US" sz="1100">
              <a:effectLst/>
              <a:latin typeface="+mn-lt"/>
            </a:endParaRPr>
          </a:p>
        </xdr:txBody>
      </xdr:sp>
      <xdr:pic>
        <xdr:nvPicPr>
          <xdr:cNvPr id="27" name="Graphisme 147" descr="Lunettes">
            <a:extLst>
              <a:ext uri="{FF2B5EF4-FFF2-40B4-BE49-F238E27FC236}">
                <a16:creationId xmlns:a16="http://schemas.microsoft.com/office/drawing/2014/main" id="{001871A0-BCC1-498B-86A2-88008BDB4E1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5"/>
            <a:ext cx="323347" cy="349115"/>
          </a:xfrm>
          <a:prstGeom prst="rect">
            <a:avLst/>
          </a:prstGeom>
        </xdr:spPr>
      </xdr:pic>
    </xdr:grpSp>
    <xdr:clientData/>
  </xdr:twoCellAnchor>
  <xdr:twoCellAnchor editAs="absolute">
    <xdr:from>
      <xdr:col>0</xdr:col>
      <xdr:colOff>590550</xdr:colOff>
      <xdr:row>19</xdr:row>
      <xdr:rowOff>76200</xdr:rowOff>
    </xdr:from>
    <xdr:to>
      <xdr:col>1</xdr:col>
      <xdr:colOff>3228975</xdr:colOff>
      <xdr:row>22</xdr:row>
      <xdr:rowOff>40387</xdr:rowOff>
    </xdr:to>
    <xdr:sp macro="" textlink="">
      <xdr:nvSpPr>
        <xdr:cNvPr id="28" name="btn_Poursuivre" descr="Poursuivez votre lecture pour plus d’informations">
          <a:hlinkClick xmlns:r="http://schemas.openxmlformats.org/officeDocument/2006/relationships" r:id="rId9"/>
          <a:extLst>
            <a:ext uri="{FF2B5EF4-FFF2-40B4-BE49-F238E27FC236}">
              <a16:creationId xmlns:a16="http://schemas.microsoft.com/office/drawing/2014/main" id="{A4B24605-9450-4A3D-9E89-194C013A5648}"/>
            </a:ext>
          </a:extLst>
        </xdr:cNvPr>
        <xdr:cNvSpPr/>
      </xdr:nvSpPr>
      <xdr:spPr>
        <a:xfrm>
          <a:off x="590550" y="4267200"/>
          <a:ext cx="3486150" cy="53568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editAs="absolute">
    <xdr:from>
      <xdr:col>0</xdr:col>
      <xdr:colOff>333375</xdr:colOff>
      <xdr:row>23</xdr:row>
      <xdr:rowOff>47623</xdr:rowOff>
    </xdr:from>
    <xdr:to>
      <xdr:col>1</xdr:col>
      <xdr:colOff>5219700</xdr:colOff>
      <xdr:row>60</xdr:row>
      <xdr:rowOff>95249</xdr:rowOff>
    </xdr:to>
    <xdr:grpSp>
      <xdr:nvGrpSpPr>
        <xdr:cNvPr id="29" name="Groupe 28">
          <a:extLst>
            <a:ext uri="{FF2B5EF4-FFF2-40B4-BE49-F238E27FC236}">
              <a16:creationId xmlns:a16="http://schemas.microsoft.com/office/drawing/2014/main" id="{CB15ECC9-C1A8-4DB5-9E34-6B599F47B01E}"/>
            </a:ext>
          </a:extLst>
        </xdr:cNvPr>
        <xdr:cNvGrpSpPr/>
      </xdr:nvGrpSpPr>
      <xdr:grpSpPr>
        <a:xfrm>
          <a:off x="333375" y="5000623"/>
          <a:ext cx="5734050" cy="7200901"/>
          <a:chOff x="333375" y="5000623"/>
          <a:chExt cx="5734050" cy="7208829"/>
        </a:xfrm>
      </xdr:grpSpPr>
      <xdr:sp macro="" textlink="">
        <xdr:nvSpPr>
          <xdr:cNvPr id="30" name="txt_ArrièrePlanVisiteGuidée" descr="Arrière-plan">
            <a:extLst>
              <a:ext uri="{FF2B5EF4-FFF2-40B4-BE49-F238E27FC236}">
                <a16:creationId xmlns:a16="http://schemas.microsoft.com/office/drawing/2014/main" id="{28BD02CB-227B-4BB9-B114-EC8419CC9B30}"/>
              </a:ext>
            </a:extLst>
          </xdr:cNvPr>
          <xdr:cNvSpPr/>
        </xdr:nvSpPr>
        <xdr:spPr>
          <a:xfrm>
            <a:off x="333375" y="5000623"/>
            <a:ext cx="5734050" cy="720882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1" name="txt_EnTêteVisiteGuidée" descr="Association de l’instruction SI et d’une autre fonction">
            <a:extLst>
              <a:ext uri="{FF2B5EF4-FFF2-40B4-BE49-F238E27FC236}">
                <a16:creationId xmlns:a16="http://schemas.microsoft.com/office/drawing/2014/main" id="{0AA5D01D-9DC9-422B-AC3C-5205C244D9D5}"/>
              </a:ext>
            </a:extLst>
          </xdr:cNvPr>
          <xdr:cNvSpPr txBox="1"/>
        </xdr:nvSpPr>
        <xdr:spPr>
          <a:xfrm>
            <a:off x="546103" y="5096667"/>
            <a:ext cx="5251444" cy="97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Association de l’instruction SI et d’une autre fonction</a:t>
            </a:r>
          </a:p>
        </xdr:txBody>
      </xdr:sp>
      <xdr:cxnSp macro="">
        <xdr:nvCxnSpPr>
          <xdr:cNvPr id="32" name="txt_VisiteGuidéeLigne1" descr="Ligne décorative">
            <a:extLst>
              <a:ext uri="{FF2B5EF4-FFF2-40B4-BE49-F238E27FC236}">
                <a16:creationId xmlns:a16="http://schemas.microsoft.com/office/drawing/2014/main" id="{8798B30F-5588-4E97-8707-A79E70A5225D}"/>
              </a:ext>
            </a:extLst>
          </xdr:cNvPr>
          <xdr:cNvCxnSpPr>
            <a:cxnSpLocks/>
          </xdr:cNvCxnSpPr>
        </xdr:nvCxnSpPr>
        <xdr:spPr>
          <a:xfrm>
            <a:off x="546103" y="605434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3" name="txt_VisiteGuidéeLigne2" descr="Ligne décorative">
            <a:extLst>
              <a:ext uri="{FF2B5EF4-FFF2-40B4-BE49-F238E27FC236}">
                <a16:creationId xmlns:a16="http://schemas.microsoft.com/office/drawing/2014/main" id="{D3DDF53C-8C82-4B7C-B888-7439FDC7ED37}"/>
              </a:ext>
            </a:extLst>
          </xdr:cNvPr>
          <xdr:cNvCxnSpPr>
            <a:cxnSpLocks/>
          </xdr:cNvCxnSpPr>
        </xdr:nvCxnSpPr>
        <xdr:spPr>
          <a:xfrm>
            <a:off x="546103" y="1146563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txt_IntroVisiteGuidée" descr="Les instructions SI peuvent également forcer l’exécution de calculs supplémentaires si une condition donnée est remplie. Nous allons ici évaluer une cellule pour déterminer si une taxe doit s’appliquer à la vente, et calculer celle-ci si la condition est vraie.">
            <a:extLst>
              <a:ext uri="{FF2B5EF4-FFF2-40B4-BE49-F238E27FC236}">
                <a16:creationId xmlns:a16="http://schemas.microsoft.com/office/drawing/2014/main" id="{241A4C87-BBA4-4E22-896D-D7DCD36B6625}"/>
              </a:ext>
            </a:extLst>
          </xdr:cNvPr>
          <xdr:cNvSpPr txBox="1"/>
        </xdr:nvSpPr>
        <xdr:spPr>
          <a:xfrm>
            <a:off x="571663" y="6088034"/>
            <a:ext cx="5251444" cy="703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Les instructions SI peuvent également forcer l’exécution de calculs supplémentaires si une condition donnée est remplie. Nous allons ici évaluer une cellule pour déterminer si une taxe doit s’appliquer à la vente, et calculer celle-ci si la condition est vraie.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5" name="grp_Étape">
            <a:extLst>
              <a:ext uri="{FF2B5EF4-FFF2-40B4-BE49-F238E27FC236}">
                <a16:creationId xmlns:a16="http://schemas.microsoft.com/office/drawing/2014/main" id="{A507EF39-683C-4893-9B2F-342FF5D734F6}"/>
              </a:ext>
            </a:extLst>
          </xdr:cNvPr>
          <xdr:cNvGrpSpPr/>
        </xdr:nvGrpSpPr>
        <xdr:grpSpPr>
          <a:xfrm>
            <a:off x="561975" y="6858400"/>
            <a:ext cx="5248275" cy="1756175"/>
            <a:chOff x="581211" y="8182375"/>
            <a:chExt cx="5214225" cy="1756175"/>
          </a:xfrm>
        </xdr:grpSpPr>
        <xdr:sp macro="" textlink="">
          <xdr:nvSpPr>
            <xdr:cNvPr id="42" name="txt_Étape" descr="In cell F33, we've entered =IF(E33=&quot;Yes&quot;,F31*SalesTax,0), where we set up SalesTax as a Named Range with a value of 0.0825. Our formula says If cell E33 equals Yes, then multiply cell F31 times SalesTax, otherwise return a 0.&#10;&#10;Try changing Yes to No in cell E33 to see the calculation change.&#10;">
              <a:extLst>
                <a:ext uri="{FF2B5EF4-FFF2-40B4-BE49-F238E27FC236}">
                  <a16:creationId xmlns:a16="http://schemas.microsoft.com/office/drawing/2014/main" id="{B8A4B267-E043-405B-B7BE-ADCEF75DB746}"/>
                </a:ext>
              </a:extLst>
            </xdr:cNvPr>
            <xdr:cNvSpPr txBox="1"/>
          </xdr:nvSpPr>
          <xdr:spPr>
            <a:xfrm>
              <a:off x="998369" y="8224351"/>
              <a:ext cx="4797067" cy="1714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À la cellule F33,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=SI(E33="Oui";F31*TaxeVente;0)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dans laquelle nous avons configuré TaxeVente en tant que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plage nommée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avec une valeur de 0,0825. Notre formule dit ceci : si la cellule E33 est égale à Oui, multiplier la cellule F31 par TaxeVente, sinon retourner 0.</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Remplacez Oui par Non dans la cellule E33 et vous constaterez que le résultat change.</a:t>
              </a:r>
            </a:p>
          </xdr:txBody>
        </xdr:sp>
        <xdr:sp macro="" textlink="">
          <xdr:nvSpPr>
            <xdr:cNvPr id="43" name="shp_Étape" descr="1">
              <a:extLst>
                <a:ext uri="{FF2B5EF4-FFF2-40B4-BE49-F238E27FC236}">
                  <a16:creationId xmlns:a16="http://schemas.microsoft.com/office/drawing/2014/main" id="{9DF4AD19-0921-4AB2-ACD7-57A90EDE2D44}"/>
                </a:ext>
              </a:extLst>
            </xdr:cNvPr>
            <xdr:cNvSpPr/>
          </xdr:nvSpPr>
          <xdr:spPr>
            <a:xfrm>
              <a:off x="581211" y="8182375"/>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6" name="grp_Étape">
            <a:extLst>
              <a:ext uri="{FF2B5EF4-FFF2-40B4-BE49-F238E27FC236}">
                <a16:creationId xmlns:a16="http://schemas.microsoft.com/office/drawing/2014/main" id="{A192A9CF-AB98-453A-98F3-9205432F47AC}"/>
              </a:ext>
            </a:extLst>
          </xdr:cNvPr>
          <xdr:cNvGrpSpPr/>
        </xdr:nvGrpSpPr>
        <xdr:grpSpPr>
          <a:xfrm>
            <a:off x="561975" y="8544883"/>
            <a:ext cx="5229626" cy="1175808"/>
            <a:chOff x="581211" y="8697283"/>
            <a:chExt cx="5195697" cy="1175808"/>
          </a:xfrm>
        </xdr:grpSpPr>
        <xdr:sp macro="" textlink="">
          <xdr:nvSpPr>
            <xdr:cNvPr id="40" name="txt_Étape" descr="Nous avons ensuite ajouté une instruction SI pour calculer les frais de port, si ceux-ci s’appliquent. La cellule F35 contient la formule =SI(E35=&quot;Oui&quot;;SOMME(D28:D29)*1,25;0). Cette formule signifie ceci : « Si la cellule E35 est Oui, calculer la somme de la colonne Quantité du tableau ci-dessus, puis la multiplier par 1,25, sinon retourner 0 ».">
              <a:extLst>
                <a:ext uri="{FF2B5EF4-FFF2-40B4-BE49-F238E27FC236}">
                  <a16:creationId xmlns:a16="http://schemas.microsoft.com/office/drawing/2014/main" id="{DCF818C5-1EF3-454C-A6CF-DEC244D55F26}"/>
                </a:ext>
              </a:extLst>
            </xdr:cNvPr>
            <xdr:cNvSpPr txBox="1"/>
          </xdr:nvSpPr>
          <xdr:spPr>
            <a:xfrm>
              <a:off x="998369" y="8739278"/>
              <a:ext cx="4778539" cy="11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Nous avons ensuite ajouté une instruction SI pour calculer les frais de port, si ceux-ci s’appliquent. La cellule F35 contient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=SI(E35="Oui";SOMME(D28:D29)*1,25;0)</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Cette formule signifie ceci : « Si la cellule E35 est Oui, calculer la somme de la colonne Quantité du tableau ci-dessus, puis la multiplier par 1,25, sinon retourner 0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1" name="shp_Étape" descr="2">
              <a:extLst>
                <a:ext uri="{FF2B5EF4-FFF2-40B4-BE49-F238E27FC236}">
                  <a16:creationId xmlns:a16="http://schemas.microsoft.com/office/drawing/2014/main" id="{D3221FCF-81BB-4069-8EDD-8A8B31BB6962}"/>
                </a:ext>
              </a:extLst>
            </xdr:cNvPr>
            <xdr:cNvSpPr/>
          </xdr:nvSpPr>
          <xdr:spPr>
            <a:xfrm>
              <a:off x="581211" y="8697283"/>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7" name="grp_Étape">
            <a:extLst>
              <a:ext uri="{FF2B5EF4-FFF2-40B4-BE49-F238E27FC236}">
                <a16:creationId xmlns:a16="http://schemas.microsoft.com/office/drawing/2014/main" id="{ADC49EA8-6BB8-4497-9A59-9D59C709B5C1}"/>
              </a:ext>
            </a:extLst>
          </xdr:cNvPr>
          <xdr:cNvGrpSpPr/>
        </xdr:nvGrpSpPr>
        <xdr:grpSpPr>
          <a:xfrm>
            <a:off x="561975" y="9678594"/>
            <a:ext cx="5229626" cy="1625015"/>
            <a:chOff x="581211" y="8916594"/>
            <a:chExt cx="5195697" cy="1625015"/>
          </a:xfrm>
        </xdr:grpSpPr>
        <xdr:sp macro="" textlink="">
          <xdr:nvSpPr>
            <xdr:cNvPr id="38" name="txt_Étape" descr="Ensuite, dans la formule de la cellule F35, remplacez 1,25 par &quot;Frais de port&quot;. Au fur et à mesure que vous entrez du texte, le correcteur automatique d’Excel devrait vous le suggérer. Lorsque c’est le cas, appuyez sur la touche Tab pour insérer le texte. ll s’agit d’une plage nommée et nous l’insérons à partir de Formules &gt; Définir un nom. Désormais, si vous souhaitez modifier vos frais de port, il vous suffira de les changer à un seul emplacement, et vous pourrez ensuite réutiliser le terme Frais de port n’importe où dans le classeur.">
              <a:extLst>
                <a:ext uri="{FF2B5EF4-FFF2-40B4-BE49-F238E27FC236}">
                  <a16:creationId xmlns:a16="http://schemas.microsoft.com/office/drawing/2014/main" id="{93F6F04D-423D-4CFE-B2E3-58ED3C89E5D1}"/>
                </a:ext>
              </a:extLst>
            </xdr:cNvPr>
            <xdr:cNvSpPr txBox="1"/>
          </xdr:nvSpPr>
          <xdr:spPr>
            <a:xfrm>
              <a:off x="998369" y="8958600"/>
              <a:ext cx="4778539" cy="1583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Ensuite, dans la formule de la cellule F35, remplacer 1,25 par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Frais de port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Lorsque vous commencez à taper les premières lettres, la fonction de correction automatique d’Excel affiche le terme pour vous. Appuyez alors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Tab</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entrer ce terme. Il s’agit d’une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plage nommée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que nous avons entrée à partir de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Définir un</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Désormais, si vous souhaitez modifier vos frais de port, il vous suffira de les changer à un seul emplacement, et vous pourrez ensuite réutiliser le terme Frais de port n’importe où dans le classeur.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9" name="shp_Étape" descr="3">
              <a:extLst>
                <a:ext uri="{FF2B5EF4-FFF2-40B4-BE49-F238E27FC236}">
                  <a16:creationId xmlns:a16="http://schemas.microsoft.com/office/drawing/2014/main" id="{FD055EC2-3A9D-4BEB-BA9C-0FE1F60F5543}"/>
                </a:ext>
              </a:extLst>
            </xdr:cNvPr>
            <xdr:cNvSpPr/>
          </xdr:nvSpPr>
          <xdr:spPr>
            <a:xfrm>
              <a:off x="581211" y="8916594"/>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552450</xdr:colOff>
      <xdr:row>57</xdr:row>
      <xdr:rowOff>171450</xdr:rowOff>
    </xdr:from>
    <xdr:to>
      <xdr:col>1</xdr:col>
      <xdr:colOff>980459</xdr:colOff>
      <xdr:row>59</xdr:row>
      <xdr:rowOff>125899</xdr:rowOff>
    </xdr:to>
    <xdr:sp macro="" textlink="">
      <xdr:nvSpPr>
        <xdr:cNvPr id="44" name="BoutonPrécédent" descr="Revenir à la feuille précédente">
          <a:hlinkClick xmlns:r="http://schemas.openxmlformats.org/officeDocument/2006/relationships" r:id="rId10" tooltip="Cliquez ici pour revenir à la feuille précédente"/>
          <a:extLst>
            <a:ext uri="{FF2B5EF4-FFF2-40B4-BE49-F238E27FC236}">
              <a16:creationId xmlns:a16="http://schemas.microsoft.com/office/drawing/2014/main" id="{42A216D0-F06D-431A-A929-60BF3A87B015}"/>
            </a:ext>
          </a:extLst>
        </xdr:cNvPr>
        <xdr:cNvSpPr/>
      </xdr:nvSpPr>
      <xdr:spPr>
        <a:xfrm flipH="1">
          <a:off x="552450" y="11706225"/>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3684072</xdr:colOff>
      <xdr:row>57</xdr:row>
      <xdr:rowOff>171450</xdr:rowOff>
    </xdr:from>
    <xdr:to>
      <xdr:col>1</xdr:col>
      <xdr:colOff>4959806</xdr:colOff>
      <xdr:row>59</xdr:row>
      <xdr:rowOff>125899</xdr:rowOff>
    </xdr:to>
    <xdr:sp macro="" textlink="">
      <xdr:nvSpPr>
        <xdr:cNvPr id="45"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53CA6F95-59E4-4A28-A572-044FEAC50B6E}"/>
            </a:ext>
          </a:extLst>
        </xdr:cNvPr>
        <xdr:cNvSpPr/>
      </xdr:nvSpPr>
      <xdr:spPr>
        <a:xfrm>
          <a:off x="4531797" y="11706225"/>
          <a:ext cx="1275734"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0</xdr:col>
      <xdr:colOff>352425</xdr:colOff>
      <xdr:row>61</xdr:row>
      <xdr:rowOff>28575</xdr:rowOff>
    </xdr:from>
    <xdr:to>
      <xdr:col>1</xdr:col>
      <xdr:colOff>5237988</xdr:colOff>
      <xdr:row>74</xdr:row>
      <xdr:rowOff>85725</xdr:rowOff>
    </xdr:to>
    <xdr:grpSp>
      <xdr:nvGrpSpPr>
        <xdr:cNvPr id="46" name="Groupe 45">
          <a:extLst>
            <a:ext uri="{FF2B5EF4-FFF2-40B4-BE49-F238E27FC236}">
              <a16:creationId xmlns:a16="http://schemas.microsoft.com/office/drawing/2014/main" id="{0F5D1E18-9C23-408E-A655-1517D4FABD67}"/>
            </a:ext>
          </a:extLst>
        </xdr:cNvPr>
        <xdr:cNvGrpSpPr/>
      </xdr:nvGrpSpPr>
      <xdr:grpSpPr>
        <a:xfrm>
          <a:off x="352425" y="12325350"/>
          <a:ext cx="5733288" cy="2533650"/>
          <a:chOff x="352425" y="10715625"/>
          <a:chExt cx="5733288" cy="2390775"/>
        </a:xfrm>
      </xdr:grpSpPr>
      <xdr:sp macro="" textlink="">
        <xdr:nvSpPr>
          <xdr:cNvPr id="47" name="Rectangle 117">
            <a:extLst>
              <a:ext uri="{FF2B5EF4-FFF2-40B4-BE49-F238E27FC236}">
                <a16:creationId xmlns:a16="http://schemas.microsoft.com/office/drawing/2014/main" id="{E964D713-D835-4383-85A3-C63F7159005C}"/>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48" name="Étape" descr="Plus d’informations sur le web&#10;">
            <a:extLst>
              <a:ext uri="{FF2B5EF4-FFF2-40B4-BE49-F238E27FC236}">
                <a16:creationId xmlns:a16="http://schemas.microsoft.com/office/drawing/2014/main" id="{EFFA4243-9E00-4C90-A593-B70C2F790E84}"/>
              </a:ext>
            </a:extLst>
          </xdr:cNvPr>
          <xdr:cNvSpPr txBox="1"/>
        </xdr:nvSpPr>
        <xdr:spPr>
          <a:xfrm>
            <a:off x="54440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49" name="Connecteur droit 48" descr="Ligne décorative">
            <a:extLst>
              <a:ext uri="{FF2B5EF4-FFF2-40B4-BE49-F238E27FC236}">
                <a16:creationId xmlns:a16="http://schemas.microsoft.com/office/drawing/2014/main" id="{02AC4489-1E13-4AAF-B94A-AF683D342EC8}"/>
              </a:ext>
            </a:extLst>
          </xdr:cNvPr>
          <xdr:cNvCxnSpPr>
            <a:cxnSpLocks/>
          </xdr:cNvCxnSpPr>
        </xdr:nvCxnSpPr>
        <xdr:spPr>
          <a:xfrm>
            <a:off x="585659"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0" name="Connecteur droit 49" descr="Ligne décorative">
            <a:extLst>
              <a:ext uri="{FF2B5EF4-FFF2-40B4-BE49-F238E27FC236}">
                <a16:creationId xmlns:a16="http://schemas.microsoft.com/office/drawing/2014/main" id="{B47C7FEA-FFA9-4472-B727-DCB14174BE39}"/>
              </a:ext>
            </a:extLst>
          </xdr:cNvPr>
          <xdr:cNvCxnSpPr>
            <a:cxnSpLocks/>
          </xdr:cNvCxnSpPr>
        </xdr:nvCxnSpPr>
        <xdr:spPr>
          <a:xfrm>
            <a:off x="544407" y="11313122"/>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51" name="Connecteur droit 50" descr="Ligne décorative">
            <a:extLst>
              <a:ext uri="{FF2B5EF4-FFF2-40B4-BE49-F238E27FC236}">
                <a16:creationId xmlns:a16="http://schemas.microsoft.com/office/drawing/2014/main" id="{1D505F45-AB41-47F1-8060-CE7CB4AF56EA}"/>
              </a:ext>
            </a:extLst>
          </xdr:cNvPr>
          <xdr:cNvCxnSpPr>
            <a:cxnSpLocks/>
          </xdr:cNvCxnSpPr>
        </xdr:nvCxnSpPr>
        <xdr:spPr>
          <a:xfrm>
            <a:off x="544407"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562406</xdr:colOff>
      <xdr:row>64</xdr:row>
      <xdr:rowOff>149944</xdr:rowOff>
    </xdr:from>
    <xdr:to>
      <xdr:col>1</xdr:col>
      <xdr:colOff>2581275</xdr:colOff>
      <xdr:row>66</xdr:row>
      <xdr:rowOff>128023</xdr:rowOff>
    </xdr:to>
    <xdr:grpSp>
      <xdr:nvGrpSpPr>
        <xdr:cNvPr id="52" name="Groupe 29">
          <a:extLst>
            <a:ext uri="{FF2B5EF4-FFF2-40B4-BE49-F238E27FC236}">
              <a16:creationId xmlns:a16="http://schemas.microsoft.com/office/drawing/2014/main" id="{0E5157B2-C95D-4E8D-9B58-10C1003CC052}"/>
            </a:ext>
          </a:extLst>
        </xdr:cNvPr>
        <xdr:cNvGrpSpPr/>
      </xdr:nvGrpSpPr>
      <xdr:grpSpPr>
        <a:xfrm>
          <a:off x="562406" y="13018219"/>
          <a:ext cx="2866594" cy="359079"/>
          <a:chOff x="562406" y="11418019"/>
          <a:chExt cx="2866594" cy="359079"/>
        </a:xfrm>
      </xdr:grpSpPr>
      <xdr:sp macro="" textlink="">
        <xdr:nvSpPr>
          <xdr:cNvPr id="53" name="Étape" descr="À propos de la fonction SI, lien hypertexte vers le web&#10;&#10;">
            <a:hlinkClick xmlns:r="http://schemas.openxmlformats.org/officeDocument/2006/relationships" r:id="rId11" tooltip="Sélectionnez ce lien pour accéder sur le web à des informations complémentaires sur la fonction SI"/>
            <a:extLst>
              <a:ext uri="{FF2B5EF4-FFF2-40B4-BE49-F238E27FC236}">
                <a16:creationId xmlns:a16="http://schemas.microsoft.com/office/drawing/2014/main" id="{41FFB0F6-4921-4047-8AE3-E9A4609AD524}"/>
              </a:ext>
            </a:extLst>
          </xdr:cNvPr>
          <xdr:cNvSpPr txBox="1"/>
        </xdr:nvSpPr>
        <xdr:spPr>
          <a:xfrm>
            <a:off x="1027591" y="11492379"/>
            <a:ext cx="24014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54" name="Graphisme 22" descr="Flèche">
            <a:hlinkClick xmlns:r="http://schemas.openxmlformats.org/officeDocument/2006/relationships" r:id="rId11" tooltip="Sélectionnez ce lien pour accéder à des informations complémentaires sur le web"/>
            <a:extLst>
              <a:ext uri="{FF2B5EF4-FFF2-40B4-BE49-F238E27FC236}">
                <a16:creationId xmlns:a16="http://schemas.microsoft.com/office/drawing/2014/main" id="{39CB9520-6C86-49A1-ADC4-4D7BBADF1E9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1418019"/>
            <a:ext cx="492262" cy="359079"/>
          </a:xfrm>
          <a:prstGeom prst="rect">
            <a:avLst/>
          </a:prstGeom>
        </xdr:spPr>
      </xdr:pic>
    </xdr:grpSp>
    <xdr:clientData/>
  </xdr:twoCellAnchor>
  <xdr:twoCellAnchor editAs="absolute">
    <xdr:from>
      <xdr:col>0</xdr:col>
      <xdr:colOff>562406</xdr:colOff>
      <xdr:row>66</xdr:row>
      <xdr:rowOff>144010</xdr:rowOff>
    </xdr:from>
    <xdr:to>
      <xdr:col>1</xdr:col>
      <xdr:colOff>3600450</xdr:colOff>
      <xdr:row>68</xdr:row>
      <xdr:rowOff>127399</xdr:rowOff>
    </xdr:to>
    <xdr:grpSp>
      <xdr:nvGrpSpPr>
        <xdr:cNvPr id="55" name="Groupe 54">
          <a:extLst>
            <a:ext uri="{FF2B5EF4-FFF2-40B4-BE49-F238E27FC236}">
              <a16:creationId xmlns:a16="http://schemas.microsoft.com/office/drawing/2014/main" id="{A6945B72-4E70-418B-89D7-42B6FCF1EAA7}"/>
            </a:ext>
          </a:extLst>
        </xdr:cNvPr>
        <xdr:cNvGrpSpPr/>
      </xdr:nvGrpSpPr>
      <xdr:grpSpPr>
        <a:xfrm>
          <a:off x="562406" y="13393285"/>
          <a:ext cx="3885769" cy="364389"/>
          <a:chOff x="562406" y="11793085"/>
          <a:chExt cx="3885769" cy="364389"/>
        </a:xfrm>
      </xdr:grpSpPr>
      <xdr:sp macro="" textlink="">
        <xdr:nvSpPr>
          <xdr:cNvPr id="56" name="Étape" descr="À propos de la fonction SI.CONDITIONS, lien hypertexte vers le web&#10;">
            <a:hlinkClick xmlns:r="http://schemas.openxmlformats.org/officeDocument/2006/relationships" r:id="rId14" tooltip="Sélectionnez ce lien pour accéder sur le web à des informations complémentaires sur la fonction SI.CONDITIONS"/>
            <a:extLst>
              <a:ext uri="{FF2B5EF4-FFF2-40B4-BE49-F238E27FC236}">
                <a16:creationId xmlns:a16="http://schemas.microsoft.com/office/drawing/2014/main" id="{3BE2FA05-9FEC-474E-BF40-827B8C51891C}"/>
              </a:ext>
            </a:extLst>
          </xdr:cNvPr>
          <xdr:cNvSpPr txBox="1"/>
        </xdr:nvSpPr>
        <xdr:spPr>
          <a:xfrm>
            <a:off x="1027591" y="11870261"/>
            <a:ext cx="34205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SI.CONDITIONS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57"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00855141-35EB-4F35-B9F1-573CC22C1605}"/>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1793085"/>
            <a:ext cx="492262" cy="364389"/>
          </a:xfrm>
          <a:prstGeom prst="rect">
            <a:avLst/>
          </a:prstGeom>
        </xdr:spPr>
      </xdr:pic>
    </xdr:grpSp>
    <xdr:clientData/>
  </xdr:twoCellAnchor>
  <xdr:twoCellAnchor editAs="absolute">
    <xdr:from>
      <xdr:col>0</xdr:col>
      <xdr:colOff>562406</xdr:colOff>
      <xdr:row>70</xdr:row>
      <xdr:rowOff>174928</xdr:rowOff>
    </xdr:from>
    <xdr:to>
      <xdr:col>1</xdr:col>
      <xdr:colOff>3019425</xdr:colOff>
      <xdr:row>72</xdr:row>
      <xdr:rowOff>158317</xdr:rowOff>
    </xdr:to>
    <xdr:grpSp>
      <xdr:nvGrpSpPr>
        <xdr:cNvPr id="58" name="Groupe 19">
          <a:extLst>
            <a:ext uri="{FF2B5EF4-FFF2-40B4-BE49-F238E27FC236}">
              <a16:creationId xmlns:a16="http://schemas.microsoft.com/office/drawing/2014/main" id="{00E5EC1F-7AC6-4618-B6FD-38808A0FA5D8}"/>
            </a:ext>
          </a:extLst>
        </xdr:cNvPr>
        <xdr:cNvGrpSpPr/>
      </xdr:nvGrpSpPr>
      <xdr:grpSpPr>
        <a:xfrm>
          <a:off x="562406" y="14186203"/>
          <a:ext cx="3304744" cy="364389"/>
          <a:chOff x="562406" y="12586003"/>
          <a:chExt cx="3304744" cy="364389"/>
        </a:xfrm>
      </xdr:grpSpPr>
      <xdr:sp macro="" textlink="">
        <xdr:nvSpPr>
          <xdr:cNvPr id="59" name="Étape" descr="Formation Excel gratuite en ligne, lien hypertexte vers le web&#10;">
            <a:hlinkClick xmlns:r="http://schemas.openxmlformats.org/officeDocument/2006/relationships" r:id="rId15" tooltip="Sélectionnez pour accéder sur le web à une formation en ligne gratuite sur Excel"/>
            <a:extLst>
              <a:ext uri="{FF2B5EF4-FFF2-40B4-BE49-F238E27FC236}">
                <a16:creationId xmlns:a16="http://schemas.microsoft.com/office/drawing/2014/main" id="{81207EF5-2C42-4F1E-BD7E-140C2CD4170F}"/>
              </a:ext>
            </a:extLst>
          </xdr:cNvPr>
          <xdr:cNvSpPr txBox="1"/>
        </xdr:nvSpPr>
        <xdr:spPr>
          <a:xfrm>
            <a:off x="1040199" y="12637107"/>
            <a:ext cx="28269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60" name="Graphisme 22" descr="Flèche">
            <a:hlinkClick xmlns:r="http://schemas.openxmlformats.org/officeDocument/2006/relationships" r:id="rId15" tooltip="Sélectionnez ce lien pour accéder à des informations complémentaires sur le web"/>
            <a:extLst>
              <a:ext uri="{FF2B5EF4-FFF2-40B4-BE49-F238E27FC236}">
                <a16:creationId xmlns:a16="http://schemas.microsoft.com/office/drawing/2014/main" id="{10A87B22-936D-412E-86C5-62DECEFF7BF9}"/>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2586003"/>
            <a:ext cx="492262" cy="364389"/>
          </a:xfrm>
          <a:prstGeom prst="rect">
            <a:avLst/>
          </a:prstGeom>
        </xdr:spPr>
      </xdr:pic>
    </xdr:grpSp>
    <xdr:clientData/>
  </xdr:twoCellAnchor>
  <xdr:twoCellAnchor editAs="absolute">
    <xdr:from>
      <xdr:col>0</xdr:col>
      <xdr:colOff>562406</xdr:colOff>
      <xdr:row>68</xdr:row>
      <xdr:rowOff>143386</xdr:rowOff>
    </xdr:from>
    <xdr:to>
      <xdr:col>1</xdr:col>
      <xdr:colOff>2609850</xdr:colOff>
      <xdr:row>70</xdr:row>
      <xdr:rowOff>126775</xdr:rowOff>
    </xdr:to>
    <xdr:grpSp>
      <xdr:nvGrpSpPr>
        <xdr:cNvPr id="61" name="Groupe 60">
          <a:extLst>
            <a:ext uri="{FF2B5EF4-FFF2-40B4-BE49-F238E27FC236}">
              <a16:creationId xmlns:a16="http://schemas.microsoft.com/office/drawing/2014/main" id="{D65121EE-B01E-44F5-8BC9-4253A69ECA0D}"/>
            </a:ext>
          </a:extLst>
        </xdr:cNvPr>
        <xdr:cNvGrpSpPr/>
      </xdr:nvGrpSpPr>
      <xdr:grpSpPr>
        <a:xfrm>
          <a:off x="562406" y="13773661"/>
          <a:ext cx="2895169" cy="364389"/>
          <a:chOff x="562406" y="12173461"/>
          <a:chExt cx="2895169" cy="364389"/>
        </a:xfrm>
      </xdr:grpSpPr>
      <xdr:sp macro="" textlink="">
        <xdr:nvSpPr>
          <xdr:cNvPr id="62" name="Étape" descr="Instructions SI avancées, lien hypertexte vers le web&#10;">
            <a:hlinkClick xmlns:r="http://schemas.openxmlformats.org/officeDocument/2006/relationships" r:id="rId16" tooltip="Sélectionnez ce lien pour accéder sur le web à des informations complémentaires sur les instructions SI avancées"/>
            <a:extLst>
              <a:ext uri="{FF2B5EF4-FFF2-40B4-BE49-F238E27FC236}">
                <a16:creationId xmlns:a16="http://schemas.microsoft.com/office/drawing/2014/main" id="{1B934909-B705-4E47-8609-D1E0B7D6FC35}"/>
              </a:ext>
            </a:extLst>
          </xdr:cNvPr>
          <xdr:cNvSpPr txBox="1"/>
        </xdr:nvSpPr>
        <xdr:spPr>
          <a:xfrm>
            <a:off x="1027591" y="12241736"/>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Instructions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avancées</a:t>
            </a:r>
          </a:p>
        </xdr:txBody>
      </xdr:sp>
      <xdr:pic>
        <xdr:nvPicPr>
          <xdr:cNvPr id="63" name="Graphisme 22" descr="Flèche">
            <a:hlinkClick xmlns:r="http://schemas.openxmlformats.org/officeDocument/2006/relationships" r:id="rId16" tooltip="Sélectionnez ce lien pour accéder à des informations complémentaires sur le web"/>
            <a:extLst>
              <a:ext uri="{FF2B5EF4-FFF2-40B4-BE49-F238E27FC236}">
                <a16:creationId xmlns:a16="http://schemas.microsoft.com/office/drawing/2014/main" id="{AAA48664-E976-4A8E-B76E-F56B74B9723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62406" y="12173461"/>
            <a:ext cx="492262" cy="364389"/>
          </a:xfrm>
          <a:prstGeom prst="rect">
            <a:avLst/>
          </a:prstGeom>
        </xdr:spPr>
      </xdr:pic>
    </xdr:grpSp>
    <xdr:clientData/>
  </xdr:twoCellAnchor>
  <xdr:twoCellAnchor editAs="oneCell">
    <xdr:from>
      <xdr:col>2</xdr:col>
      <xdr:colOff>419100</xdr:colOff>
      <xdr:row>48</xdr:row>
      <xdr:rowOff>180975</xdr:rowOff>
    </xdr:from>
    <xdr:to>
      <xdr:col>4</xdr:col>
      <xdr:colOff>409215</xdr:colOff>
      <xdr:row>60</xdr:row>
      <xdr:rowOff>104499</xdr:rowOff>
    </xdr:to>
    <xdr:pic>
      <xdr:nvPicPr>
        <xdr:cNvPr id="64" name="Image 63">
          <a:extLst>
            <a:ext uri="{FF2B5EF4-FFF2-40B4-BE49-F238E27FC236}">
              <a16:creationId xmlns:a16="http://schemas.microsoft.com/office/drawing/2014/main" id="{2FEB730F-80BC-4659-99EB-E27C21F1253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6791325" y="10001250"/>
          <a:ext cx="2876190" cy="22095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333375</xdr:colOff>
      <xdr:row>0</xdr:row>
      <xdr:rowOff>361950</xdr:rowOff>
    </xdr:from>
    <xdr:to>
      <xdr:col>1</xdr:col>
      <xdr:colOff>5219700</xdr:colOff>
      <xdr:row>33</xdr:row>
      <xdr:rowOff>114300</xdr:rowOff>
    </xdr:to>
    <xdr:sp macro="" textlink="">
      <xdr:nvSpPr>
        <xdr:cNvPr id="2" name="txt_ArrièrePlanVisiteGuidée" descr="Arrière-plan">
          <a:extLst>
            <a:ext uri="{FF2B5EF4-FFF2-40B4-BE49-F238E27FC236}">
              <a16:creationId xmlns:a16="http://schemas.microsoft.com/office/drawing/2014/main" id="{3EA0EECD-EA76-4BE6-AC28-6184A9792B00}"/>
            </a:ext>
          </a:extLst>
        </xdr:cNvPr>
        <xdr:cNvSpPr/>
      </xdr:nvSpPr>
      <xdr:spPr>
        <a:xfrm>
          <a:off x="333375" y="361950"/>
          <a:ext cx="5734050" cy="661035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574678</xdr:colOff>
      <xdr:row>0</xdr:row>
      <xdr:rowOff>457199</xdr:rowOff>
    </xdr:from>
    <xdr:to>
      <xdr:col>1</xdr:col>
      <xdr:colOff>4978397</xdr:colOff>
      <xdr:row>1</xdr:row>
      <xdr:rowOff>181041</xdr:rowOff>
    </xdr:to>
    <xdr:sp macro="" textlink="">
      <xdr:nvSpPr>
        <xdr:cNvPr id="3" name="txt_EnTêteVisiteGuidée" descr="RECHERCHEV">
          <a:extLst>
            <a:ext uri="{FF2B5EF4-FFF2-40B4-BE49-F238E27FC236}">
              <a16:creationId xmlns:a16="http://schemas.microsoft.com/office/drawing/2014/main" id="{A6B10C7D-587F-4459-B72E-114393F5918F}"/>
            </a:ext>
          </a:extLst>
        </xdr:cNvPr>
        <xdr:cNvSpPr txBox="1"/>
      </xdr:nvSpPr>
      <xdr:spPr>
        <a:xfrm>
          <a:off x="574678" y="457199"/>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RECHERCHEV</a:t>
          </a:r>
        </a:p>
      </xdr:txBody>
    </xdr:sp>
    <xdr:clientData/>
  </xdr:twoCellAnchor>
  <xdr:twoCellAnchor>
    <xdr:from>
      <xdr:col>0</xdr:col>
      <xdr:colOff>576276</xdr:colOff>
      <xdr:row>2</xdr:row>
      <xdr:rowOff>76201</xdr:rowOff>
    </xdr:from>
    <xdr:to>
      <xdr:col>1</xdr:col>
      <xdr:colOff>4976799</xdr:colOff>
      <xdr:row>2</xdr:row>
      <xdr:rowOff>76201</xdr:rowOff>
    </xdr:to>
    <xdr:cxnSp macro="">
      <xdr:nvCxnSpPr>
        <xdr:cNvPr id="4" name="txt_VisiteGuidéeLigne1" descr="Ligne décorative">
          <a:extLst>
            <a:ext uri="{FF2B5EF4-FFF2-40B4-BE49-F238E27FC236}">
              <a16:creationId xmlns:a16="http://schemas.microsoft.com/office/drawing/2014/main" id="{6BDC93D6-E628-49FB-845C-E2B24C3C34E9}"/>
            </a:ext>
          </a:extLst>
        </xdr:cNvPr>
        <xdr:cNvCxnSpPr>
          <a:cxnSpLocks/>
        </xdr:cNvCxnSpPr>
      </xdr:nvCxnSpPr>
      <xdr:spPr>
        <a:xfrm>
          <a:off x="576276" y="102870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576276</xdr:colOff>
      <xdr:row>28</xdr:row>
      <xdr:rowOff>149729</xdr:rowOff>
    </xdr:from>
    <xdr:to>
      <xdr:col>1</xdr:col>
      <xdr:colOff>4976799</xdr:colOff>
      <xdr:row>28</xdr:row>
      <xdr:rowOff>149729</xdr:rowOff>
    </xdr:to>
    <xdr:cxnSp macro="">
      <xdr:nvCxnSpPr>
        <xdr:cNvPr id="5" name="txt_VisiteGuidéeLigne2" descr="Ligne décorative">
          <a:extLst>
            <a:ext uri="{FF2B5EF4-FFF2-40B4-BE49-F238E27FC236}">
              <a16:creationId xmlns:a16="http://schemas.microsoft.com/office/drawing/2014/main" id="{50F8D739-0D1A-4A15-BF6D-59DBC548B2E8}"/>
            </a:ext>
          </a:extLst>
        </xdr:cNvPr>
        <xdr:cNvCxnSpPr>
          <a:cxnSpLocks/>
        </xdr:cNvCxnSpPr>
      </xdr:nvCxnSpPr>
      <xdr:spPr>
        <a:xfrm>
          <a:off x="576276" y="6055229"/>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571663</xdr:colOff>
      <xdr:row>2</xdr:row>
      <xdr:rowOff>109615</xdr:rowOff>
    </xdr:from>
    <xdr:to>
      <xdr:col>1</xdr:col>
      <xdr:colOff>4975382</xdr:colOff>
      <xdr:row>7</xdr:row>
      <xdr:rowOff>47624</xdr:rowOff>
    </xdr:to>
    <xdr:sp macro="" textlink="">
      <xdr:nvSpPr>
        <xdr:cNvPr id="6" name="txt_IntroVisiteGuidée" descr="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Voici ce que dit RECHERCHEV :">
          <a:extLst>
            <a:ext uri="{FF2B5EF4-FFF2-40B4-BE49-F238E27FC236}">
              <a16:creationId xmlns:a16="http://schemas.microsoft.com/office/drawing/2014/main" id="{049F5800-112D-4099-AAED-9CBA0CF62A28}"/>
            </a:ext>
          </a:extLst>
        </xdr:cNvPr>
        <xdr:cNvSpPr txBox="1"/>
      </xdr:nvSpPr>
      <xdr:spPr>
        <a:xfrm>
          <a:off x="571663" y="1062115"/>
          <a:ext cx="5251444" cy="89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RECHERCHEV est l’une des fonctions les plus fréquemment utilisées dans Excel (et l’une de nos préférées). Elle permet de rechercher une valeur dans une colonne située à gauche et, si elle trouve une correspondance, elle renvoie des informations dans une autre colonne située à droite. RECHERCHEV dit ceci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600144</xdr:colOff>
      <xdr:row>20</xdr:row>
      <xdr:rowOff>147613</xdr:rowOff>
    </xdr:from>
    <xdr:to>
      <xdr:col>1</xdr:col>
      <xdr:colOff>4991587</xdr:colOff>
      <xdr:row>26</xdr:row>
      <xdr:rowOff>9525</xdr:rowOff>
    </xdr:to>
    <xdr:grpSp>
      <xdr:nvGrpSpPr>
        <xdr:cNvPr id="7" name="Groupe 6">
          <a:extLst>
            <a:ext uri="{FF2B5EF4-FFF2-40B4-BE49-F238E27FC236}">
              <a16:creationId xmlns:a16="http://schemas.microsoft.com/office/drawing/2014/main" id="{0A81C2AB-258C-45B4-A34A-6F8FA4DF28A8}"/>
            </a:ext>
          </a:extLst>
        </xdr:cNvPr>
        <xdr:cNvGrpSpPr/>
      </xdr:nvGrpSpPr>
      <xdr:grpSpPr>
        <a:xfrm>
          <a:off x="600144" y="4529113"/>
          <a:ext cx="5239168" cy="1004912"/>
          <a:chOff x="561975" y="4357663"/>
          <a:chExt cx="5229626" cy="1004912"/>
        </a:xfrm>
      </xdr:grpSpPr>
      <xdr:sp macro="" textlink="">
        <xdr:nvSpPr>
          <xdr:cNvPr id="8" name="txt_Étape" descr="Dans la cellule D22, entrez =RECHERCHEV(C22,C17:D20,2,FAUX). Pour l’article Pommes, la bonne réponse est 50. RECHERCHEV a recherché l’article Pommes puis, après l’avoir trouvé, est passé à la colonne de droite et a renvoyé le nombre correspondant.">
            <a:extLst>
              <a:ext uri="{FF2B5EF4-FFF2-40B4-BE49-F238E27FC236}">
                <a16:creationId xmlns:a16="http://schemas.microsoft.com/office/drawing/2014/main" id="{ED447873-7221-4A6A-8048-D659827AC661}"/>
              </a:ext>
            </a:extLst>
          </xdr:cNvPr>
          <xdr:cNvSpPr txBox="1"/>
        </xdr:nvSpPr>
        <xdr:spPr>
          <a:xfrm>
            <a:off x="981857" y="4399621"/>
            <a:ext cx="4809744" cy="962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D22,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=RECHERCHEV(C22;C17:D20;2;FAUX)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Pour l’article Pommes, la bonne réponse est 50. RECHERCHEV a recherché l’article Pommes puis, après l’avoir trouvé, est passé à la colonne de droite et a renvoyé le nombre correspondant.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DFC1A9CF-1EC6-4726-B73F-ED7885743EE7}"/>
              </a:ext>
            </a:extLst>
          </xdr:cNvPr>
          <xdr:cNvSpPr/>
        </xdr:nvSpPr>
        <xdr:spPr>
          <a:xfrm>
            <a:off x="561975" y="43576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600144</xdr:colOff>
      <xdr:row>25</xdr:row>
      <xdr:rowOff>90463</xdr:rowOff>
    </xdr:from>
    <xdr:to>
      <xdr:col>1</xdr:col>
      <xdr:colOff>4991587</xdr:colOff>
      <xdr:row>28</xdr:row>
      <xdr:rowOff>115170</xdr:rowOff>
    </xdr:to>
    <xdr:grpSp>
      <xdr:nvGrpSpPr>
        <xdr:cNvPr id="10" name="Groupe 1">
          <a:extLst>
            <a:ext uri="{FF2B5EF4-FFF2-40B4-BE49-F238E27FC236}">
              <a16:creationId xmlns:a16="http://schemas.microsoft.com/office/drawing/2014/main" id="{D8589E15-6A2B-438B-8847-8F39B14C9561}"/>
            </a:ext>
          </a:extLst>
        </xdr:cNvPr>
        <xdr:cNvGrpSpPr/>
      </xdr:nvGrpSpPr>
      <xdr:grpSpPr>
        <a:xfrm>
          <a:off x="600144" y="5424463"/>
          <a:ext cx="5239168" cy="596207"/>
          <a:chOff x="561975" y="5253013"/>
          <a:chExt cx="5229626" cy="596207"/>
        </a:xfrm>
      </xdr:grpSpPr>
      <xdr:sp macro="" textlink="">
        <xdr:nvSpPr>
          <xdr:cNvPr id="11" name="txt_Étape" descr="Faites maintenant un essai avec la section Viande, à la cellule G22. Vous devez obtenir la formule suivante : =RECHERCHEV(F22,F17:G20,2,FAUX).">
            <a:extLst>
              <a:ext uri="{FF2B5EF4-FFF2-40B4-BE49-F238E27FC236}">
                <a16:creationId xmlns:a16="http://schemas.microsoft.com/office/drawing/2014/main" id="{1D04ADA3-F311-492F-8EB6-BE23CA928B6C}"/>
              </a:ext>
            </a:extLst>
          </xdr:cNvPr>
          <xdr:cNvSpPr txBox="1"/>
        </xdr:nvSpPr>
        <xdr:spPr>
          <a:xfrm>
            <a:off x="981857" y="5294971"/>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Faites maintenant un essai avec la section Viande, à la cellule G22. Vous devez obtenir la formule suivante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=RECHERCHEV(F22;F17:G20;2;FAUX)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2" name="shp_Étape" descr="2">
            <a:extLst>
              <a:ext uri="{FF2B5EF4-FFF2-40B4-BE49-F238E27FC236}">
                <a16:creationId xmlns:a16="http://schemas.microsoft.com/office/drawing/2014/main" id="{046D12A3-F89A-4205-9022-4EB8D5800B44}"/>
              </a:ext>
            </a:extLst>
          </xdr:cNvPr>
          <xdr:cNvSpPr/>
        </xdr:nvSpPr>
        <xdr:spPr>
          <a:xfrm>
            <a:off x="561975" y="525301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1</xdr:col>
      <xdr:colOff>3684636</xdr:colOff>
      <xdr:row>30</xdr:row>
      <xdr:rowOff>23788</xdr:rowOff>
    </xdr:from>
    <xdr:to>
      <xdr:col>1</xdr:col>
      <xdr:colOff>4959806</xdr:colOff>
      <xdr:row>31</xdr:row>
      <xdr:rowOff>168737</xdr:rowOff>
    </xdr:to>
    <xdr:sp macro="" textlink="">
      <xdr:nvSpPr>
        <xdr:cNvPr id="13"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C5AE3245-B1B1-426B-A9B0-F25961B9B09C}"/>
            </a:ext>
          </a:extLst>
        </xdr:cNvPr>
        <xdr:cNvSpPr/>
      </xdr:nvSpPr>
      <xdr:spPr>
        <a:xfrm>
          <a:off x="4532361" y="6310288"/>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xdr:from>
      <xdr:col>0</xdr:col>
      <xdr:colOff>333375</xdr:colOff>
      <xdr:row>65</xdr:row>
      <xdr:rowOff>85696</xdr:rowOff>
    </xdr:from>
    <xdr:to>
      <xdr:col>1</xdr:col>
      <xdr:colOff>5218938</xdr:colOff>
      <xdr:row>81</xdr:row>
      <xdr:rowOff>133349</xdr:rowOff>
    </xdr:to>
    <xdr:grpSp>
      <xdr:nvGrpSpPr>
        <xdr:cNvPr id="14" name="Groupe 13">
          <a:extLst>
            <a:ext uri="{FF2B5EF4-FFF2-40B4-BE49-F238E27FC236}">
              <a16:creationId xmlns:a16="http://schemas.microsoft.com/office/drawing/2014/main" id="{E8968F14-0C1D-4147-BC65-FD486C3C1DC6}"/>
            </a:ext>
          </a:extLst>
        </xdr:cNvPr>
        <xdr:cNvGrpSpPr/>
      </xdr:nvGrpSpPr>
      <xdr:grpSpPr>
        <a:xfrm>
          <a:off x="333375" y="13039696"/>
          <a:ext cx="5733288" cy="3095653"/>
          <a:chOff x="0" y="5524499"/>
          <a:chExt cx="5695950" cy="3095653"/>
        </a:xfrm>
      </xdr:grpSpPr>
      <xdr:sp macro="" textlink="">
        <xdr:nvSpPr>
          <xdr:cNvPr id="15" name="Rectangle 93">
            <a:extLst>
              <a:ext uri="{FF2B5EF4-FFF2-40B4-BE49-F238E27FC236}">
                <a16:creationId xmlns:a16="http://schemas.microsoft.com/office/drawing/2014/main" id="{7B0A2802-6E09-4199-B54E-66060AEC72B2}"/>
              </a:ext>
            </a:extLst>
          </xdr:cNvPr>
          <xdr:cNvSpPr/>
        </xdr:nvSpPr>
        <xdr:spPr>
          <a:xfrm>
            <a:off x="0" y="5524499"/>
            <a:ext cx="5695950" cy="309565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6" name="Étape" descr="Plus d’informations sur le web&#10;">
            <a:extLst>
              <a:ext uri="{FF2B5EF4-FFF2-40B4-BE49-F238E27FC236}">
                <a16:creationId xmlns:a16="http://schemas.microsoft.com/office/drawing/2014/main" id="{3E073703-0450-4871-8A21-19F0D1DBFE13}"/>
              </a:ext>
            </a:extLst>
          </xdr:cNvPr>
          <xdr:cNvSpPr txBox="1"/>
        </xdr:nvSpPr>
        <xdr:spPr>
          <a:xfrm>
            <a:off x="230082" y="5623754"/>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7" name="Connecteur droit 16" descr="Ligne décorative">
            <a:extLst>
              <a:ext uri="{FF2B5EF4-FFF2-40B4-BE49-F238E27FC236}">
                <a16:creationId xmlns:a16="http://schemas.microsoft.com/office/drawing/2014/main" id="{4CDE4AD3-A132-44EC-AB75-4269EAB1B9A2}"/>
              </a:ext>
            </a:extLst>
          </xdr:cNvPr>
          <xdr:cNvCxnSpPr>
            <a:cxnSpLocks/>
          </xdr:cNvCxnSpPr>
        </xdr:nvCxnSpPr>
        <xdr:spPr>
          <a:xfrm>
            <a:off x="233234" y="6165468"/>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8" name="Connecteur droit 17" descr="Ligne décorative">
            <a:extLst>
              <a:ext uri="{FF2B5EF4-FFF2-40B4-BE49-F238E27FC236}">
                <a16:creationId xmlns:a16="http://schemas.microsoft.com/office/drawing/2014/main" id="{3BF7680C-8AA6-413E-9463-F42579CE0451}"/>
              </a:ext>
            </a:extLst>
          </xdr:cNvPr>
          <xdr:cNvCxnSpPr>
            <a:cxnSpLocks/>
          </xdr:cNvCxnSpPr>
        </xdr:nvCxnSpPr>
        <xdr:spPr>
          <a:xfrm>
            <a:off x="233234" y="8340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562406</xdr:colOff>
      <xdr:row>69</xdr:row>
      <xdr:rowOff>83241</xdr:rowOff>
    </xdr:from>
    <xdr:to>
      <xdr:col>1</xdr:col>
      <xdr:colOff>3876675</xdr:colOff>
      <xdr:row>71</xdr:row>
      <xdr:rowOff>61320</xdr:rowOff>
    </xdr:to>
    <xdr:grpSp>
      <xdr:nvGrpSpPr>
        <xdr:cNvPr id="19" name="Groupe 16">
          <a:extLst>
            <a:ext uri="{FF2B5EF4-FFF2-40B4-BE49-F238E27FC236}">
              <a16:creationId xmlns:a16="http://schemas.microsoft.com/office/drawing/2014/main" id="{F1DED6F0-BCBC-4B53-ACD7-BD2A2FD8B5BD}"/>
            </a:ext>
          </a:extLst>
        </xdr:cNvPr>
        <xdr:cNvGrpSpPr/>
      </xdr:nvGrpSpPr>
      <xdr:grpSpPr>
        <a:xfrm>
          <a:off x="562406" y="13799241"/>
          <a:ext cx="4161994" cy="359079"/>
          <a:chOff x="562406" y="12494316"/>
          <a:chExt cx="4161994" cy="359079"/>
        </a:xfrm>
      </xdr:grpSpPr>
      <xdr:sp macro="" textlink="">
        <xdr:nvSpPr>
          <xdr:cNvPr id="20" name="Étape" descr="À propos de la fonction RECHERCHEV, lien hypertexte vers le web&#10;&#10;">
            <a:hlinkClick xmlns:r="http://schemas.openxmlformats.org/officeDocument/2006/relationships" r:id="rId2" tooltip="Sélectionnez ce lien pour accéder sur le web à des informations complémentaires sur la fonction RECHERCHEV"/>
            <a:extLst>
              <a:ext uri="{FF2B5EF4-FFF2-40B4-BE49-F238E27FC236}">
                <a16:creationId xmlns:a16="http://schemas.microsoft.com/office/drawing/2014/main" id="{1F3EA977-D304-480B-ACDE-477952181055}"/>
              </a:ext>
            </a:extLst>
          </xdr:cNvPr>
          <xdr:cNvSpPr txBox="1"/>
        </xdr:nvSpPr>
        <xdr:spPr>
          <a:xfrm>
            <a:off x="1027591" y="12568676"/>
            <a:ext cx="36968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RECHERCHEV</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21" name="Graphisme 22" descr="Flèche">
            <a:hlinkClick xmlns:r="http://schemas.openxmlformats.org/officeDocument/2006/relationships" r:id="rId2" tooltip="Sélectionnez ce lien pour accéder à des informations complémentaires sur le web"/>
            <a:extLst>
              <a:ext uri="{FF2B5EF4-FFF2-40B4-BE49-F238E27FC236}">
                <a16:creationId xmlns:a16="http://schemas.microsoft.com/office/drawing/2014/main" id="{7B924143-1A6B-416A-84EC-BAEF1E59571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2494316"/>
            <a:ext cx="492262" cy="359079"/>
          </a:xfrm>
          <a:prstGeom prst="rect">
            <a:avLst/>
          </a:prstGeom>
        </xdr:spPr>
      </xdr:pic>
    </xdr:grpSp>
    <xdr:clientData/>
  </xdr:twoCellAnchor>
  <xdr:twoCellAnchor>
    <xdr:from>
      <xdr:col>0</xdr:col>
      <xdr:colOff>562406</xdr:colOff>
      <xdr:row>71</xdr:row>
      <xdr:rowOff>88862</xdr:rowOff>
    </xdr:from>
    <xdr:to>
      <xdr:col>1</xdr:col>
      <xdr:colOff>2990850</xdr:colOff>
      <xdr:row>73</xdr:row>
      <xdr:rowOff>72251</xdr:rowOff>
    </xdr:to>
    <xdr:grpSp>
      <xdr:nvGrpSpPr>
        <xdr:cNvPr id="22" name="Groupe 21">
          <a:extLst>
            <a:ext uri="{FF2B5EF4-FFF2-40B4-BE49-F238E27FC236}">
              <a16:creationId xmlns:a16="http://schemas.microsoft.com/office/drawing/2014/main" id="{B55324AE-56E2-4932-A661-B01AB0D654B1}"/>
            </a:ext>
          </a:extLst>
        </xdr:cNvPr>
        <xdr:cNvGrpSpPr/>
      </xdr:nvGrpSpPr>
      <xdr:grpSpPr>
        <a:xfrm>
          <a:off x="562406" y="14185862"/>
          <a:ext cx="3276169" cy="364389"/>
          <a:chOff x="562406" y="12880937"/>
          <a:chExt cx="3276169" cy="364389"/>
        </a:xfrm>
      </xdr:grpSpPr>
      <xdr:sp macro="" textlink="">
        <xdr:nvSpPr>
          <xdr:cNvPr id="23" name="Étape" descr="À propos des fonctions INDEX/EQUIV, lien hypertexte vers le web">
            <a:hlinkClick xmlns:r="http://schemas.openxmlformats.org/officeDocument/2006/relationships" r:id="rId5" tooltip="Sélectionnez ce lien pour accéder sur le web à des informations complémentaires sur les fonctions INDEX/EQUIV"/>
            <a:extLst>
              <a:ext uri="{FF2B5EF4-FFF2-40B4-BE49-F238E27FC236}">
                <a16:creationId xmlns:a16="http://schemas.microsoft.com/office/drawing/2014/main" id="{EE1EADC9-A98D-4C7A-88AB-FAE46715D2C1}"/>
              </a:ext>
            </a:extLst>
          </xdr:cNvPr>
          <xdr:cNvSpPr txBox="1"/>
        </xdr:nvSpPr>
        <xdr:spPr>
          <a:xfrm>
            <a:off x="1027591" y="12946558"/>
            <a:ext cx="2810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des fonctions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INDEX/EQUIV</a:t>
            </a:r>
          </a:p>
        </xdr:txBody>
      </xdr:sp>
      <xdr:pic>
        <xdr:nvPicPr>
          <xdr:cNvPr id="24"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FB289297-4B0E-4DDE-BA3A-C243A0A3E8D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2880937"/>
            <a:ext cx="492262" cy="364389"/>
          </a:xfrm>
          <a:prstGeom prst="rect">
            <a:avLst/>
          </a:prstGeom>
        </xdr:spPr>
      </xdr:pic>
    </xdr:grpSp>
    <xdr:clientData/>
  </xdr:twoCellAnchor>
  <xdr:twoCellAnchor>
    <xdr:from>
      <xdr:col>0</xdr:col>
      <xdr:colOff>562406</xdr:colOff>
      <xdr:row>77</xdr:row>
      <xdr:rowOff>136800</xdr:rowOff>
    </xdr:from>
    <xdr:to>
      <xdr:col>1</xdr:col>
      <xdr:colOff>3695700</xdr:colOff>
      <xdr:row>79</xdr:row>
      <xdr:rowOff>120189</xdr:rowOff>
    </xdr:to>
    <xdr:grpSp>
      <xdr:nvGrpSpPr>
        <xdr:cNvPr id="25" name="Groupe 5">
          <a:extLst>
            <a:ext uri="{FF2B5EF4-FFF2-40B4-BE49-F238E27FC236}">
              <a16:creationId xmlns:a16="http://schemas.microsoft.com/office/drawing/2014/main" id="{7531A8A5-01F5-43F1-A389-A039B1EA9CD0}"/>
            </a:ext>
          </a:extLst>
        </xdr:cNvPr>
        <xdr:cNvGrpSpPr/>
      </xdr:nvGrpSpPr>
      <xdr:grpSpPr>
        <a:xfrm>
          <a:off x="562406" y="15376800"/>
          <a:ext cx="3981019" cy="364389"/>
          <a:chOff x="562406" y="14071875"/>
          <a:chExt cx="3981019" cy="364389"/>
        </a:xfrm>
      </xdr:grpSpPr>
      <xdr:sp macro="" textlink="">
        <xdr:nvSpPr>
          <xdr:cNvPr id="26" name="Étape" descr="Formation Excel gratuite en ligne, lien hypertexte vers le web&#10;">
            <a:hlinkClick xmlns:r="http://schemas.openxmlformats.org/officeDocument/2006/relationships" r:id="rId6" tooltip="Sélectionnez ce lien pour accéder sur le web à une formation gratuite sur Excel"/>
            <a:extLst>
              <a:ext uri="{FF2B5EF4-FFF2-40B4-BE49-F238E27FC236}">
                <a16:creationId xmlns:a16="http://schemas.microsoft.com/office/drawing/2014/main" id="{8855F1B1-B502-46D9-989C-142065D4298C}"/>
              </a:ext>
            </a:extLst>
          </xdr:cNvPr>
          <xdr:cNvSpPr txBox="1"/>
        </xdr:nvSpPr>
        <xdr:spPr>
          <a:xfrm>
            <a:off x="1040199" y="14151554"/>
            <a:ext cx="3503226"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7" name="Graphisme 22" descr="Flèche">
            <a:hlinkClick xmlns:r="http://schemas.openxmlformats.org/officeDocument/2006/relationships" r:id="rId6" tooltip="Sélectionnez ce lien pour accéder à des informations complémentaires sur le web"/>
            <a:extLst>
              <a:ext uri="{FF2B5EF4-FFF2-40B4-BE49-F238E27FC236}">
                <a16:creationId xmlns:a16="http://schemas.microsoft.com/office/drawing/2014/main" id="{DB74AE36-2CEE-4198-B1D2-A405BE749853}"/>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4071875"/>
            <a:ext cx="492262" cy="364389"/>
          </a:xfrm>
          <a:prstGeom prst="rect">
            <a:avLst/>
          </a:prstGeom>
        </xdr:spPr>
      </xdr:pic>
    </xdr:grpSp>
    <xdr:clientData/>
  </xdr:twoCellAnchor>
  <xdr:twoCellAnchor>
    <xdr:from>
      <xdr:col>0</xdr:col>
      <xdr:colOff>562406</xdr:colOff>
      <xdr:row>73</xdr:row>
      <xdr:rowOff>99793</xdr:rowOff>
    </xdr:from>
    <xdr:to>
      <xdr:col>1</xdr:col>
      <xdr:colOff>2609850</xdr:colOff>
      <xdr:row>75</xdr:row>
      <xdr:rowOff>83182</xdr:rowOff>
    </xdr:to>
    <xdr:grpSp>
      <xdr:nvGrpSpPr>
        <xdr:cNvPr id="28" name="Groupe 7">
          <a:extLst>
            <a:ext uri="{FF2B5EF4-FFF2-40B4-BE49-F238E27FC236}">
              <a16:creationId xmlns:a16="http://schemas.microsoft.com/office/drawing/2014/main" id="{96AA94BF-5B3D-4997-9D8B-BEEBCFD25D91}"/>
            </a:ext>
          </a:extLst>
        </xdr:cNvPr>
        <xdr:cNvGrpSpPr/>
      </xdr:nvGrpSpPr>
      <xdr:grpSpPr>
        <a:xfrm>
          <a:off x="562406" y="14577793"/>
          <a:ext cx="2895169" cy="364389"/>
          <a:chOff x="562406" y="13272868"/>
          <a:chExt cx="2895169" cy="364389"/>
        </a:xfrm>
      </xdr:grpSpPr>
      <xdr:sp macro="" textlink="">
        <xdr:nvSpPr>
          <xdr:cNvPr id="29" name="Étape" descr="À propos de la fonction SIERREUR, lien hypertexte vers le web&#10;">
            <a:hlinkClick xmlns:r="http://schemas.openxmlformats.org/officeDocument/2006/relationships" r:id="rId7" tooltip="Sélectionnez ce lien pour accéder sur le web à des informations complémentaires sur la fonction SIERREUR"/>
            <a:extLst>
              <a:ext uri="{FF2B5EF4-FFF2-40B4-BE49-F238E27FC236}">
                <a16:creationId xmlns:a16="http://schemas.microsoft.com/office/drawing/2014/main" id="{0FFADFC5-F06B-426E-88C2-D7EE09DF58BE}"/>
              </a:ext>
            </a:extLst>
          </xdr:cNvPr>
          <xdr:cNvSpPr txBox="1"/>
        </xdr:nvSpPr>
        <xdr:spPr>
          <a:xfrm>
            <a:off x="1027591" y="13318033"/>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SIERREUR</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30" name="Graphisme 22" descr="Flèche">
            <a:hlinkClick xmlns:r="http://schemas.openxmlformats.org/officeDocument/2006/relationships" r:id="rId7" tooltip="Sélectionnez ce lien pour accéder à des informations complémentaires sur le web"/>
            <a:extLst>
              <a:ext uri="{FF2B5EF4-FFF2-40B4-BE49-F238E27FC236}">
                <a16:creationId xmlns:a16="http://schemas.microsoft.com/office/drawing/2014/main" id="{36C02CE0-860E-4248-B58E-B13C9304437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3272868"/>
            <a:ext cx="492262" cy="364389"/>
          </a:xfrm>
          <a:prstGeom prst="rect">
            <a:avLst/>
          </a:prstGeom>
        </xdr:spPr>
      </xdr:pic>
    </xdr:grpSp>
    <xdr:clientData/>
  </xdr:twoCellAnchor>
  <xdr:twoCellAnchor>
    <xdr:from>
      <xdr:col>0</xdr:col>
      <xdr:colOff>562406</xdr:colOff>
      <xdr:row>75</xdr:row>
      <xdr:rowOff>97333</xdr:rowOff>
    </xdr:from>
    <xdr:to>
      <xdr:col>1</xdr:col>
      <xdr:colOff>3724276</xdr:colOff>
      <xdr:row>77</xdr:row>
      <xdr:rowOff>94113</xdr:rowOff>
    </xdr:to>
    <xdr:grpSp>
      <xdr:nvGrpSpPr>
        <xdr:cNvPr id="31" name="Groupe 30">
          <a:extLst>
            <a:ext uri="{FF2B5EF4-FFF2-40B4-BE49-F238E27FC236}">
              <a16:creationId xmlns:a16="http://schemas.microsoft.com/office/drawing/2014/main" id="{B2375491-2DFF-413B-8E39-9385A50CC7C9}"/>
            </a:ext>
          </a:extLst>
        </xdr:cNvPr>
        <xdr:cNvGrpSpPr/>
      </xdr:nvGrpSpPr>
      <xdr:grpSpPr>
        <a:xfrm>
          <a:off x="562406" y="14956333"/>
          <a:ext cx="4009595" cy="377780"/>
          <a:chOff x="562406" y="13651408"/>
          <a:chExt cx="4009595" cy="377780"/>
        </a:xfrm>
      </xdr:grpSpPr>
      <xdr:sp macro="" textlink="">
        <xdr:nvSpPr>
          <xdr:cNvPr id="32" name="Étape" descr="Utiliser un tableau croisé dynamique pour analyser les données d’une feuille de calcul&#10;">
            <a:hlinkClick xmlns:r="http://schemas.openxmlformats.org/officeDocument/2006/relationships" r:id="rId8" tooltip="Sélectionnez ce lien pour accéder sur le web à des informations complémentaires sur la création d’un tableau croisé dynamique pour analyser les données d’une feuille de calcul"/>
            <a:extLst>
              <a:ext uri="{FF2B5EF4-FFF2-40B4-BE49-F238E27FC236}">
                <a16:creationId xmlns:a16="http://schemas.microsoft.com/office/drawing/2014/main" id="{B8B12C1A-67DB-4DD6-9EAA-134D78C5A63D}"/>
              </a:ext>
            </a:extLst>
          </xdr:cNvPr>
          <xdr:cNvSpPr txBox="1"/>
        </xdr:nvSpPr>
        <xdr:spPr>
          <a:xfrm>
            <a:off x="1027591" y="13651408"/>
            <a:ext cx="3544410"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Utiliser un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tableau croisé dynamique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analyser les</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données d’une feuille de calcul</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33"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41C2296E-48B0-4C85-9227-5D65D48F402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562406" y="13664799"/>
            <a:ext cx="492262" cy="364389"/>
          </a:xfrm>
          <a:prstGeom prst="rect">
            <a:avLst/>
          </a:prstGeom>
        </xdr:spPr>
      </xdr:pic>
    </xdr:grpSp>
    <xdr:clientData/>
  </xdr:twoCellAnchor>
  <xdr:twoCellAnchor editAs="absolute">
    <xdr:from>
      <xdr:col>0</xdr:col>
      <xdr:colOff>666750</xdr:colOff>
      <xdr:row>30</xdr:row>
      <xdr:rowOff>23788</xdr:rowOff>
    </xdr:from>
    <xdr:to>
      <xdr:col>1</xdr:col>
      <xdr:colOff>3324225</xdr:colOff>
      <xdr:row>32</xdr:row>
      <xdr:rowOff>178475</xdr:rowOff>
    </xdr:to>
    <xdr:sp macro="" textlink="">
      <xdr:nvSpPr>
        <xdr:cNvPr id="34" name="btn_Poursuivre" descr="Poursuivez votre lecture pour plus d’informations">
          <a:hlinkClick xmlns:r="http://schemas.openxmlformats.org/officeDocument/2006/relationships" r:id="rId9"/>
          <a:extLst>
            <a:ext uri="{FF2B5EF4-FFF2-40B4-BE49-F238E27FC236}">
              <a16:creationId xmlns:a16="http://schemas.microsoft.com/office/drawing/2014/main" id="{B21AC819-4F1F-497D-8538-ACF312668235}"/>
            </a:ext>
          </a:extLst>
        </xdr:cNvPr>
        <xdr:cNvSpPr/>
      </xdr:nvSpPr>
      <xdr:spPr>
        <a:xfrm>
          <a:off x="666750" y="6310288"/>
          <a:ext cx="3505200" cy="535687"/>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333375</xdr:colOff>
      <xdr:row>34</xdr:row>
      <xdr:rowOff>28547</xdr:rowOff>
    </xdr:from>
    <xdr:to>
      <xdr:col>1</xdr:col>
      <xdr:colOff>5219700</xdr:colOff>
      <xdr:row>65</xdr:row>
      <xdr:rowOff>0</xdr:rowOff>
    </xdr:to>
    <xdr:grpSp>
      <xdr:nvGrpSpPr>
        <xdr:cNvPr id="35" name="Groupe 34">
          <a:extLst>
            <a:ext uri="{FF2B5EF4-FFF2-40B4-BE49-F238E27FC236}">
              <a16:creationId xmlns:a16="http://schemas.microsoft.com/office/drawing/2014/main" id="{14E8E712-4AAE-463A-B14A-ECF1DBB5BCFC}"/>
            </a:ext>
          </a:extLst>
        </xdr:cNvPr>
        <xdr:cNvGrpSpPr/>
      </xdr:nvGrpSpPr>
      <xdr:grpSpPr>
        <a:xfrm>
          <a:off x="333375" y="7077047"/>
          <a:ext cx="5734050" cy="5876953"/>
          <a:chOff x="381000" y="6619847"/>
          <a:chExt cx="5734050" cy="5876953"/>
        </a:xfrm>
      </xdr:grpSpPr>
      <xdr:sp macro="" textlink="">
        <xdr:nvSpPr>
          <xdr:cNvPr id="36" name="txt_ArrièrePlanVisiteGuidée" descr="Arrière-plan">
            <a:extLst>
              <a:ext uri="{FF2B5EF4-FFF2-40B4-BE49-F238E27FC236}">
                <a16:creationId xmlns:a16="http://schemas.microsoft.com/office/drawing/2014/main" id="{1B6B442F-0F46-45A7-B7A8-7B49B1B46C5D}"/>
              </a:ext>
            </a:extLst>
          </xdr:cNvPr>
          <xdr:cNvSpPr/>
        </xdr:nvSpPr>
        <xdr:spPr>
          <a:xfrm>
            <a:off x="381000" y="6619847"/>
            <a:ext cx="5734050" cy="5876953"/>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37" name="txt_EnTêteVisiteGuidée" descr="RECHERCHEV et #N/A">
            <a:extLst>
              <a:ext uri="{FF2B5EF4-FFF2-40B4-BE49-F238E27FC236}">
                <a16:creationId xmlns:a16="http://schemas.microsoft.com/office/drawing/2014/main" id="{22C4ADA9-799F-4A30-BE4C-E5B1CC200C0B}"/>
              </a:ext>
            </a:extLst>
          </xdr:cNvPr>
          <xdr:cNvSpPr txBox="1"/>
        </xdr:nvSpPr>
        <xdr:spPr>
          <a:xfrm>
            <a:off x="622303" y="6715096"/>
            <a:ext cx="5251444" cy="57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RECHERCHEV et #N/A</a:t>
            </a:r>
          </a:p>
        </xdr:txBody>
      </xdr:sp>
      <xdr:cxnSp macro="">
        <xdr:nvCxnSpPr>
          <xdr:cNvPr id="38" name="txt_VisiteGuidéeLigne1" descr="Ligne décorative">
            <a:extLst>
              <a:ext uri="{FF2B5EF4-FFF2-40B4-BE49-F238E27FC236}">
                <a16:creationId xmlns:a16="http://schemas.microsoft.com/office/drawing/2014/main" id="{E43D5EDB-7D9F-400C-8B0C-352626E0FBFA}"/>
              </a:ext>
            </a:extLst>
          </xdr:cNvPr>
          <xdr:cNvCxnSpPr>
            <a:cxnSpLocks/>
          </xdr:cNvCxnSpPr>
        </xdr:nvCxnSpPr>
        <xdr:spPr>
          <a:xfrm>
            <a:off x="623901" y="728659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9" name="txt_VisiteGuidéeLigne2" descr="Ligne décorative">
            <a:extLst>
              <a:ext uri="{FF2B5EF4-FFF2-40B4-BE49-F238E27FC236}">
                <a16:creationId xmlns:a16="http://schemas.microsoft.com/office/drawing/2014/main" id="{8948EFB5-7B09-40F4-B862-83D86DAEFBC2}"/>
              </a:ext>
            </a:extLst>
          </xdr:cNvPr>
          <xdr:cNvCxnSpPr>
            <a:cxnSpLocks/>
          </xdr:cNvCxnSpPr>
        </xdr:nvCxnSpPr>
        <xdr:spPr>
          <a:xfrm>
            <a:off x="623901" y="11794038"/>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40" name="txt_IntroVisiteGuidée" descr="Parfois, la fonction RECHERCHEV ne trouve pas ce que vous recherchez et renvoie une erreur (#N/A). Cette erreur peut être due à l’une des deux causes suivantes : la valeur recherchée n’existe pas ou la cellule de référence ne comporte encore aucune valeur.">
            <a:extLst>
              <a:ext uri="{FF2B5EF4-FFF2-40B4-BE49-F238E27FC236}">
                <a16:creationId xmlns:a16="http://schemas.microsoft.com/office/drawing/2014/main" id="{C173840E-83B3-4ADB-B387-99FF43E3AC8A}"/>
              </a:ext>
            </a:extLst>
          </xdr:cNvPr>
          <xdr:cNvSpPr txBox="1"/>
        </xdr:nvSpPr>
        <xdr:spPr>
          <a:xfrm>
            <a:off x="619288" y="7320013"/>
            <a:ext cx="5251444" cy="671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Parfois, la fonction RECHERCHEV ne trouve pas ce que vous recherchez et renvoie une erreur (</a:t>
            </a:r>
            <a:r>
              <a:rPr lang="fr" sz="1100" b="1"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Cette erreur peut être due à l’une des deux causes suivantes : la valeur recherchée n’existe pas ou la cellule de référence ne comporte encore aucune valeur.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41" name="grp_Étape">
            <a:extLst>
              <a:ext uri="{FF2B5EF4-FFF2-40B4-BE49-F238E27FC236}">
                <a16:creationId xmlns:a16="http://schemas.microsoft.com/office/drawing/2014/main" id="{EB3D05BE-E83F-42CA-9852-7CE28B5DAF03}"/>
              </a:ext>
            </a:extLst>
          </xdr:cNvPr>
          <xdr:cNvGrpSpPr/>
        </xdr:nvGrpSpPr>
        <xdr:grpSpPr>
          <a:xfrm>
            <a:off x="619125" y="8020022"/>
            <a:ext cx="5353050" cy="2105052"/>
            <a:chOff x="562285" y="7734300"/>
            <a:chExt cx="5318320" cy="2105052"/>
          </a:xfrm>
        </xdr:grpSpPr>
        <xdr:sp macro="" textlink="">
          <xdr:nvSpPr>
            <xdr:cNvPr id="45" name="txt_Étape" descr="If you know your lookup value exists, but want to hide the error if the lookup cell is blank, you can use an IF statement. In this case, we'll wrap our existing VLOOKUP formula like this in cell D43:&#10;&#10;=IF(C43=&quot;&quot;,&quot;&quot;,VLOOKUP(C43,C37:D41,2,FALSE))&#10;&#10;This says if cell C43 equals nothing (&quot;&quot;), then return nothing, otherwise return the VLOOKUP's results. Note the second closing parenthesis at the end of the formula. This closes the IF statement.&#10;&#10;">
              <a:extLst>
                <a:ext uri="{FF2B5EF4-FFF2-40B4-BE49-F238E27FC236}">
                  <a16:creationId xmlns:a16="http://schemas.microsoft.com/office/drawing/2014/main" id="{5161FCEE-1336-4C49-8683-410E008FD137}"/>
                </a:ext>
              </a:extLst>
            </xdr:cNvPr>
            <xdr:cNvSpPr txBox="1"/>
          </xdr:nvSpPr>
          <xdr:spPr>
            <a:xfrm>
              <a:off x="979442" y="7776257"/>
              <a:ext cx="4901163" cy="2063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vous savez que la valeur recherchée existe et souhaitez masquer l’erreur lorsque la cellule de recherche est vide, vous pouvez utiliser une instruction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Nous allons encapsuler la formule RECHERCHEV de la cellule D43 comme ceci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=SI(C43="";"";RECHERCHEV(C43;C37:D41;2;FAUX))</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Cette formule signifie : « Si la cellule C43 n’est égale à rien (""), ne rien renvoyer, sinon renvoyer les résultats de la fonction RECHERCHEV ». Notez que nous avons ajouté une deuxième parenthèse fermante à la fin de la formule. Celle-ci ferme l’instruction SI.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6" name="shp_Étape" descr="1">
              <a:extLst>
                <a:ext uri="{FF2B5EF4-FFF2-40B4-BE49-F238E27FC236}">
                  <a16:creationId xmlns:a16="http://schemas.microsoft.com/office/drawing/2014/main" id="{C73C1607-25E7-4AB3-9834-4CAA6C6BE3F5}"/>
                </a:ext>
              </a:extLst>
            </xdr:cNvPr>
            <xdr:cNvSpPr/>
          </xdr:nvSpPr>
          <xdr:spPr>
            <a:xfrm>
              <a:off x="562285" y="77343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42" name="Groupe 41">
            <a:extLst>
              <a:ext uri="{FF2B5EF4-FFF2-40B4-BE49-F238E27FC236}">
                <a16:creationId xmlns:a16="http://schemas.microsoft.com/office/drawing/2014/main" id="{9C844346-2F8E-4124-829A-22116FB52EC4}"/>
              </a:ext>
            </a:extLst>
          </xdr:cNvPr>
          <xdr:cNvGrpSpPr/>
        </xdr:nvGrpSpPr>
        <xdr:grpSpPr>
          <a:xfrm>
            <a:off x="619125" y="10029797"/>
            <a:ext cx="5229624" cy="1714527"/>
            <a:chOff x="11201400" y="3800475"/>
            <a:chExt cx="5229624" cy="1714527"/>
          </a:xfrm>
        </xdr:grpSpPr>
        <xdr:sp macro="" textlink="">
          <xdr:nvSpPr>
            <xdr:cNvPr id="43" name="txt_Étape" descr="Si vous n’êtes pas sûr de l’existence de la valeur recherchée mais que vous souhaitez malgré tout supprimer l’erreur #N/A, vous pouvez utiliser une fonction de gestion d’erreur SIERREUR à la cellule G43 : =SIERREUR(RECHERCHEV(F43,F37:G41,2,FAUX),&quot;&quot;). La fonction SIERREUR signifie ceci : si la fonction RECHERCHEV renvoie un résultat valide, l’afficher, sinon ne rien afficher (&quot;&quot;). Nous n’avons rien affiché ici (&quot;&quot;), mais vous pouvez également utiliser des chiffres (0,1, 2, etc.) ou du texte (par exemple, « La formule est incorrecte »).">
              <a:extLst>
                <a:ext uri="{FF2B5EF4-FFF2-40B4-BE49-F238E27FC236}">
                  <a16:creationId xmlns:a16="http://schemas.microsoft.com/office/drawing/2014/main" id="{0C6505B6-B237-4B9E-8603-21D35AEF2959}"/>
                </a:ext>
              </a:extLst>
            </xdr:cNvPr>
            <xdr:cNvSpPr txBox="1"/>
          </xdr:nvSpPr>
          <xdr:spPr>
            <a:xfrm>
              <a:off x="11621281" y="3890057"/>
              <a:ext cx="4809743" cy="162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vous n’êtes pas sûr de l’existence de la valeur recherchée mais que vous souhaitez malgré tout supprimer l’erreur #N/A, vous pouvez utiliser une fonction de gestion d’erreur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à la cellule G43 :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=SIERREUR(RECHERCHEV(F43;F37:G41;2;FAUX);"")</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signifie ceci : « Si la fonction RECHERCHEV renvoie un résultat valide, l’afficher, sinon ne rien afficher ("") ». Nous n’avons ici rien affiché (""), mais vous pouvez également utiliser des chiffres (0,1, 2, etc.) ou du texte (par exemple, « La formule est incorrecte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4" name="shp_Étape" descr="2">
              <a:extLst>
                <a:ext uri="{FF2B5EF4-FFF2-40B4-BE49-F238E27FC236}">
                  <a16:creationId xmlns:a16="http://schemas.microsoft.com/office/drawing/2014/main" id="{2FFB39A8-F6A3-4D0C-8B37-4732F619F1C7}"/>
                </a:ext>
              </a:extLst>
            </xdr:cNvPr>
            <xdr:cNvSpPr/>
          </xdr:nvSpPr>
          <xdr:spPr>
            <a:xfrm>
              <a:off x="11201400" y="38004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clientData/>
  </xdr:twoCellAnchor>
  <xdr:twoCellAnchor editAs="absolute">
    <xdr:from>
      <xdr:col>0</xdr:col>
      <xdr:colOff>571500</xdr:colOff>
      <xdr:row>62</xdr:row>
      <xdr:rowOff>47597</xdr:rowOff>
    </xdr:from>
    <xdr:to>
      <xdr:col>1</xdr:col>
      <xdr:colOff>998945</xdr:colOff>
      <xdr:row>64</xdr:row>
      <xdr:rowOff>2046</xdr:rowOff>
    </xdr:to>
    <xdr:sp macro="" textlink="">
      <xdr:nvSpPr>
        <xdr:cNvPr id="47" name="BoutonPrécédent" descr="Revenir à la feuille précédente">
          <a:hlinkClick xmlns:r="http://schemas.openxmlformats.org/officeDocument/2006/relationships" r:id="rId10" tooltip="Cliquez ici pour revenir à la feuille précédente"/>
          <a:extLst>
            <a:ext uri="{FF2B5EF4-FFF2-40B4-BE49-F238E27FC236}">
              <a16:creationId xmlns:a16="http://schemas.microsoft.com/office/drawing/2014/main" id="{2F8A56BC-3A9E-49FD-9DBB-E64BFFA88EED}"/>
            </a:ext>
          </a:extLst>
        </xdr:cNvPr>
        <xdr:cNvSpPr/>
      </xdr:nvSpPr>
      <xdr:spPr>
        <a:xfrm flipH="1">
          <a:off x="571500" y="1243009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3665586</xdr:colOff>
      <xdr:row>62</xdr:row>
      <xdr:rowOff>47597</xdr:rowOff>
    </xdr:from>
    <xdr:to>
      <xdr:col>1</xdr:col>
      <xdr:colOff>4940756</xdr:colOff>
      <xdr:row>64</xdr:row>
      <xdr:rowOff>2046</xdr:rowOff>
    </xdr:to>
    <xdr:sp macro="" textlink="">
      <xdr:nvSpPr>
        <xdr:cNvPr id="48" name="BoutonSuivant" descr="Passer à la feuille suivante">
          <a:hlinkClick xmlns:r="http://schemas.openxmlformats.org/officeDocument/2006/relationships" r:id="rId1" tooltip="Cliquez ici pour passer à la feuille de calcul suivante"/>
          <a:extLst>
            <a:ext uri="{FF2B5EF4-FFF2-40B4-BE49-F238E27FC236}">
              <a16:creationId xmlns:a16="http://schemas.microsoft.com/office/drawing/2014/main" id="{A68164A1-2582-4FBF-8E09-31DB720E6F6E}"/>
            </a:ext>
          </a:extLst>
        </xdr:cNvPr>
        <xdr:cNvSpPr/>
      </xdr:nvSpPr>
      <xdr:spPr>
        <a:xfrm>
          <a:off x="4513311" y="12430097"/>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3</xdr:col>
      <xdr:colOff>428626</xdr:colOff>
      <xdr:row>43</xdr:row>
      <xdr:rowOff>76207</xdr:rowOff>
    </xdr:from>
    <xdr:to>
      <xdr:col>9</xdr:col>
      <xdr:colOff>495299</xdr:colOff>
      <xdr:row>55</xdr:row>
      <xdr:rowOff>28573</xdr:rowOff>
    </xdr:to>
    <xdr:grpSp>
      <xdr:nvGrpSpPr>
        <xdr:cNvPr id="49" name="DÉTAIL IMPORTANT" descr="DÉTAIL IMPORTANT&#10;&#10;">
          <a:extLst>
            <a:ext uri="{FF2B5EF4-FFF2-40B4-BE49-F238E27FC236}">
              <a16:creationId xmlns:a16="http://schemas.microsoft.com/office/drawing/2014/main" id="{21A96783-223F-45C4-9F6E-78D85715BE81}"/>
            </a:ext>
          </a:extLst>
        </xdr:cNvPr>
        <xdr:cNvGrpSpPr/>
      </xdr:nvGrpSpPr>
      <xdr:grpSpPr>
        <a:xfrm>
          <a:off x="7686676" y="8839207"/>
          <a:ext cx="4057648" cy="2238366"/>
          <a:chOff x="6788150" y="10960177"/>
          <a:chExt cx="4206244" cy="2161914"/>
        </a:xfrm>
      </xdr:grpSpPr>
      <xdr:sp macro="" textlink="">
        <xdr:nvSpPr>
          <xdr:cNvPr id="50" name="Instruction" descr="IMPORTANT DETAIL&#10;IFERROR is what's known as a blanket error handler, meaning it will suppress any error your formula might throw. This can cause problems if Excel is giving you a notification that your formula has a legitimate error that needs to be fixed.&#10;&#10;A rule of thumb is to not add error handlers to your formulas until you're absolutely certain they work properly.&#10;">
            <a:extLst>
              <a:ext uri="{FF2B5EF4-FFF2-40B4-BE49-F238E27FC236}">
                <a16:creationId xmlns:a16="http://schemas.microsoft.com/office/drawing/2014/main" id="{C466216B-D5EF-4EC7-8571-81D9847D95A7}"/>
              </a:ext>
            </a:extLst>
          </xdr:cNvPr>
          <xdr:cNvSpPr txBox="1"/>
        </xdr:nvSpPr>
        <xdr:spPr>
          <a:xfrm>
            <a:off x="7073898" y="11363327"/>
            <a:ext cx="3920496" cy="1758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sz="1100" b="0"/>
              <a:t>La fonction </a:t>
            </a:r>
            <a:r>
              <a:rPr lang="fr" sz="1100" b="1" i="0" kern="1200" baseline="0">
                <a:solidFill>
                  <a:schemeClr val="dk1"/>
                </a:solidFill>
                <a:effectLst/>
                <a:latin typeface="+mn-lt"/>
                <a:ea typeface="+mn-ea"/>
                <a:cs typeface="+mn-cs"/>
              </a:rPr>
              <a:t>SIERREUR </a:t>
            </a:r>
            <a:r>
              <a:rPr lang="fr" sz="1100" b="0" i="0" kern="1200" baseline="0">
                <a:solidFill>
                  <a:schemeClr val="dk1"/>
                </a:solidFill>
                <a:effectLst/>
                <a:latin typeface="+mn-lt"/>
                <a:ea typeface="+mn-ea"/>
                <a:cs typeface="+mn-cs"/>
              </a:rPr>
              <a:t>est un gestionnaire d’erreurs global, ce qui signifie qu’elle supprimera toutes les erreurs renvoyées par votre formule. Cela peut entraîner des problèmes si Excel vous envoie une notification pour vous signaler que votre formule contient une erreur légitime qui doit être résolue.</a:t>
            </a:r>
          </a:p>
          <a:p>
            <a:pPr rtl="0" eaLnBrk="1" fontAlgn="auto" latinLnBrk="0" hangingPunct="1"/>
            <a:endParaRPr lang="en-US" sz="1100" b="0" i="0" kern="1200" baseline="0">
              <a:solidFill>
                <a:schemeClr val="dk1"/>
              </a:solidFill>
              <a:effectLst/>
              <a:latin typeface="+mn-lt"/>
              <a:ea typeface="+mn-ea"/>
              <a:cs typeface="+mn-cs"/>
            </a:endParaRPr>
          </a:p>
          <a:p>
            <a:pPr rtl="0" eaLnBrk="1" fontAlgn="auto" latinLnBrk="0" hangingPunct="1"/>
            <a:r>
              <a:rPr lang="fr" sz="1100" b="0" i="0" kern="1200" baseline="0">
                <a:solidFill>
                  <a:schemeClr val="dk1"/>
                </a:solidFill>
                <a:effectLst/>
                <a:latin typeface="+mn-lt"/>
                <a:ea typeface="+mn-ea"/>
                <a:cs typeface="+mn-cs"/>
              </a:rPr>
              <a:t>En règle générale, il est préférable de ne pas ajouter de gestionnaires d’erreurs à vos formules tant que vous n’êtes pas absolument certain qu’elles fonctionnent correctement.</a:t>
            </a:r>
            <a:endParaRPr lang="en-US" sz="1100">
              <a:effectLst/>
            </a:endParaRPr>
          </a:p>
        </xdr:txBody>
      </xdr:sp>
      <xdr:pic>
        <xdr:nvPicPr>
          <xdr:cNvPr id="51" name="Loupe" descr="Loupe">
            <a:extLst>
              <a:ext uri="{FF2B5EF4-FFF2-40B4-BE49-F238E27FC236}">
                <a16:creationId xmlns:a16="http://schemas.microsoft.com/office/drawing/2014/main" id="{3448A97B-862F-4E52-B268-8E7679288BC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flipH="1">
            <a:off x="6788150" y="11420475"/>
            <a:ext cx="352313" cy="339611"/>
          </a:xfrm>
          <a:prstGeom prst="rect">
            <a:avLst/>
          </a:prstGeom>
        </xdr:spPr>
      </xdr:pic>
      <xdr:sp macro="" textlink="">
        <xdr:nvSpPr>
          <xdr:cNvPr id="52" name="Flèche" descr="Flèche">
            <a:extLst>
              <a:ext uri="{FF2B5EF4-FFF2-40B4-BE49-F238E27FC236}">
                <a16:creationId xmlns:a16="http://schemas.microsoft.com/office/drawing/2014/main" id="{CABE73B5-D284-4927-A9D1-D0F675F95ADF}"/>
              </a:ext>
            </a:extLst>
          </xdr:cNvPr>
          <xdr:cNvSpPr/>
        </xdr:nvSpPr>
        <xdr:spPr>
          <a:xfrm rot="3874191">
            <a:off x="8229331" y="10969973"/>
            <a:ext cx="442979" cy="423388"/>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twoCellAnchor>
    <xdr:from>
      <xdr:col>1</xdr:col>
      <xdr:colOff>100019</xdr:colOff>
      <xdr:row>7</xdr:row>
      <xdr:rowOff>47605</xdr:rowOff>
    </xdr:from>
    <xdr:to>
      <xdr:col>1</xdr:col>
      <xdr:colOff>4972049</xdr:colOff>
      <xdr:row>20</xdr:row>
      <xdr:rowOff>94821</xdr:rowOff>
    </xdr:to>
    <xdr:grpSp>
      <xdr:nvGrpSpPr>
        <xdr:cNvPr id="53" name="Groupe 134">
          <a:extLst>
            <a:ext uri="{FF2B5EF4-FFF2-40B4-BE49-F238E27FC236}">
              <a16:creationId xmlns:a16="http://schemas.microsoft.com/office/drawing/2014/main" id="{9AF69B16-BD52-427D-990D-2727A7AE17D5}"/>
            </a:ext>
          </a:extLst>
        </xdr:cNvPr>
        <xdr:cNvGrpSpPr/>
      </xdr:nvGrpSpPr>
      <xdr:grpSpPr>
        <a:xfrm>
          <a:off x="947744" y="1952605"/>
          <a:ext cx="4872030" cy="2523716"/>
          <a:chOff x="2943225" y="1476375"/>
          <a:chExt cx="4872030" cy="2523716"/>
        </a:xfrm>
      </xdr:grpSpPr>
      <xdr:sp macro="" textlink="">
        <xdr:nvSpPr>
          <xdr:cNvPr id="54" name="AccoladeInférieureFormule">
            <a:extLst>
              <a:ext uri="{FF2B5EF4-FFF2-40B4-BE49-F238E27FC236}">
                <a16:creationId xmlns:a16="http://schemas.microsoft.com/office/drawing/2014/main" id="{705051F5-96A0-4F6A-A99A-D0C7CC2003A3}"/>
              </a:ext>
            </a:extLst>
          </xdr:cNvPr>
          <xdr:cNvSpPr/>
        </xdr:nvSpPr>
        <xdr:spPr>
          <a:xfrm rot="16200000">
            <a:off x="6209368" y="2653647"/>
            <a:ext cx="497160" cy="63816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55" name="AccoladeInférieureFormule">
            <a:extLst>
              <a:ext uri="{FF2B5EF4-FFF2-40B4-BE49-F238E27FC236}">
                <a16:creationId xmlns:a16="http://schemas.microsoft.com/office/drawing/2014/main" id="{2A4911BC-A68C-4E85-B548-7F76D94EB1EB}"/>
              </a:ext>
            </a:extLst>
          </xdr:cNvPr>
          <xdr:cNvSpPr/>
        </xdr:nvSpPr>
        <xdr:spPr>
          <a:xfrm rot="16200000">
            <a:off x="5262743" y="2700160"/>
            <a:ext cx="497160" cy="545139"/>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56" name="AccoladeSupérieureFormule">
            <a:extLst>
              <a:ext uri="{FF2B5EF4-FFF2-40B4-BE49-F238E27FC236}">
                <a16:creationId xmlns:a16="http://schemas.microsoft.com/office/drawing/2014/main" id="{26D5838C-33C5-492E-AAD0-AEF894E803E1}"/>
              </a:ext>
            </a:extLst>
          </xdr:cNvPr>
          <xdr:cNvSpPr/>
        </xdr:nvSpPr>
        <xdr:spPr>
          <a:xfrm rot="5400000">
            <a:off x="5668825" y="2194063"/>
            <a:ext cx="497161" cy="24288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7" name="AccoladeSupérieureFormule">
            <a:extLst>
              <a:ext uri="{FF2B5EF4-FFF2-40B4-BE49-F238E27FC236}">
                <a16:creationId xmlns:a16="http://schemas.microsoft.com/office/drawing/2014/main" id="{1406371C-348A-4489-A39D-937788D85B6E}"/>
              </a:ext>
            </a:extLst>
          </xdr:cNvPr>
          <xdr:cNvSpPr/>
        </xdr:nvSpPr>
        <xdr:spPr>
          <a:xfrm rot="5400000">
            <a:off x="4657901" y="2161998"/>
            <a:ext cx="497162" cy="30701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8" name="txt_Formule" descr="=RECHERCHEV(A1,B:C,2,FAUX)&#10;">
            <a:extLst>
              <a:ext uri="{FF2B5EF4-FFF2-40B4-BE49-F238E27FC236}">
                <a16:creationId xmlns:a16="http://schemas.microsoft.com/office/drawing/2014/main" id="{C8FEFDD4-293E-47FA-8F11-5AB3A1CCBABC}"/>
              </a:ext>
            </a:extLst>
          </xdr:cNvPr>
          <xdr:cNvSpPr txBox="1"/>
        </xdr:nvSpPr>
        <xdr:spPr>
          <a:xfrm>
            <a:off x="2943225" y="2476500"/>
            <a:ext cx="4291006" cy="529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=RECHERCHEV(A1;B:C;2;FAUX)</a:t>
            </a:r>
            <a:endParaRPr lang="en-US" sz="2000">
              <a:effectLst/>
              <a:latin typeface="Courier New" panose="02070309020205020404" pitchFamily="49" charset="0"/>
              <a:ea typeface="Times New Roman" panose="02020603050405020304" pitchFamily="18" charset="0"/>
            </a:endParaRPr>
          </a:p>
        </xdr:txBody>
      </xdr:sp>
      <xdr:sp macro="" textlink="">
        <xdr:nvSpPr>
          <xdr:cNvPr id="59" name="txt_LégendeSupérieureFormule" descr="Que voulez-vous rechercher ?&#10;&#10;">
            <a:extLst>
              <a:ext uri="{FF2B5EF4-FFF2-40B4-BE49-F238E27FC236}">
                <a16:creationId xmlns:a16="http://schemas.microsoft.com/office/drawing/2014/main" id="{A7B905DD-331C-4F80-B7EF-CB9BE7F34C90}"/>
              </a:ext>
            </a:extLst>
          </xdr:cNvPr>
          <xdr:cNvSpPr txBox="1">
            <a:spLocks noChangeArrowheads="1"/>
          </xdr:cNvSpPr>
        </xdr:nvSpPr>
        <xdr:spPr bwMode="auto">
          <a:xfrm>
            <a:off x="4014781" y="1476375"/>
            <a:ext cx="1171582" cy="72349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 voulez-vous rechercher ?</a:t>
            </a:r>
          </a:p>
        </xdr:txBody>
      </xdr:sp>
      <xdr:sp macro="" textlink="">
        <xdr:nvSpPr>
          <xdr:cNvPr id="60" name="txt_LégendeSupérieureFormule" descr="Si vous trouvez ce que vous recherchez, à combien de colonnes sur la droite voulez-vous afficher une valeur ?&#10;">
            <a:extLst>
              <a:ext uri="{FF2B5EF4-FFF2-40B4-BE49-F238E27FC236}">
                <a16:creationId xmlns:a16="http://schemas.microsoft.com/office/drawing/2014/main" id="{3416F84F-3782-4C55-83A2-B5604511F06D}"/>
              </a:ext>
            </a:extLst>
          </xdr:cNvPr>
          <xdr:cNvSpPr txBox="1">
            <a:spLocks noChangeArrowheads="1"/>
          </xdr:cNvSpPr>
        </xdr:nvSpPr>
        <xdr:spPr bwMode="auto">
          <a:xfrm>
            <a:off x="5319712" y="1476375"/>
            <a:ext cx="2495543" cy="72349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Si vous trouvez ce que vous recherchez, à combien de colonnes sur la droite voulez-vous afficher une valeur ?</a:t>
            </a:r>
          </a:p>
        </xdr:txBody>
      </xdr:sp>
      <xdr:sp macro="" textlink="">
        <xdr:nvSpPr>
          <xdr:cNvPr id="61" name="txt_LégendeInférieureFormule" descr="Où voulez-vous effectuer la recherche ?&#10;">
            <a:extLst>
              <a:ext uri="{FF2B5EF4-FFF2-40B4-BE49-F238E27FC236}">
                <a16:creationId xmlns:a16="http://schemas.microsoft.com/office/drawing/2014/main" id="{E090A17F-060C-404B-B3A4-EC1AF19A0403}"/>
              </a:ext>
            </a:extLst>
          </xdr:cNvPr>
          <xdr:cNvSpPr txBox="1">
            <a:spLocks noChangeArrowheads="1"/>
          </xdr:cNvSpPr>
        </xdr:nvSpPr>
        <xdr:spPr bwMode="auto">
          <a:xfrm>
            <a:off x="4986331" y="3105150"/>
            <a:ext cx="1069982" cy="894941"/>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Où voulez-vous effectuer la recherche ?</a:t>
            </a:r>
          </a:p>
        </xdr:txBody>
      </xdr:sp>
      <xdr:sp macro="" textlink="">
        <xdr:nvSpPr>
          <xdr:cNvPr id="62" name="txt_LégendeInférieureFormule" descr="Souhaitez-vous obtenir une correspondance parfaite ou approximative ?&#10;">
            <a:extLst>
              <a:ext uri="{FF2B5EF4-FFF2-40B4-BE49-F238E27FC236}">
                <a16:creationId xmlns:a16="http://schemas.microsoft.com/office/drawing/2014/main" id="{F4E7F089-EC5B-40CD-A70E-CE7F2E03ED5A}"/>
              </a:ext>
            </a:extLst>
          </xdr:cNvPr>
          <xdr:cNvSpPr txBox="1">
            <a:spLocks noChangeArrowheads="1"/>
          </xdr:cNvSpPr>
        </xdr:nvSpPr>
        <xdr:spPr bwMode="auto">
          <a:xfrm>
            <a:off x="6176962" y="3105150"/>
            <a:ext cx="1619243" cy="894941"/>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Souhaitez-vous obtenir une correspondance parfaite ou approximative ?</a:t>
            </a:r>
          </a:p>
        </xdr:txBody>
      </xdr:sp>
    </xdr:grpSp>
    <xdr:clientData/>
  </xdr:twoCellAnchor>
  <xdr:twoCellAnchor>
    <xdr:from>
      <xdr:col>2</xdr:col>
      <xdr:colOff>830184</xdr:colOff>
      <xdr:row>22</xdr:row>
      <xdr:rowOff>66674</xdr:rowOff>
    </xdr:from>
    <xdr:to>
      <xdr:col>8</xdr:col>
      <xdr:colOff>412238</xdr:colOff>
      <xdr:row>28</xdr:row>
      <xdr:rowOff>146779</xdr:rowOff>
    </xdr:to>
    <xdr:grpSp>
      <xdr:nvGrpSpPr>
        <xdr:cNvPr id="63" name="Groupe 3">
          <a:extLst>
            <a:ext uri="{FF2B5EF4-FFF2-40B4-BE49-F238E27FC236}">
              <a16:creationId xmlns:a16="http://schemas.microsoft.com/office/drawing/2014/main" id="{DC0B0753-0067-47F1-AE93-1514BBF74A11}"/>
            </a:ext>
          </a:extLst>
        </xdr:cNvPr>
        <xdr:cNvGrpSpPr/>
      </xdr:nvGrpSpPr>
      <xdr:grpSpPr>
        <a:xfrm>
          <a:off x="7202409" y="4829174"/>
          <a:ext cx="3868304" cy="1223105"/>
          <a:chOff x="7726284" y="4829174"/>
          <a:chExt cx="4158817" cy="1223105"/>
        </a:xfrm>
      </xdr:grpSpPr>
      <xdr:grpSp>
        <xdr:nvGrpSpPr>
          <xdr:cNvPr id="64" name="Groupe 63">
            <a:extLst>
              <a:ext uri="{FF2B5EF4-FFF2-40B4-BE49-F238E27FC236}">
                <a16:creationId xmlns:a16="http://schemas.microsoft.com/office/drawing/2014/main" id="{BB4A8159-F05B-4EBB-931A-65CEB46983CB}"/>
              </a:ext>
            </a:extLst>
          </xdr:cNvPr>
          <xdr:cNvGrpSpPr/>
        </xdr:nvGrpSpPr>
        <xdr:grpSpPr>
          <a:xfrm>
            <a:off x="7726284" y="5104177"/>
            <a:ext cx="4158817" cy="948102"/>
            <a:chOff x="6370551" y="2394314"/>
            <a:chExt cx="3243106" cy="948102"/>
          </a:xfrm>
        </xdr:grpSpPr>
        <xdr:sp macro="" textlink="">
          <xdr:nvSpPr>
            <xdr:cNvPr id="66" name="Étape" descr="EXPERIMENT&#10;Try selecting different items from the drop down lists. You'll see the result cells instantly update themselves with new values.&#10;">
              <a:extLst>
                <a:ext uri="{FF2B5EF4-FFF2-40B4-BE49-F238E27FC236}">
                  <a16:creationId xmlns:a16="http://schemas.microsoft.com/office/drawing/2014/main" id="{651E6042-D97A-4192-B295-7C8AEC531B8E}"/>
                </a:ext>
              </a:extLst>
            </xdr:cNvPr>
            <xdr:cNvSpPr txBox="1"/>
          </xdr:nvSpPr>
          <xdr:spPr>
            <a:xfrm>
              <a:off x="6570375" y="2394314"/>
              <a:ext cx="3043282"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Essayez de sélectionner</a:t>
              </a:r>
              <a:r>
                <a:rPr lang="fr" sz="1100" kern="0" baseline="0">
                  <a:solidFill>
                    <a:schemeClr val="bg2">
                      <a:lumMod val="25000"/>
                    </a:schemeClr>
                  </a:solidFill>
                  <a:latin typeface="+mn-lt"/>
                  <a:ea typeface="Segoe UI" pitchFamily="34" charset="0"/>
                  <a:cs typeface="Segoe UI Light" panose="020B0502040204020203" pitchFamily="34" charset="0"/>
                </a:rPr>
                <a:t> différents éléments dans les listes déroulantes. Vous verrez alors que les cellules de résultat affichent instantanément de nouvelles valeurs.</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pic>
          <xdr:nvPicPr>
            <xdr:cNvPr id="67" name="Graphisme 96" descr="Flacon">
              <a:extLst>
                <a:ext uri="{FF2B5EF4-FFF2-40B4-BE49-F238E27FC236}">
                  <a16:creationId xmlns:a16="http://schemas.microsoft.com/office/drawing/2014/main" id="{C515FC8A-3381-4B82-A5DC-F5AFCF63B43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6370551" y="2499089"/>
              <a:ext cx="331088" cy="368300"/>
            </a:xfrm>
            <a:prstGeom prst="rect">
              <a:avLst/>
            </a:prstGeom>
          </xdr:spPr>
        </xdr:pic>
      </xdr:grpSp>
      <xdr:sp macro="" textlink="">
        <xdr:nvSpPr>
          <xdr:cNvPr id="65" name="AccoladeInférieureFormule">
            <a:extLst>
              <a:ext uri="{FF2B5EF4-FFF2-40B4-BE49-F238E27FC236}">
                <a16:creationId xmlns:a16="http://schemas.microsoft.com/office/drawing/2014/main" id="{442D1BBC-A3B2-4A89-A057-F32D32BF2BA4}"/>
              </a:ext>
            </a:extLst>
          </xdr:cNvPr>
          <xdr:cNvSpPr/>
        </xdr:nvSpPr>
        <xdr:spPr>
          <a:xfrm rot="16200000">
            <a:off x="8139115" y="4491036"/>
            <a:ext cx="219076" cy="895352"/>
          </a:xfrm>
          <a:prstGeom prst="leftBrace">
            <a:avLst/>
          </a:prstGeom>
          <a:ln w="12700">
            <a:solidFill>
              <a:srgbClr val="F4B183"/>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79528</xdr:colOff>
      <xdr:row>92</xdr:row>
      <xdr:rowOff>38101</xdr:rowOff>
    </xdr:from>
    <xdr:to>
      <xdr:col>20</xdr:col>
      <xdr:colOff>164645</xdr:colOff>
      <xdr:row>95</xdr:row>
      <xdr:rowOff>22201</xdr:rowOff>
    </xdr:to>
    <xdr:sp macro="" textlink="">
      <xdr:nvSpPr>
        <xdr:cNvPr id="2" name="Étape" descr="Entrez =SOMME(D4:D7), puis appuyez sur Entrée. Lorsque vous avez terminé, le résultat 170 s’affiche">
          <a:extLst>
            <a:ext uri="{FF2B5EF4-FFF2-40B4-BE49-F238E27FC236}">
              <a16:creationId xmlns:a16="http://schemas.microsoft.com/office/drawing/2014/main" id="{54C37935-5A73-4968-A34B-4CAD6F0F1F08}"/>
            </a:ext>
          </a:extLst>
        </xdr:cNvPr>
        <xdr:cNvSpPr txBox="1"/>
      </xdr:nvSpPr>
      <xdr:spPr>
        <a:xfrm>
          <a:off x="14643253" y="18183226"/>
          <a:ext cx="4809517" cy="5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3</xdr:col>
      <xdr:colOff>403134</xdr:colOff>
      <xdr:row>122</xdr:row>
      <xdr:rowOff>190517</xdr:rowOff>
    </xdr:from>
    <xdr:to>
      <xdr:col>7</xdr:col>
      <xdr:colOff>933429</xdr:colOff>
      <xdr:row>132</xdr:row>
      <xdr:rowOff>53867</xdr:rowOff>
    </xdr:to>
    <xdr:grpSp>
      <xdr:nvGrpSpPr>
        <xdr:cNvPr id="3" name="BON À SAVOIR" descr="GOOD TO KNOW&#10;Double-click this cell and you'll see that the formula is different. Specifically, the sum criteria is &quot;&gt;=50&quot; which means greater than or equal to 50. There are other operators you can use like &quot;&lt;=50&quot; which is less than or equal to 50. And there's &quot;&lt;&gt;50&quot; which is not equals 50&#10;">
          <a:extLst>
            <a:ext uri="{FF2B5EF4-FFF2-40B4-BE49-F238E27FC236}">
              <a16:creationId xmlns:a16="http://schemas.microsoft.com/office/drawing/2014/main" id="{966A5250-D326-4CA2-808B-FC1CD9E111B5}"/>
            </a:ext>
          </a:extLst>
        </xdr:cNvPr>
        <xdr:cNvGrpSpPr/>
      </xdr:nvGrpSpPr>
      <xdr:grpSpPr>
        <a:xfrm>
          <a:off x="7623084" y="24060167"/>
          <a:ext cx="4559370" cy="1796925"/>
          <a:chOff x="5844888" y="15514765"/>
          <a:chExt cx="4720965" cy="1712734"/>
        </a:xfrm>
      </xdr:grpSpPr>
      <xdr:sp macro="" textlink="">
        <xdr:nvSpPr>
          <xdr:cNvPr id="4" name="Étape" descr="GOOD TO KNOW&#10;Double-click this cell and you'll see that the formula is different. Specifically, the sum criteria is &quot;&gt;=50&quot; which means greater than or equal to 50. There are other operators you can use like &quot;&lt;=50&quot; which is less than or equal to 50. And there's &quot;&lt;&gt;50&quot; which is not equals 50&#10;">
            <a:extLst>
              <a:ext uri="{FF2B5EF4-FFF2-40B4-BE49-F238E27FC236}">
                <a16:creationId xmlns:a16="http://schemas.microsoft.com/office/drawing/2014/main" id="{B0798BD0-BFCF-41B8-91C2-844A7DF4B1B7}"/>
              </a:ext>
            </a:extLst>
          </xdr:cNvPr>
          <xdr:cNvSpPr txBox="1"/>
        </xdr:nvSpPr>
        <xdr:spPr>
          <a:xfrm>
            <a:off x="7398011" y="15601899"/>
            <a:ext cx="316784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Double-cliquez sur cette cellule. Vous pouvez constater que la formule est différente. Plus précisément, le critère de somme est "&gt;=50", ce qui signifie supérieur ou égal à 50. Vous disposez d’autres opérateurs, notamment "&lt;=50" qui correspond à </a:t>
            </a:r>
            <a:r>
              <a:rPr lang="fr" sz="1100" b="0" i="1" kern="1200" baseline="0">
                <a:solidFill>
                  <a:schemeClr val="dk1"/>
                </a:solidFill>
                <a:effectLst/>
                <a:latin typeface="+mn-lt"/>
                <a:ea typeface="+mn-ea"/>
                <a:cs typeface="+mn-cs"/>
              </a:rPr>
              <a:t>inférieur ou égal à 50</a:t>
            </a:r>
            <a:r>
              <a:rPr lang="fr" sz="1100" b="0" i="0" kern="1200" baseline="0">
                <a:solidFill>
                  <a:schemeClr val="dk1"/>
                </a:solidFill>
                <a:effectLst/>
                <a:latin typeface="+mn-lt"/>
                <a:ea typeface="+mn-ea"/>
                <a:cs typeface="+mn-cs"/>
              </a:rPr>
              <a:t>. Ou encore "&lt;&gt;50" qui correspond à </a:t>
            </a:r>
            <a:r>
              <a:rPr lang="fr" sz="1100" b="0" i="1" kern="1200" baseline="0">
                <a:solidFill>
                  <a:schemeClr val="dk1"/>
                </a:solidFill>
                <a:effectLst/>
                <a:latin typeface="+mn-lt"/>
                <a:ea typeface="+mn-ea"/>
                <a:cs typeface="+mn-cs"/>
              </a:rPr>
              <a:t>n’est pas égal à 50</a:t>
            </a:r>
            <a:r>
              <a:rPr lang="fr" sz="1100" b="0" i="0" kern="1200" baseline="0">
                <a:solidFill>
                  <a:schemeClr val="dk1"/>
                </a:solidFill>
                <a:effectLst/>
                <a:latin typeface="+mn-lt"/>
                <a:ea typeface="+mn-ea"/>
                <a:cs typeface="+mn-cs"/>
              </a:rPr>
              <a:t>. </a:t>
            </a:r>
            <a:endParaRPr lang="en-US" sz="1100">
              <a:effectLst/>
              <a:latin typeface="+mn-lt"/>
            </a:endParaRPr>
          </a:p>
        </xdr:txBody>
      </xdr:sp>
      <xdr:pic>
        <xdr:nvPicPr>
          <xdr:cNvPr id="5" name="Graphisme 147" descr="Lunettes">
            <a:extLst>
              <a:ext uri="{FF2B5EF4-FFF2-40B4-BE49-F238E27FC236}">
                <a16:creationId xmlns:a16="http://schemas.microsoft.com/office/drawing/2014/main" id="{41ADD998-D786-4ACE-AD8F-254DDDBD533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123817" y="15565584"/>
            <a:ext cx="323347" cy="349115"/>
          </a:xfrm>
          <a:prstGeom prst="rect">
            <a:avLst/>
          </a:prstGeom>
        </xdr:spPr>
      </xdr:pic>
      <xdr:sp macro="" textlink="">
        <xdr:nvSpPr>
          <xdr:cNvPr id="6" name="Forme libre : forme 93" descr="Flèche">
            <a:extLst>
              <a:ext uri="{FF2B5EF4-FFF2-40B4-BE49-F238E27FC236}">
                <a16:creationId xmlns:a16="http://schemas.microsoft.com/office/drawing/2014/main" id="{D8DA63B8-7318-4C2D-9455-D34CC9F35E4F}"/>
              </a:ext>
            </a:extLst>
          </xdr:cNvPr>
          <xdr:cNvSpPr/>
        </xdr:nvSpPr>
        <xdr:spPr>
          <a:xfrm rot="15646966" flipH="1" flipV="1">
            <a:off x="6305189" y="15054464"/>
            <a:ext cx="284005" cy="1204608"/>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352424</xdr:colOff>
      <xdr:row>142</xdr:row>
      <xdr:rowOff>114301</xdr:rowOff>
    </xdr:from>
    <xdr:to>
      <xdr:col>1</xdr:col>
      <xdr:colOff>5229224</xdr:colOff>
      <xdr:row>163</xdr:row>
      <xdr:rowOff>36966</xdr:rowOff>
    </xdr:to>
    <xdr:grpSp>
      <xdr:nvGrpSpPr>
        <xdr:cNvPr id="7" name="Groupe 1">
          <a:extLst>
            <a:ext uri="{FF2B5EF4-FFF2-40B4-BE49-F238E27FC236}">
              <a16:creationId xmlns:a16="http://schemas.microsoft.com/office/drawing/2014/main" id="{A3EF7052-D583-4F68-AD59-AC59AFB55E50}"/>
            </a:ext>
          </a:extLst>
        </xdr:cNvPr>
        <xdr:cNvGrpSpPr/>
      </xdr:nvGrpSpPr>
      <xdr:grpSpPr>
        <a:xfrm>
          <a:off x="352424" y="27822526"/>
          <a:ext cx="5724525" cy="3923165"/>
          <a:chOff x="447674" y="25631776"/>
          <a:chExt cx="5724525" cy="3762374"/>
        </a:xfrm>
      </xdr:grpSpPr>
      <xdr:sp macro="" textlink="">
        <xdr:nvSpPr>
          <xdr:cNvPr id="8" name="Rectangle 151">
            <a:extLst>
              <a:ext uri="{FF2B5EF4-FFF2-40B4-BE49-F238E27FC236}">
                <a16:creationId xmlns:a16="http://schemas.microsoft.com/office/drawing/2014/main" id="{E849C799-CA53-4D9A-BF23-B50E4EDFB52C}"/>
              </a:ext>
            </a:extLst>
          </xdr:cNvPr>
          <xdr:cNvSpPr/>
        </xdr:nvSpPr>
        <xdr:spPr>
          <a:xfrm>
            <a:off x="447674" y="25631776"/>
            <a:ext cx="5724525" cy="3762374"/>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9" name="Étape" descr="Plus d’informations sur le web&#10;">
            <a:extLst>
              <a:ext uri="{FF2B5EF4-FFF2-40B4-BE49-F238E27FC236}">
                <a16:creationId xmlns:a16="http://schemas.microsoft.com/office/drawing/2014/main" id="{9CFAD636-E430-47F1-9240-BFADE0161509}"/>
              </a:ext>
            </a:extLst>
          </xdr:cNvPr>
          <xdr:cNvSpPr txBox="1"/>
        </xdr:nvSpPr>
        <xdr:spPr>
          <a:xfrm>
            <a:off x="659860" y="25748461"/>
            <a:ext cx="5246187" cy="463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0" name="Connecteur droit 9" descr="Ligne décorative">
            <a:extLst>
              <a:ext uri="{FF2B5EF4-FFF2-40B4-BE49-F238E27FC236}">
                <a16:creationId xmlns:a16="http://schemas.microsoft.com/office/drawing/2014/main" id="{9F1B8797-77BD-43B5-9D65-8016315D63DB}"/>
              </a:ext>
            </a:extLst>
          </xdr:cNvPr>
          <xdr:cNvCxnSpPr>
            <a:cxnSpLocks/>
          </xdr:cNvCxnSpPr>
        </xdr:nvCxnSpPr>
        <xdr:spPr>
          <a:xfrm>
            <a:off x="663028" y="26228550"/>
            <a:ext cx="524302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1" name="Connecteur droit 10" descr="Ligne décorative">
            <a:extLst>
              <a:ext uri="{FF2B5EF4-FFF2-40B4-BE49-F238E27FC236}">
                <a16:creationId xmlns:a16="http://schemas.microsoft.com/office/drawing/2014/main" id="{4B8E4410-5F96-46B9-A97E-76997C664E84}"/>
              </a:ext>
            </a:extLst>
          </xdr:cNvPr>
          <xdr:cNvCxnSpPr>
            <a:cxnSpLocks/>
          </xdr:cNvCxnSpPr>
        </xdr:nvCxnSpPr>
        <xdr:spPr>
          <a:xfrm>
            <a:off x="663028" y="28602975"/>
            <a:ext cx="5243020"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342900</xdr:colOff>
      <xdr:row>0</xdr:row>
      <xdr:rowOff>352425</xdr:rowOff>
    </xdr:from>
    <xdr:to>
      <xdr:col>1</xdr:col>
      <xdr:colOff>5229225</xdr:colOff>
      <xdr:row>50</xdr:row>
      <xdr:rowOff>180975</xdr:rowOff>
    </xdr:to>
    <xdr:sp macro="" textlink="">
      <xdr:nvSpPr>
        <xdr:cNvPr id="12" name="Arrière-plan" descr="Arrière-plan">
          <a:extLst>
            <a:ext uri="{FF2B5EF4-FFF2-40B4-BE49-F238E27FC236}">
              <a16:creationId xmlns:a16="http://schemas.microsoft.com/office/drawing/2014/main" id="{E13971CC-080F-4DAE-B8FA-496D2C133AFB}"/>
            </a:ext>
          </a:extLst>
        </xdr:cNvPr>
        <xdr:cNvSpPr/>
      </xdr:nvSpPr>
      <xdr:spPr>
        <a:xfrm>
          <a:off x="342900" y="352425"/>
          <a:ext cx="5734050" cy="99345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547701</xdr:colOff>
      <xdr:row>2</xdr:row>
      <xdr:rowOff>66675</xdr:rowOff>
    </xdr:from>
    <xdr:to>
      <xdr:col>1</xdr:col>
      <xdr:colOff>4948224</xdr:colOff>
      <xdr:row>2</xdr:row>
      <xdr:rowOff>66675</xdr:rowOff>
    </xdr:to>
    <xdr:cxnSp macro="">
      <xdr:nvCxnSpPr>
        <xdr:cNvPr id="13" name="Trait inférieur" descr="Ligne décorative">
          <a:extLst>
            <a:ext uri="{FF2B5EF4-FFF2-40B4-BE49-F238E27FC236}">
              <a16:creationId xmlns:a16="http://schemas.microsoft.com/office/drawing/2014/main" id="{3DA0844B-621E-440D-BB44-EBD64C36DA6E}"/>
            </a:ext>
          </a:extLst>
        </xdr:cNvPr>
        <xdr:cNvCxnSpPr>
          <a:cxnSpLocks/>
        </xdr:cNvCxnSpPr>
      </xdr:nvCxnSpPr>
      <xdr:spPr>
        <a:xfrm>
          <a:off x="547701" y="1019175"/>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547701</xdr:colOff>
      <xdr:row>0</xdr:row>
      <xdr:rowOff>447675</xdr:rowOff>
    </xdr:from>
    <xdr:to>
      <xdr:col>1</xdr:col>
      <xdr:colOff>4951420</xdr:colOff>
      <xdr:row>1</xdr:row>
      <xdr:rowOff>171517</xdr:rowOff>
    </xdr:to>
    <xdr:sp macro="" textlink="">
      <xdr:nvSpPr>
        <xdr:cNvPr id="14" name="Étape" descr="Fonctions conditionnelles : SOMME.SI&#10;">
          <a:extLst>
            <a:ext uri="{FF2B5EF4-FFF2-40B4-BE49-F238E27FC236}">
              <a16:creationId xmlns:a16="http://schemas.microsoft.com/office/drawing/2014/main" id="{E5101E90-F65F-4828-8F0F-8C81FC6BA16C}"/>
            </a:ext>
          </a:extLst>
        </xdr:cNvPr>
        <xdr:cNvSpPr txBox="1"/>
      </xdr:nvSpPr>
      <xdr:spPr>
        <a:xfrm>
          <a:off x="547701" y="447675"/>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conditionnelles - SOMME.SI</a:t>
          </a:r>
        </a:p>
      </xdr:txBody>
    </xdr:sp>
    <xdr:clientData/>
  </xdr:twoCellAnchor>
  <xdr:twoCellAnchor editAs="absolute">
    <xdr:from>
      <xdr:col>0</xdr:col>
      <xdr:colOff>547701</xdr:colOff>
      <xdr:row>46</xdr:row>
      <xdr:rowOff>173567</xdr:rowOff>
    </xdr:from>
    <xdr:to>
      <xdr:col>1</xdr:col>
      <xdr:colOff>4948224</xdr:colOff>
      <xdr:row>46</xdr:row>
      <xdr:rowOff>173567</xdr:rowOff>
    </xdr:to>
    <xdr:cxnSp macro="">
      <xdr:nvCxnSpPr>
        <xdr:cNvPr id="15" name="Trait inférieur" descr="Ligne décorative">
          <a:extLst>
            <a:ext uri="{FF2B5EF4-FFF2-40B4-BE49-F238E27FC236}">
              <a16:creationId xmlns:a16="http://schemas.microsoft.com/office/drawing/2014/main" id="{0E4D3568-3142-479F-ACB8-E98BFE63F9BF}"/>
            </a:ext>
          </a:extLst>
        </xdr:cNvPr>
        <xdr:cNvCxnSpPr>
          <a:cxnSpLocks/>
        </xdr:cNvCxnSpPr>
      </xdr:nvCxnSpPr>
      <xdr:spPr>
        <a:xfrm>
          <a:off x="547701" y="951759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571500</xdr:colOff>
      <xdr:row>2</xdr:row>
      <xdr:rowOff>57149</xdr:rowOff>
    </xdr:from>
    <xdr:to>
      <xdr:col>1</xdr:col>
      <xdr:colOff>4953000</xdr:colOff>
      <xdr:row>7</xdr:row>
      <xdr:rowOff>161924</xdr:rowOff>
    </xdr:to>
    <xdr:sp macro="" textlink="">
      <xdr:nvSpPr>
        <xdr:cNvPr id="16" name="Présentation de l’ajout de nombres" descr="Les fonctions conditionnelles vous permettent d’additionner, de calculer la moyenne, de compter ou d’obtenir les valeurs minimum et maximum d’une plage par rapport à une condition donnée ou en fonction de critères que vous spécifiez. Par exemple, parmi tous les fruits de la liste, combien correspondent à des pommes ? Ou, combien d’oranges appartiennent au type Floride ?">
          <a:extLst>
            <a:ext uri="{FF2B5EF4-FFF2-40B4-BE49-F238E27FC236}">
              <a16:creationId xmlns:a16="http://schemas.microsoft.com/office/drawing/2014/main" id="{5ADF51D5-CC25-40CE-BF81-43A585F727BC}"/>
            </a:ext>
          </a:extLst>
        </xdr:cNvPr>
        <xdr:cNvSpPr txBox="1"/>
      </xdr:nvSpPr>
      <xdr:spPr>
        <a:xfrm>
          <a:off x="571500" y="1009649"/>
          <a:ext cx="5229225"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Les fonctions conditionnelles vous permettent d’additionner, de calculer la moyenne, de compter ou d’obtenir les valeurs minimum ou maximum d’une plage par rapport à une condition donnée ou en fonction de critères que vous spécifiez. Par</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exemple, parmi tous les fruits de la liste, combien correspondent à des pommes ? Ou, combien d’oranges appartiennent au type Floride ?</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523788</xdr:colOff>
      <xdr:row>8</xdr:row>
      <xdr:rowOff>25400</xdr:rowOff>
    </xdr:from>
    <xdr:to>
      <xdr:col>1</xdr:col>
      <xdr:colOff>4915231</xdr:colOff>
      <xdr:row>14</xdr:row>
      <xdr:rowOff>0</xdr:rowOff>
    </xdr:to>
    <xdr:grpSp>
      <xdr:nvGrpSpPr>
        <xdr:cNvPr id="17" name="Groupe 4">
          <a:extLst>
            <a:ext uri="{FF2B5EF4-FFF2-40B4-BE49-F238E27FC236}">
              <a16:creationId xmlns:a16="http://schemas.microsoft.com/office/drawing/2014/main" id="{202A3DBE-6198-4005-B9AA-24AFCF227B0D}"/>
            </a:ext>
          </a:extLst>
        </xdr:cNvPr>
        <xdr:cNvGrpSpPr/>
      </xdr:nvGrpSpPr>
      <xdr:grpSpPr>
        <a:xfrm>
          <a:off x="523788" y="2120900"/>
          <a:ext cx="5239168" cy="1117600"/>
          <a:chOff x="571500" y="1771650"/>
          <a:chExt cx="5229626" cy="1117600"/>
        </a:xfrm>
      </xdr:grpSpPr>
      <xdr:sp macro="" textlink="">
        <xdr:nvSpPr>
          <xdr:cNvPr id="18" name="txt_Étape" descr="SOMME.SI vous permet d’additionner une plage d’après un critère spécifique recherché dans une autre plage, par exemple le nombre de pommes dont vous disposez. Sélectionnez la cellule D17 et entrez =SOMME.SI(C3:C14,C17,D3:D14). La structure de la fonction SOMME.SI est la suivante :">
            <a:extLst>
              <a:ext uri="{FF2B5EF4-FFF2-40B4-BE49-F238E27FC236}">
                <a16:creationId xmlns:a16="http://schemas.microsoft.com/office/drawing/2014/main" id="{A1761802-2BAE-4BE0-BDAD-463F3A660B90}"/>
              </a:ext>
            </a:extLst>
          </xdr:cNvPr>
          <xdr:cNvSpPr txBox="1"/>
        </xdr:nvSpPr>
        <xdr:spPr>
          <a:xfrm>
            <a:off x="991382" y="1813608"/>
            <a:ext cx="4809744" cy="1075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vous permet d’additionner une plage d’après un critère spécifique recherché dans une autre plage, par exemple le nombre de pommes dont vous disposez. Sélectionnez la cellule D17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=SOMME.SI(C3:C14;C17;D3:D14)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xdr:txBody>
      </xdr:sp>
      <xdr:sp macro="" textlink="">
        <xdr:nvSpPr>
          <xdr:cNvPr id="19" name="shp_Étape" descr="1">
            <a:extLst>
              <a:ext uri="{FF2B5EF4-FFF2-40B4-BE49-F238E27FC236}">
                <a16:creationId xmlns:a16="http://schemas.microsoft.com/office/drawing/2014/main" id="{CB2A0B4B-8375-49FD-9D3A-0B7827A79CCC}"/>
              </a:ext>
            </a:extLst>
          </xdr:cNvPr>
          <xdr:cNvSpPr/>
        </xdr:nvSpPr>
        <xdr:spPr>
          <a:xfrm>
            <a:off x="571500" y="17716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1</xdr:col>
      <xdr:colOff>3743326</xdr:colOff>
      <xdr:row>47</xdr:row>
      <xdr:rowOff>116416</xdr:rowOff>
    </xdr:from>
    <xdr:to>
      <xdr:col>1</xdr:col>
      <xdr:colOff>4887529</xdr:colOff>
      <xdr:row>49</xdr:row>
      <xdr:rowOff>93015</xdr:rowOff>
    </xdr:to>
    <xdr:sp macro="" textlink="">
      <xdr:nvSpPr>
        <xdr:cNvPr id="20" name="BoutonSuivant" descr="Passer à la feuille suivante">
          <a:hlinkClick xmlns:r="http://schemas.openxmlformats.org/officeDocument/2006/relationships" r:id="rId3" tooltip="Cliquez ici pour passer à la feuille de calcul suivante"/>
          <a:extLst>
            <a:ext uri="{FF2B5EF4-FFF2-40B4-BE49-F238E27FC236}">
              <a16:creationId xmlns:a16="http://schemas.microsoft.com/office/drawing/2014/main" id="{6988B689-2246-4A4F-8A76-96EA9E6E91E9}"/>
            </a:ext>
          </a:extLst>
        </xdr:cNvPr>
        <xdr:cNvSpPr/>
      </xdr:nvSpPr>
      <xdr:spPr>
        <a:xfrm>
          <a:off x="4591051" y="9650941"/>
          <a:ext cx="1144203" cy="35759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0</xdr:col>
      <xdr:colOff>652334</xdr:colOff>
      <xdr:row>159</xdr:row>
      <xdr:rowOff>115851</xdr:rowOff>
    </xdr:from>
    <xdr:to>
      <xdr:col>1</xdr:col>
      <xdr:colOff>2562832</xdr:colOff>
      <xdr:row>162</xdr:row>
      <xdr:rowOff>91014</xdr:rowOff>
    </xdr:to>
    <xdr:sp macro="" textlink="">
      <xdr:nvSpPr>
        <xdr:cNvPr id="21" name="Bouton Suivant" descr="Retour au début, lien hypertexte vers la cellule A1">
          <a:hlinkClick xmlns:r="http://schemas.openxmlformats.org/officeDocument/2006/relationships" r:id="rId4" tooltip="Retour au début"/>
          <a:extLst>
            <a:ext uri="{FF2B5EF4-FFF2-40B4-BE49-F238E27FC236}">
              <a16:creationId xmlns:a16="http://schemas.microsoft.com/office/drawing/2014/main" id="{FC04F958-62D2-4F50-BACD-DDD00ED9E6BF}"/>
            </a:ext>
          </a:extLst>
        </xdr:cNvPr>
        <xdr:cNvSpPr/>
      </xdr:nvSpPr>
      <xdr:spPr>
        <a:xfrm>
          <a:off x="652334" y="31062576"/>
          <a:ext cx="2758223" cy="546663"/>
        </a:xfrm>
        <a:prstGeom prst="up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Retour au début</a:t>
          </a:r>
        </a:p>
      </xdr:txBody>
    </xdr:sp>
    <xdr:clientData/>
  </xdr:twoCellAnchor>
  <xdr:twoCellAnchor editAs="absolute">
    <xdr:from>
      <xdr:col>1</xdr:col>
      <xdr:colOff>3648075</xdr:colOff>
      <xdr:row>160</xdr:row>
      <xdr:rowOff>117555</xdr:rowOff>
    </xdr:from>
    <xdr:to>
      <xdr:col>1</xdr:col>
      <xdr:colOff>5027208</xdr:colOff>
      <xdr:row>162</xdr:row>
      <xdr:rowOff>93662</xdr:rowOff>
    </xdr:to>
    <xdr:sp macro="" textlink="">
      <xdr:nvSpPr>
        <xdr:cNvPr id="22" name="Bouton Suivant" descr="Bouton Étape suivante, lien hypertexte vers la feuille de calcul suivante">
          <a:hlinkClick xmlns:r="http://schemas.openxmlformats.org/officeDocument/2006/relationships" r:id="rId3" tooltip="Cliquez ici pour passer à la feuille de calcul suivante"/>
          <a:extLst>
            <a:ext uri="{FF2B5EF4-FFF2-40B4-BE49-F238E27FC236}">
              <a16:creationId xmlns:a16="http://schemas.microsoft.com/office/drawing/2014/main" id="{7F67E5BF-A43F-47A3-B29A-A75405144D7D}"/>
            </a:ext>
          </a:extLst>
        </xdr:cNvPr>
        <xdr:cNvSpPr/>
      </xdr:nvSpPr>
      <xdr:spPr>
        <a:xfrm>
          <a:off x="4495800" y="31254780"/>
          <a:ext cx="1379133" cy="357107"/>
        </a:xfrm>
        <a:prstGeom prst="rightArrowCallout">
          <a:avLst>
            <a:gd name="adj1" fmla="val 32829"/>
            <a:gd name="adj2" fmla="val 31524"/>
            <a:gd name="adj3" fmla="val 25000"/>
            <a:gd name="adj4" fmla="val 88429"/>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Étape suivante</a:t>
          </a:r>
        </a:p>
      </xdr:txBody>
    </xdr:sp>
    <xdr:clientData/>
  </xdr:twoCellAnchor>
  <xdr:twoCellAnchor>
    <xdr:from>
      <xdr:col>1</xdr:col>
      <xdr:colOff>2951640</xdr:colOff>
      <xdr:row>155</xdr:row>
      <xdr:rowOff>114033</xdr:rowOff>
    </xdr:from>
    <xdr:to>
      <xdr:col>1</xdr:col>
      <xdr:colOff>4819447</xdr:colOff>
      <xdr:row>157</xdr:row>
      <xdr:rowOff>43391</xdr:rowOff>
    </xdr:to>
    <xdr:sp macro="" textlink="">
      <xdr:nvSpPr>
        <xdr:cNvPr id="23" name="Étape" descr="Formation Excel gratuite en ligne, lien hypertexte vers le web&#10;">
          <a:hlinkClick xmlns:r="http://schemas.openxmlformats.org/officeDocument/2006/relationships" r:id="rId5" tooltip="Sélectionnez ce lien pour accéder sur le web à une formation gratuite sur Excel"/>
          <a:extLst>
            <a:ext uri="{FF2B5EF4-FFF2-40B4-BE49-F238E27FC236}">
              <a16:creationId xmlns:a16="http://schemas.microsoft.com/office/drawing/2014/main" id="{26431487-E4FE-46DE-B801-7384EA6725D0}"/>
            </a:ext>
          </a:extLst>
        </xdr:cNvPr>
        <xdr:cNvSpPr txBox="1"/>
      </xdr:nvSpPr>
      <xdr:spPr>
        <a:xfrm>
          <a:off x="3799365" y="30298758"/>
          <a:ext cx="1867807" cy="310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clientData/>
  </xdr:twoCellAnchor>
  <xdr:twoCellAnchor>
    <xdr:from>
      <xdr:col>1</xdr:col>
      <xdr:colOff>2486456</xdr:colOff>
      <xdr:row>155</xdr:row>
      <xdr:rowOff>108471</xdr:rowOff>
    </xdr:from>
    <xdr:to>
      <xdr:col>1</xdr:col>
      <xdr:colOff>2981188</xdr:colOff>
      <xdr:row>157</xdr:row>
      <xdr:rowOff>182303</xdr:rowOff>
    </xdr:to>
    <xdr:pic>
      <xdr:nvPicPr>
        <xdr:cNvPr id="24"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FB02B2C6-8A9C-4962-A6F3-9E2D5259AF2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30293196"/>
          <a:ext cx="494732" cy="454832"/>
        </a:xfrm>
        <a:prstGeom prst="rect">
          <a:avLst/>
        </a:prstGeom>
      </xdr:spPr>
    </xdr:pic>
    <xdr:clientData/>
  </xdr:twoCellAnchor>
  <xdr:twoCellAnchor>
    <xdr:from>
      <xdr:col>1</xdr:col>
      <xdr:colOff>2951641</xdr:colOff>
      <xdr:row>153</xdr:row>
      <xdr:rowOff>47230</xdr:rowOff>
    </xdr:from>
    <xdr:to>
      <xdr:col>1</xdr:col>
      <xdr:colOff>5221505</xdr:colOff>
      <xdr:row>154</xdr:row>
      <xdr:rowOff>173716</xdr:rowOff>
    </xdr:to>
    <xdr:sp macro="" textlink="">
      <xdr:nvSpPr>
        <xdr:cNvPr id="25" name="Étape" descr="À propos de la fonction MAX.SI.ENS, lien hypertexte vers le web&#10;&#10;">
          <a:hlinkClick xmlns:r="http://schemas.openxmlformats.org/officeDocument/2006/relationships" r:id="rId8" tooltip="Sélectionnez ce lien pour accéder sur le web à des informations complémentaires sur la fonction MAX.SI.ENS"/>
          <a:extLst>
            <a:ext uri="{FF2B5EF4-FFF2-40B4-BE49-F238E27FC236}">
              <a16:creationId xmlns:a16="http://schemas.microsoft.com/office/drawing/2014/main" id="{80C1DBD1-7B35-4649-9A6F-5489E6BE32F0}"/>
            </a:ext>
          </a:extLst>
        </xdr:cNvPr>
        <xdr:cNvSpPr txBox="1"/>
      </xdr:nvSpPr>
      <xdr:spPr>
        <a:xfrm>
          <a:off x="3799366" y="29850955"/>
          <a:ext cx="2269864"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MAX.SI.ENS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153</xdr:row>
      <xdr:rowOff>48296</xdr:rowOff>
    </xdr:from>
    <xdr:to>
      <xdr:col>1</xdr:col>
      <xdr:colOff>2981188</xdr:colOff>
      <xdr:row>155</xdr:row>
      <xdr:rowOff>115500</xdr:rowOff>
    </xdr:to>
    <xdr:pic>
      <xdr:nvPicPr>
        <xdr:cNvPr id="26"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A2D501ED-EBCC-48E4-9E58-C30764D0BC9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9852021"/>
          <a:ext cx="494732" cy="448204"/>
        </a:xfrm>
        <a:prstGeom prst="rect">
          <a:avLst/>
        </a:prstGeom>
      </xdr:spPr>
    </xdr:pic>
    <xdr:clientData/>
  </xdr:twoCellAnchor>
  <xdr:twoCellAnchor>
    <xdr:from>
      <xdr:col>1</xdr:col>
      <xdr:colOff>2961166</xdr:colOff>
      <xdr:row>151</xdr:row>
      <xdr:rowOff>13892</xdr:rowOff>
    </xdr:from>
    <xdr:to>
      <xdr:col>1</xdr:col>
      <xdr:colOff>5441632</xdr:colOff>
      <xdr:row>153</xdr:row>
      <xdr:rowOff>76199</xdr:rowOff>
    </xdr:to>
    <xdr:sp macro="" textlink="">
      <xdr:nvSpPr>
        <xdr:cNvPr id="27" name="Étape" descr="À propos de la fonction MOYENNE.SI.ENS, lien hypertexte vers le web&#10;&#10;">
          <a:hlinkClick xmlns:r="http://schemas.openxmlformats.org/officeDocument/2006/relationships" r:id="rId9" tooltip="Sélectionnez ce lien pour accéder sur le web à des informations complémentaires sur la fonction MOYENNE.SI.ENS"/>
          <a:extLst>
            <a:ext uri="{FF2B5EF4-FFF2-40B4-BE49-F238E27FC236}">
              <a16:creationId xmlns:a16="http://schemas.microsoft.com/office/drawing/2014/main" id="{217911D0-C9A5-4C18-8D8F-67F5BA89D21F}"/>
            </a:ext>
          </a:extLst>
        </xdr:cNvPr>
        <xdr:cNvSpPr txBox="1"/>
      </xdr:nvSpPr>
      <xdr:spPr>
        <a:xfrm>
          <a:off x="3808891" y="29436617"/>
          <a:ext cx="2480466" cy="443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MOYENNE.SI.ENS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br>
            <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150</xdr:row>
      <xdr:rowOff>186409</xdr:rowOff>
    </xdr:from>
    <xdr:to>
      <xdr:col>1</xdr:col>
      <xdr:colOff>2981188</xdr:colOff>
      <xdr:row>153</xdr:row>
      <xdr:rowOff>63113</xdr:rowOff>
    </xdr:to>
    <xdr:pic>
      <xdr:nvPicPr>
        <xdr:cNvPr id="28"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E4F73D47-65A7-4CAE-985E-130945189F6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9418634"/>
          <a:ext cx="494732" cy="448204"/>
        </a:xfrm>
        <a:prstGeom prst="rect">
          <a:avLst/>
        </a:prstGeom>
      </xdr:spPr>
    </xdr:pic>
    <xdr:clientData/>
  </xdr:twoCellAnchor>
  <xdr:twoCellAnchor>
    <xdr:from>
      <xdr:col>1</xdr:col>
      <xdr:colOff>179866</xdr:colOff>
      <xdr:row>150</xdr:row>
      <xdr:rowOff>185343</xdr:rowOff>
    </xdr:from>
    <xdr:to>
      <xdr:col>1</xdr:col>
      <xdr:colOff>2535885</xdr:colOff>
      <xdr:row>152</xdr:row>
      <xdr:rowOff>121329</xdr:rowOff>
    </xdr:to>
    <xdr:sp macro="" textlink="">
      <xdr:nvSpPr>
        <xdr:cNvPr id="29" name="Étape" descr="À propos de la fonction MOYENNE.SI, lien hypertexte vers le web&#10;&#10;">
          <a:hlinkClick xmlns:r="http://schemas.openxmlformats.org/officeDocument/2006/relationships" r:id="rId10" tooltip="Sélectionnez ce lien pour accéder sur le web à des informations complémentaires sur la fonction MOYENNE.SI"/>
          <a:extLst>
            <a:ext uri="{FF2B5EF4-FFF2-40B4-BE49-F238E27FC236}">
              <a16:creationId xmlns:a16="http://schemas.microsoft.com/office/drawing/2014/main" id="{A3E348CB-3899-404A-A14A-7F824C20AF59}"/>
            </a:ext>
          </a:extLst>
        </xdr:cNvPr>
        <xdr:cNvSpPr txBox="1"/>
      </xdr:nvSpPr>
      <xdr:spPr>
        <a:xfrm>
          <a:off x="1027591" y="29417568"/>
          <a:ext cx="2356019"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MOYENNE.SI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150</xdr:row>
      <xdr:rowOff>184027</xdr:rowOff>
    </xdr:from>
    <xdr:to>
      <xdr:col>1</xdr:col>
      <xdr:colOff>209413</xdr:colOff>
      <xdr:row>153</xdr:row>
      <xdr:rowOff>60731</xdr:rowOff>
    </xdr:to>
    <xdr:pic>
      <xdr:nvPicPr>
        <xdr:cNvPr id="30" name="Graphisme 22" descr="Flèche">
          <a:hlinkClick xmlns:r="http://schemas.openxmlformats.org/officeDocument/2006/relationships" r:id="rId10" tooltip="Sélectionnez ce lien pour accéder à des informations complémentaires sur le web"/>
          <a:extLst>
            <a:ext uri="{FF2B5EF4-FFF2-40B4-BE49-F238E27FC236}">
              <a16:creationId xmlns:a16="http://schemas.microsoft.com/office/drawing/2014/main" id="{C57AFCF3-3BCA-4499-A46A-A44280E1564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9416252"/>
          <a:ext cx="494732" cy="448204"/>
        </a:xfrm>
        <a:prstGeom prst="rect">
          <a:avLst/>
        </a:prstGeom>
      </xdr:spPr>
    </xdr:pic>
    <xdr:clientData/>
  </xdr:twoCellAnchor>
  <xdr:twoCellAnchor>
    <xdr:from>
      <xdr:col>1</xdr:col>
      <xdr:colOff>179865</xdr:colOff>
      <xdr:row>153</xdr:row>
      <xdr:rowOff>47230</xdr:rowOff>
    </xdr:from>
    <xdr:to>
      <xdr:col>1</xdr:col>
      <xdr:colOff>2390775</xdr:colOff>
      <xdr:row>154</xdr:row>
      <xdr:rowOff>173716</xdr:rowOff>
    </xdr:to>
    <xdr:sp macro="" textlink="">
      <xdr:nvSpPr>
        <xdr:cNvPr id="31" name="Étape" descr="À propos de la fonction MIN.SI.ENS, lien hypertexte vers le web&#10;&#10;">
          <a:hlinkClick xmlns:r="http://schemas.openxmlformats.org/officeDocument/2006/relationships" r:id="rId11" tooltip="Sélectionnez ce lien pour accéder sur le web à des informations complémentaires sur la fonction MIN.SI.ENS"/>
          <a:extLst>
            <a:ext uri="{FF2B5EF4-FFF2-40B4-BE49-F238E27FC236}">
              <a16:creationId xmlns:a16="http://schemas.microsoft.com/office/drawing/2014/main" id="{8D4916C5-7012-4F98-8B08-A430AA4C2209}"/>
            </a:ext>
          </a:extLst>
        </xdr:cNvPr>
        <xdr:cNvSpPr txBox="1"/>
      </xdr:nvSpPr>
      <xdr:spPr>
        <a:xfrm>
          <a:off x="1027590" y="29850955"/>
          <a:ext cx="2210910"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MIN.SI.ENS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153</xdr:row>
      <xdr:rowOff>39961</xdr:rowOff>
    </xdr:from>
    <xdr:to>
      <xdr:col>1</xdr:col>
      <xdr:colOff>209413</xdr:colOff>
      <xdr:row>155</xdr:row>
      <xdr:rowOff>107165</xdr:rowOff>
    </xdr:to>
    <xdr:pic>
      <xdr:nvPicPr>
        <xdr:cNvPr id="32" name="Graphisme 22" descr="Flèche">
          <a:hlinkClick xmlns:r="http://schemas.openxmlformats.org/officeDocument/2006/relationships" r:id="rId11" tooltip="Sélectionnez ce lien pour accéder à des informations complémentaires sur le web"/>
          <a:extLst>
            <a:ext uri="{FF2B5EF4-FFF2-40B4-BE49-F238E27FC236}">
              <a16:creationId xmlns:a16="http://schemas.microsoft.com/office/drawing/2014/main" id="{EC38A622-C38F-43B7-98A9-2C92AE935D3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9843686"/>
          <a:ext cx="494732" cy="448204"/>
        </a:xfrm>
        <a:prstGeom prst="rect">
          <a:avLst/>
        </a:prstGeom>
      </xdr:spPr>
    </xdr:pic>
    <xdr:clientData/>
  </xdr:twoCellAnchor>
  <xdr:twoCellAnchor>
    <xdr:from>
      <xdr:col>1</xdr:col>
      <xdr:colOff>2951641</xdr:colOff>
      <xdr:row>148</xdr:row>
      <xdr:rowOff>123429</xdr:rowOff>
    </xdr:from>
    <xdr:to>
      <xdr:col>1</xdr:col>
      <xdr:colOff>5000625</xdr:colOff>
      <xdr:row>151</xdr:row>
      <xdr:rowOff>9524</xdr:rowOff>
    </xdr:to>
    <xdr:sp macro="" textlink="">
      <xdr:nvSpPr>
        <xdr:cNvPr id="33" name="Étape" descr="À propos de la fonction NB.SI.ENS, lien hypertexte vers le web&#10;&#10;">
          <a:hlinkClick xmlns:r="http://schemas.openxmlformats.org/officeDocument/2006/relationships" r:id="rId12" tooltip="Sélectionnez ce lien pour accéder sur le web à des informations complémentaires sur la fonction NB.SI.ENS"/>
          <a:extLst>
            <a:ext uri="{FF2B5EF4-FFF2-40B4-BE49-F238E27FC236}">
              <a16:creationId xmlns:a16="http://schemas.microsoft.com/office/drawing/2014/main" id="{E1BA3E45-754E-4D56-B456-520B32D5E8AE}"/>
            </a:ext>
          </a:extLst>
        </xdr:cNvPr>
        <xdr:cNvSpPr txBox="1"/>
      </xdr:nvSpPr>
      <xdr:spPr>
        <a:xfrm>
          <a:off x="3799366" y="28974654"/>
          <a:ext cx="2048984" cy="457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br>
            <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b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148</xdr:row>
      <xdr:rowOff>143546</xdr:rowOff>
    </xdr:from>
    <xdr:to>
      <xdr:col>1</xdr:col>
      <xdr:colOff>2981188</xdr:colOff>
      <xdr:row>151</xdr:row>
      <xdr:rowOff>20250</xdr:rowOff>
    </xdr:to>
    <xdr:pic>
      <xdr:nvPicPr>
        <xdr:cNvPr id="34" name="Graphisme 22" descr="Flèche">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C7A4357A-EB4C-4A3C-823A-7102089C8E1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8994771"/>
          <a:ext cx="494732" cy="448204"/>
        </a:xfrm>
        <a:prstGeom prst="rect">
          <a:avLst/>
        </a:prstGeom>
      </xdr:spPr>
    </xdr:pic>
    <xdr:clientData/>
  </xdr:twoCellAnchor>
  <xdr:twoCellAnchor>
    <xdr:from>
      <xdr:col>1</xdr:col>
      <xdr:colOff>2951641</xdr:colOff>
      <xdr:row>146</xdr:row>
      <xdr:rowOff>90093</xdr:rowOff>
    </xdr:from>
    <xdr:to>
      <xdr:col>1</xdr:col>
      <xdr:colOff>5135350</xdr:colOff>
      <xdr:row>148</xdr:row>
      <xdr:rowOff>19729</xdr:rowOff>
    </xdr:to>
    <xdr:sp macro="" textlink="">
      <xdr:nvSpPr>
        <xdr:cNvPr id="35" name="Étape" descr="À propos de la fonction SOMME.SI.ENS, lien hypertexte vers le web&#10;&#10;">
          <a:hlinkClick xmlns:r="http://schemas.openxmlformats.org/officeDocument/2006/relationships" r:id="rId13" tooltip="Sélectionnez ce lien pour accéder sur le web à des informations complémentaires sur la fonction SOMME.SI.ENS"/>
          <a:extLst>
            <a:ext uri="{FF2B5EF4-FFF2-40B4-BE49-F238E27FC236}">
              <a16:creationId xmlns:a16="http://schemas.microsoft.com/office/drawing/2014/main" id="{E1305D54-1B25-456B-AE7F-C9E4194CDCA2}"/>
            </a:ext>
          </a:extLst>
        </xdr:cNvPr>
        <xdr:cNvSpPr txBox="1"/>
      </xdr:nvSpPr>
      <xdr:spPr>
        <a:xfrm>
          <a:off x="3799366" y="28560318"/>
          <a:ext cx="2183709" cy="310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SOMME.SI.ENS</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1</xdr:col>
      <xdr:colOff>2486456</xdr:colOff>
      <xdr:row>146</xdr:row>
      <xdr:rowOff>97509</xdr:rowOff>
    </xdr:from>
    <xdr:to>
      <xdr:col>1</xdr:col>
      <xdr:colOff>2981188</xdr:colOff>
      <xdr:row>148</xdr:row>
      <xdr:rowOff>158363</xdr:rowOff>
    </xdr:to>
    <xdr:pic>
      <xdr:nvPicPr>
        <xdr:cNvPr id="36" name="Graphisme 22" descr="Flèche">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5DB68EF3-B8C2-45D1-ADEF-82B9C9FB740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3334181" y="28567734"/>
          <a:ext cx="494732" cy="441854"/>
        </a:xfrm>
        <a:prstGeom prst="rect">
          <a:avLst/>
        </a:prstGeom>
      </xdr:spPr>
    </xdr:pic>
    <xdr:clientData/>
  </xdr:twoCellAnchor>
  <xdr:twoCellAnchor>
    <xdr:from>
      <xdr:col>1</xdr:col>
      <xdr:colOff>179866</xdr:colOff>
      <xdr:row>146</xdr:row>
      <xdr:rowOff>90093</xdr:rowOff>
    </xdr:from>
    <xdr:to>
      <xdr:col>1</xdr:col>
      <xdr:colOff>2219984</xdr:colOff>
      <xdr:row>148</xdr:row>
      <xdr:rowOff>19729</xdr:rowOff>
    </xdr:to>
    <xdr:sp macro="" textlink="">
      <xdr:nvSpPr>
        <xdr:cNvPr id="37" name="Étape" descr="À propos de la fonction SOMME.SI, lien hypertexte vers le web&#10;&#10;">
          <a:hlinkClick xmlns:r="http://schemas.openxmlformats.org/officeDocument/2006/relationships" r:id="rId14" tooltip="Sélectionnez ce lien pour accéder sur le web à des informations complémentaires sur la fonction SOMME.SI"/>
          <a:extLst>
            <a:ext uri="{FF2B5EF4-FFF2-40B4-BE49-F238E27FC236}">
              <a16:creationId xmlns:a16="http://schemas.microsoft.com/office/drawing/2014/main" id="{01AA2BFF-88D5-4CE2-843A-66C1B9211F82}"/>
            </a:ext>
          </a:extLst>
        </xdr:cNvPr>
        <xdr:cNvSpPr txBox="1"/>
      </xdr:nvSpPr>
      <xdr:spPr>
        <a:xfrm>
          <a:off x="1027591" y="28560318"/>
          <a:ext cx="2040118" cy="310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146</xdr:row>
      <xdr:rowOff>97509</xdr:rowOff>
    </xdr:from>
    <xdr:to>
      <xdr:col>1</xdr:col>
      <xdr:colOff>209413</xdr:colOff>
      <xdr:row>148</xdr:row>
      <xdr:rowOff>158363</xdr:rowOff>
    </xdr:to>
    <xdr:pic>
      <xdr:nvPicPr>
        <xdr:cNvPr id="38"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29BFE0DE-3C6B-497D-B420-A147245C876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8567734"/>
          <a:ext cx="494732" cy="441854"/>
        </a:xfrm>
        <a:prstGeom prst="rect">
          <a:avLst/>
        </a:prstGeom>
      </xdr:spPr>
    </xdr:pic>
    <xdr:clientData/>
  </xdr:twoCellAnchor>
  <xdr:twoCellAnchor>
    <xdr:from>
      <xdr:col>1</xdr:col>
      <xdr:colOff>179866</xdr:colOff>
      <xdr:row>149</xdr:row>
      <xdr:rowOff>18655</xdr:rowOff>
    </xdr:from>
    <xdr:to>
      <xdr:col>1</xdr:col>
      <xdr:colOff>2266950</xdr:colOff>
      <xdr:row>150</xdr:row>
      <xdr:rowOff>145141</xdr:rowOff>
    </xdr:to>
    <xdr:sp macro="" textlink="">
      <xdr:nvSpPr>
        <xdr:cNvPr id="39" name="Étape" descr="À propos de la fonction NB.SI, lien hypertexte vers le web&#10;&#10;">
          <a:hlinkClick xmlns:r="http://schemas.openxmlformats.org/officeDocument/2006/relationships" r:id="rId15" tooltip="Sélectionnez ce lien pour accéder sur le web à des informations complémentaires sur la fonction NB.SI"/>
          <a:extLst>
            <a:ext uri="{FF2B5EF4-FFF2-40B4-BE49-F238E27FC236}">
              <a16:creationId xmlns:a16="http://schemas.microsoft.com/office/drawing/2014/main" id="{E894C7C9-1F0B-435E-929A-99F9191C5288}"/>
            </a:ext>
          </a:extLst>
        </xdr:cNvPr>
        <xdr:cNvSpPr txBox="1"/>
      </xdr:nvSpPr>
      <xdr:spPr>
        <a:xfrm>
          <a:off x="1027591" y="29060380"/>
          <a:ext cx="2087084"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NB.SI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clientData/>
  </xdr:twoCellAnchor>
  <xdr:twoCellAnchor>
    <xdr:from>
      <xdr:col>0</xdr:col>
      <xdr:colOff>562406</xdr:colOff>
      <xdr:row>148</xdr:row>
      <xdr:rowOff>137593</xdr:rowOff>
    </xdr:from>
    <xdr:to>
      <xdr:col>1</xdr:col>
      <xdr:colOff>209413</xdr:colOff>
      <xdr:row>151</xdr:row>
      <xdr:rowOff>14297</xdr:rowOff>
    </xdr:to>
    <xdr:pic>
      <xdr:nvPicPr>
        <xdr:cNvPr id="40" name="Graphisme 22" descr="Flèche">
          <a:hlinkClick xmlns:r="http://schemas.openxmlformats.org/officeDocument/2006/relationships" r:id="rId15" tooltip="Sélectionnez ce lien pour accéder à des informations complémentaires sur le web"/>
          <a:extLst>
            <a:ext uri="{FF2B5EF4-FFF2-40B4-BE49-F238E27FC236}">
              <a16:creationId xmlns:a16="http://schemas.microsoft.com/office/drawing/2014/main" id="{8023BE97-DCDC-4B3B-8EC5-F14B5AD85DC8}"/>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28988818"/>
          <a:ext cx="494732" cy="448204"/>
        </a:xfrm>
        <a:prstGeom prst="rect">
          <a:avLst/>
        </a:prstGeom>
      </xdr:spPr>
    </xdr:pic>
    <xdr:clientData/>
  </xdr:twoCellAnchor>
  <xdr:twoCellAnchor>
    <xdr:from>
      <xdr:col>1</xdr:col>
      <xdr:colOff>179866</xdr:colOff>
      <xdr:row>155</xdr:row>
      <xdr:rowOff>152005</xdr:rowOff>
    </xdr:from>
    <xdr:to>
      <xdr:col>1</xdr:col>
      <xdr:colOff>2080042</xdr:colOff>
      <xdr:row>157</xdr:row>
      <xdr:rowOff>87991</xdr:rowOff>
    </xdr:to>
    <xdr:sp macro="" textlink="">
      <xdr:nvSpPr>
        <xdr:cNvPr id="41" name="Étape" descr="Créer une liste déroulante, lien hypertexte vers le web">
          <a:hlinkClick xmlns:r="http://schemas.openxmlformats.org/officeDocument/2006/relationships" r:id="rId16" tooltip="Sélectionnez ce lien pour accéder sur le web à des informations complémentaires sur la création d’une liste déroulante"/>
          <a:extLst>
            <a:ext uri="{FF2B5EF4-FFF2-40B4-BE49-F238E27FC236}">
              <a16:creationId xmlns:a16="http://schemas.microsoft.com/office/drawing/2014/main" id="{775E5FBC-265E-49E7-8666-041769F677AD}"/>
            </a:ext>
          </a:extLst>
        </xdr:cNvPr>
        <xdr:cNvSpPr txBox="1"/>
      </xdr:nvSpPr>
      <xdr:spPr>
        <a:xfrm>
          <a:off x="1027591" y="30336730"/>
          <a:ext cx="1900176" cy="316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Créer une liste déroulante</a:t>
          </a:r>
        </a:p>
      </xdr:txBody>
    </xdr:sp>
    <xdr:clientData/>
  </xdr:twoCellAnchor>
  <xdr:twoCellAnchor>
    <xdr:from>
      <xdr:col>0</xdr:col>
      <xdr:colOff>562406</xdr:colOff>
      <xdr:row>155</xdr:row>
      <xdr:rowOff>86396</xdr:rowOff>
    </xdr:from>
    <xdr:to>
      <xdr:col>1</xdr:col>
      <xdr:colOff>209413</xdr:colOff>
      <xdr:row>157</xdr:row>
      <xdr:rowOff>153600</xdr:rowOff>
    </xdr:to>
    <xdr:pic>
      <xdr:nvPicPr>
        <xdr:cNvPr id="42" name="Graphisme 22" descr="Flèche">
          <a:hlinkClick xmlns:r="http://schemas.openxmlformats.org/officeDocument/2006/relationships" r:id="rId16" tooltip="Sélectionnez ce lien pour accéder à des informations complémentaires sur le web"/>
          <a:extLst>
            <a:ext uri="{FF2B5EF4-FFF2-40B4-BE49-F238E27FC236}">
              <a16:creationId xmlns:a16="http://schemas.microsoft.com/office/drawing/2014/main" id="{19C1CEF9-48A8-4691-9531-9EFE910C855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62406" y="30271121"/>
          <a:ext cx="494732" cy="448204"/>
        </a:xfrm>
        <a:prstGeom prst="rect">
          <a:avLst/>
        </a:prstGeom>
      </xdr:spPr>
    </xdr:pic>
    <xdr:clientData/>
  </xdr:twoCellAnchor>
  <xdr:twoCellAnchor editAs="absolute">
    <xdr:from>
      <xdr:col>0</xdr:col>
      <xdr:colOff>523788</xdr:colOff>
      <xdr:row>25</xdr:row>
      <xdr:rowOff>22225</xdr:rowOff>
    </xdr:from>
    <xdr:to>
      <xdr:col>1</xdr:col>
      <xdr:colOff>4915231</xdr:colOff>
      <xdr:row>31</xdr:row>
      <xdr:rowOff>171449</xdr:rowOff>
    </xdr:to>
    <xdr:grpSp>
      <xdr:nvGrpSpPr>
        <xdr:cNvPr id="43" name="Groupe 3">
          <a:extLst>
            <a:ext uri="{FF2B5EF4-FFF2-40B4-BE49-F238E27FC236}">
              <a16:creationId xmlns:a16="http://schemas.microsoft.com/office/drawing/2014/main" id="{31196F1A-4C71-450B-8CDA-6240EBB5DDB2}"/>
            </a:ext>
          </a:extLst>
        </xdr:cNvPr>
        <xdr:cNvGrpSpPr/>
      </xdr:nvGrpSpPr>
      <xdr:grpSpPr>
        <a:xfrm>
          <a:off x="523788" y="5356225"/>
          <a:ext cx="5239168" cy="1292224"/>
          <a:chOff x="571500" y="4610100"/>
          <a:chExt cx="5229626" cy="1292224"/>
        </a:xfrm>
      </xdr:grpSpPr>
      <xdr:sp macro="" textlink="">
        <xdr:nvSpPr>
          <xdr:cNvPr id="44" name="txt_Étape" descr="SOMME.SI.ENS est identique à SOMME.SI, si ce n’est qu’elle vous permet d’utiliser plusieurs critères. Par exemple, vous pouvez ici effectuer une recherche sur les critères Fruits et Type, et pas seulement sur Fruits. Sélectionnez la cellule H17 et entrez =SOMME.SI.ENS(H3:H14,F3:F14,F17,G3:G14,G17). La structure de la fonction SOMME.SI.ENS est la suivante :">
            <a:extLst>
              <a:ext uri="{FF2B5EF4-FFF2-40B4-BE49-F238E27FC236}">
                <a16:creationId xmlns:a16="http://schemas.microsoft.com/office/drawing/2014/main" id="{58D25C97-969B-4D36-9DD4-77CB1F4FF5B6}"/>
              </a:ext>
            </a:extLst>
          </xdr:cNvPr>
          <xdr:cNvSpPr txBox="1"/>
        </xdr:nvSpPr>
        <xdr:spPr>
          <a:xfrm>
            <a:off x="991382" y="4652057"/>
            <a:ext cx="4809744" cy="1250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identique à SOMME.SI, si ce n’est qu’elle vous permet d’utiliser plusieurs critères. Par exemple, vous pouvez ici effectuer une recherche sur les critères Fruits et Type, et pas seulement sur Fruits. Sélectionnez la cellule H17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=SOMME.SI.ENS(H3:H14;F3:F14;F17;G3:G14;G17)</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SOMME.SI.ENS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45" name="shp_Étape" descr="2">
            <a:extLst>
              <a:ext uri="{FF2B5EF4-FFF2-40B4-BE49-F238E27FC236}">
                <a16:creationId xmlns:a16="http://schemas.microsoft.com/office/drawing/2014/main" id="{DB71E44B-0965-4619-A99C-C9B07C5ED2EC}"/>
              </a:ext>
            </a:extLst>
          </xdr:cNvPr>
          <xdr:cNvSpPr/>
        </xdr:nvSpPr>
        <xdr:spPr>
          <a:xfrm>
            <a:off x="571500" y="461010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361949</xdr:colOff>
      <xdr:row>122</xdr:row>
      <xdr:rowOff>22225</xdr:rowOff>
    </xdr:from>
    <xdr:to>
      <xdr:col>1</xdr:col>
      <xdr:colOff>5238749</xdr:colOff>
      <xdr:row>142</xdr:row>
      <xdr:rowOff>38100</xdr:rowOff>
    </xdr:to>
    <xdr:grpSp>
      <xdr:nvGrpSpPr>
        <xdr:cNvPr id="46" name="Informations complémentaires sur SOMME.SI" descr="More about the SUM function &#10;In some of the above tips, we taught you how to use the SUM function. Here are &#10;more details about it Double-click a yellow cell on the right, and then read along with the text below. &#10;If the SUM function could talk, it would say this: &#10;Sum up the following: ...the values in &#10;cells D38, D39, D40, and 041. &#10;=SUM(D38:D41) &#10;Here's another way it can be used: &#10;Sum the following: ...the value in cell 049, ...the values in cells G48, G49, G50, and G51, ...and 100&#10;=SUM(D48,G48:G51,100) &#10;The formula above uses the following: &#10;A single cell reference, which is the address&quot; or &quot;name' of a cell. D48 is the single cell reference in the formula above. &#10;A range of cells, which is a series of cells starting at one cell and ending at another. &#10;G48:G51 is the range of cells in the formula. &#10;A constant. The constant in this formula is the number 100">
          <a:extLst>
            <a:ext uri="{FF2B5EF4-FFF2-40B4-BE49-F238E27FC236}">
              <a16:creationId xmlns:a16="http://schemas.microsoft.com/office/drawing/2014/main" id="{666AE139-0171-4CEF-82B5-839EC3D49AAD}"/>
            </a:ext>
          </a:extLst>
        </xdr:cNvPr>
        <xdr:cNvGrpSpPr/>
      </xdr:nvGrpSpPr>
      <xdr:grpSpPr>
        <a:xfrm>
          <a:off x="361949" y="23891875"/>
          <a:ext cx="5724525" cy="3854450"/>
          <a:chOff x="347872" y="13364013"/>
          <a:chExt cx="5695950" cy="3848100"/>
        </a:xfrm>
      </xdr:grpSpPr>
      <xdr:sp macro="" textlink="">
        <xdr:nvSpPr>
          <xdr:cNvPr id="47" name="Rectangle 46" descr="Arrière-plan">
            <a:extLst>
              <a:ext uri="{FF2B5EF4-FFF2-40B4-BE49-F238E27FC236}">
                <a16:creationId xmlns:a16="http://schemas.microsoft.com/office/drawing/2014/main" id="{4E8F5F8E-EF2D-4850-99BC-290562F7318F}"/>
              </a:ext>
            </a:extLst>
          </xdr:cNvPr>
          <xdr:cNvSpPr/>
        </xdr:nvSpPr>
        <xdr:spPr>
          <a:xfrm>
            <a:off x="347872" y="13364013"/>
            <a:ext cx="5695950" cy="38481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cxnSp macro="">
        <xdr:nvCxnSpPr>
          <xdr:cNvPr id="48" name="Connecteur droit 47" descr="Ligne décorative">
            <a:extLst>
              <a:ext uri="{FF2B5EF4-FFF2-40B4-BE49-F238E27FC236}">
                <a16:creationId xmlns:a16="http://schemas.microsoft.com/office/drawing/2014/main" id="{8BBB4DE7-D9B5-4552-87F0-7C7986296229}"/>
              </a:ext>
            </a:extLst>
          </xdr:cNvPr>
          <xdr:cNvCxnSpPr>
            <a:cxnSpLocks/>
          </xdr:cNvCxnSpPr>
        </xdr:nvCxnSpPr>
        <xdr:spPr>
          <a:xfrm>
            <a:off x="547944" y="13999009"/>
            <a:ext cx="52168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49" name="Connecteur droit 48" descr="Ligne décorative">
            <a:extLst>
              <a:ext uri="{FF2B5EF4-FFF2-40B4-BE49-F238E27FC236}">
                <a16:creationId xmlns:a16="http://schemas.microsoft.com/office/drawing/2014/main" id="{C3FAD89A-BCD1-45FA-A770-F3A5C37409B9}"/>
              </a:ext>
            </a:extLst>
          </xdr:cNvPr>
          <xdr:cNvCxnSpPr>
            <a:cxnSpLocks/>
          </xdr:cNvCxnSpPr>
        </xdr:nvCxnSpPr>
        <xdr:spPr>
          <a:xfrm>
            <a:off x="547944" y="16984883"/>
            <a:ext cx="52168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50" name="Étape" descr="SOMME.SI avec un argument de valeur&#10;">
            <a:extLst>
              <a:ext uri="{FF2B5EF4-FFF2-40B4-BE49-F238E27FC236}">
                <a16:creationId xmlns:a16="http://schemas.microsoft.com/office/drawing/2014/main" id="{3EFC92EA-203C-407F-9D44-A777FDDD950A}"/>
              </a:ext>
            </a:extLst>
          </xdr:cNvPr>
          <xdr:cNvSpPr txBox="1"/>
        </xdr:nvSpPr>
        <xdr:spPr>
          <a:xfrm>
            <a:off x="547944" y="13488151"/>
            <a:ext cx="4917755" cy="49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SOMME.SI avec un argument de valeur</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sp macro="" textlink="">
        <xdr:nvSpPr>
          <xdr:cNvPr id="51" name="Étape" descr="Voici un exemple de fonction SOMME.SI associée à l’opérateur Supérieur à pour trouver toutes les valeurs supérieures à un nombre donné :&#10;&#10;">
            <a:extLst>
              <a:ext uri="{FF2B5EF4-FFF2-40B4-BE49-F238E27FC236}">
                <a16:creationId xmlns:a16="http://schemas.microsoft.com/office/drawing/2014/main" id="{DBB26E7E-4838-456F-A44F-F0B57C94AEC3}"/>
              </a:ext>
            </a:extLst>
          </xdr:cNvPr>
          <xdr:cNvSpPr txBox="1"/>
        </xdr:nvSpPr>
        <xdr:spPr>
          <a:xfrm>
            <a:off x="553342" y="14086482"/>
            <a:ext cx="5303780" cy="577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Voici</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 exemple de fonction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SOMME.SI</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associée à l’opérateur Supérieur à (</a:t>
            </a:r>
            <a:r>
              <a:rPr lang="fr" sz="1100" b="1"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&gt;</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pour trouver toutes les valeurs supérieures à un nombre donné :</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52" name="Étape" descr="Remarque : si vous estimez que vous utilisez beaucoup de formules SOMME.SI, il est possible qu’un tableau croisé dynamique soit une solution plus adaptée. Pour plus d’informations, cliquez sur ce lien pour afficher l’article web consacré aux tableaux croisés dynamiques&#10;">
            <a:hlinkClick xmlns:r="http://schemas.openxmlformats.org/officeDocument/2006/relationships" r:id="rId17" tooltip="Sélectionnez ce lien pour accéder à la feuille de calcul Tableau croisé dynamique"/>
            <a:extLst>
              <a:ext uri="{FF2B5EF4-FFF2-40B4-BE49-F238E27FC236}">
                <a16:creationId xmlns:a16="http://schemas.microsoft.com/office/drawing/2014/main" id="{079851D8-8C66-45C3-AC27-7B27D5AF36B9}"/>
              </a:ext>
            </a:extLst>
          </xdr:cNvPr>
          <xdr:cNvSpPr txBox="1"/>
        </xdr:nvSpPr>
        <xdr:spPr>
          <a:xfrm>
            <a:off x="553342" y="16198822"/>
            <a:ext cx="5303780" cy="737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b="1"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REMARQUE : </a:t>
            </a:r>
            <a:r>
              <a:rPr lang="fr"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si vous utilisez</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beaucoup de formules conditionnelles, un tableau croisé dynamique peut être une solution plus adaptée.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Pour plus d’informations, consultez cet article consacré aux tableaux croisés dynamiques</a:t>
            </a:r>
            <a:r>
              <a:rPr lang="fr" sz="1100"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t>
            </a:r>
            <a:endParaRPr lang="en-US" sz="1100"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sp macro="" textlink="">
        <xdr:nvSpPr>
          <xdr:cNvPr id="53" name="Zone de texte 100" descr="=SUMIF(D118:D122,&quot;&gt;=50&quot;)&#10;&#10;&#10;">
            <a:extLst>
              <a:ext uri="{FF2B5EF4-FFF2-40B4-BE49-F238E27FC236}">
                <a16:creationId xmlns:a16="http://schemas.microsoft.com/office/drawing/2014/main" id="{63FDFCF8-5EDD-48E3-907D-6C69A2852E7E}"/>
              </a:ext>
            </a:extLst>
          </xdr:cNvPr>
          <xdr:cNvSpPr txBox="1"/>
        </xdr:nvSpPr>
        <xdr:spPr>
          <a:xfrm>
            <a:off x="541774" y="15754051"/>
            <a:ext cx="4383709" cy="50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effectLst/>
                <a:latin typeface="Courier New" panose="02070309020205020404" pitchFamily="49" charset="0"/>
                <a:ea typeface="Times New Roman" panose="02020603050405020304" pitchFamily="18" charset="0"/>
                <a:cs typeface="Courier New" panose="02070309020205020404" pitchFamily="49" charset="0"/>
              </a:rPr>
              <a:t>=</a:t>
            </a:r>
            <a:r>
              <a:rPr lang="fr" sz="2000">
                <a:solidFill>
                  <a:schemeClr val="dk1"/>
                </a:solidFill>
                <a:effectLst/>
                <a:latin typeface="Courier New" panose="02070309020205020404" pitchFamily="49" charset="0"/>
                <a:ea typeface="Times New Roman" panose="02020603050405020304" pitchFamily="18" charset="0"/>
                <a:cs typeface="Courier New" panose="02070309020205020404" pitchFamily="49" charset="0"/>
              </a:rPr>
              <a:t>SOMME.SI(D118:D122;"&gt;=</a:t>
            </a:r>
            <a:r>
              <a:rPr lang="fr" sz="2000">
                <a:effectLst/>
                <a:latin typeface="Courier New" panose="02070309020205020404" pitchFamily="49" charset="0"/>
                <a:ea typeface="Times New Roman" panose="02020603050405020304" pitchFamily="18" charset="0"/>
                <a:cs typeface="Courier New" panose="02070309020205020404" pitchFamily="49" charset="0"/>
              </a:rPr>
              <a:t>50")</a:t>
            </a:r>
          </a:p>
          <a:p>
            <a:pPr marL="0" marR="0" rtl="0">
              <a:spcBef>
                <a:spcPts val="0"/>
              </a:spcBef>
              <a:spcAft>
                <a:spcPts val="0"/>
              </a:spcAft>
            </a:pPr>
            <a:endParaRPr lang="en-US" sz="2000">
              <a:effectLst/>
              <a:latin typeface="Courier New" panose="02070309020205020404" pitchFamily="49" charset="0"/>
              <a:ea typeface="Times New Roman" panose="02020603050405020304" pitchFamily="18" charset="0"/>
            </a:endParaRPr>
          </a:p>
        </xdr:txBody>
      </xdr:sp>
      <xdr:sp macro="" textlink="">
        <xdr:nvSpPr>
          <xdr:cNvPr id="54" name="Accolade ouvrante 209">
            <a:extLst>
              <a:ext uri="{FF2B5EF4-FFF2-40B4-BE49-F238E27FC236}">
                <a16:creationId xmlns:a16="http://schemas.microsoft.com/office/drawing/2014/main" id="{9E9B4529-FA6A-4D28-9AE0-0B9F77FA65BA}"/>
              </a:ext>
            </a:extLst>
          </xdr:cNvPr>
          <xdr:cNvSpPr/>
        </xdr:nvSpPr>
        <xdr:spPr>
          <a:xfrm rot="5400000">
            <a:off x="1213345" y="15008810"/>
            <a:ext cx="177052" cy="120060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5" name="Zone de texte 2" descr="Additionner certaines valeurs en fonction de ce critère :&#10;">
            <a:extLst>
              <a:ext uri="{FF2B5EF4-FFF2-40B4-BE49-F238E27FC236}">
                <a16:creationId xmlns:a16="http://schemas.microsoft.com/office/drawing/2014/main" id="{CFFCA2C1-3E64-4B7F-8DB4-DB401454FE7E}"/>
              </a:ext>
            </a:extLst>
          </xdr:cNvPr>
          <xdr:cNvSpPr txBox="1">
            <a:spLocks noChangeArrowheads="1"/>
          </xdr:cNvSpPr>
        </xdr:nvSpPr>
        <xdr:spPr bwMode="auto">
          <a:xfrm>
            <a:off x="692209" y="14670791"/>
            <a:ext cx="1228922" cy="851656"/>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Additionner certaines valeurs en fonction de ce critère :</a:t>
            </a:r>
          </a:p>
        </xdr:txBody>
      </xdr:sp>
      <xdr:sp macro="" textlink="">
        <xdr:nvSpPr>
          <xdr:cNvPr id="56" name="Accolade ouvrante 211">
            <a:extLst>
              <a:ext uri="{FF2B5EF4-FFF2-40B4-BE49-F238E27FC236}">
                <a16:creationId xmlns:a16="http://schemas.microsoft.com/office/drawing/2014/main" id="{BC068A7A-0AB5-44DF-810D-5B9FCD84A72C}"/>
              </a:ext>
            </a:extLst>
          </xdr:cNvPr>
          <xdr:cNvSpPr/>
        </xdr:nvSpPr>
        <xdr:spPr>
          <a:xfrm rot="5400000">
            <a:off x="2559296" y="14923858"/>
            <a:ext cx="295280" cy="1328489"/>
          </a:xfrm>
          <a:prstGeom prst="leftBrace">
            <a:avLst>
              <a:gd name="adj1" fmla="val 8333"/>
              <a:gd name="adj2" fmla="val 49651"/>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7" name="Zone de texte 2" descr="....Look through these cells...&#10; &#10;">
            <a:extLst>
              <a:ext uri="{FF2B5EF4-FFF2-40B4-BE49-F238E27FC236}">
                <a16:creationId xmlns:a16="http://schemas.microsoft.com/office/drawing/2014/main" id="{CA527F8F-4696-45A2-B5DC-49E11A00420D}"/>
              </a:ext>
            </a:extLst>
          </xdr:cNvPr>
          <xdr:cNvSpPr txBox="1">
            <a:spLocks noChangeArrowheads="1"/>
          </xdr:cNvSpPr>
        </xdr:nvSpPr>
        <xdr:spPr bwMode="auto">
          <a:xfrm>
            <a:off x="2156901" y="14671077"/>
            <a:ext cx="1102580" cy="851657"/>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...Examiner ces cellules...</a:t>
            </a:r>
          </a:p>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 </a:t>
            </a:r>
          </a:p>
        </xdr:txBody>
      </xdr:sp>
      <xdr:sp macro="" textlink="">
        <xdr:nvSpPr>
          <xdr:cNvPr id="58" name="Accolade ouvrante 213">
            <a:extLst>
              <a:ext uri="{FF2B5EF4-FFF2-40B4-BE49-F238E27FC236}">
                <a16:creationId xmlns:a16="http://schemas.microsoft.com/office/drawing/2014/main" id="{B99D83F9-71A9-40B3-943F-9189A890E25E}"/>
              </a:ext>
            </a:extLst>
          </xdr:cNvPr>
          <xdr:cNvSpPr/>
        </xdr:nvSpPr>
        <xdr:spPr>
          <a:xfrm rot="5400000">
            <a:off x="3797613" y="15171788"/>
            <a:ext cx="271590" cy="808946"/>
          </a:xfrm>
          <a:prstGeom prst="leftBrace">
            <a:avLst>
              <a:gd name="adj1" fmla="val 15347"/>
              <a:gd name="adj2" fmla="val 51598"/>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59" name="Zone de texte 2" descr="...and if the value is greater than 50, sum it up&#10; &#10;">
            <a:extLst>
              <a:ext uri="{FF2B5EF4-FFF2-40B4-BE49-F238E27FC236}">
                <a16:creationId xmlns:a16="http://schemas.microsoft.com/office/drawing/2014/main" id="{CCA36B2A-8459-4379-B467-318374E95982}"/>
              </a:ext>
            </a:extLst>
          </xdr:cNvPr>
          <xdr:cNvSpPr txBox="1">
            <a:spLocks noChangeArrowheads="1"/>
          </xdr:cNvSpPr>
        </xdr:nvSpPr>
        <xdr:spPr bwMode="auto">
          <a:xfrm>
            <a:off x="3362289" y="14671077"/>
            <a:ext cx="1184097" cy="851657"/>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...et si la valeur est supérieure à 50, l’additionner.</a:t>
            </a:r>
          </a:p>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 </a:t>
            </a:r>
          </a:p>
        </xdr:txBody>
      </xdr:sp>
    </xdr:grpSp>
    <xdr:clientData/>
  </xdr:twoCellAnchor>
  <xdr:twoCellAnchor>
    <xdr:from>
      <xdr:col>5</xdr:col>
      <xdr:colOff>299651</xdr:colOff>
      <xdr:row>17</xdr:row>
      <xdr:rowOff>154967</xdr:rowOff>
    </xdr:from>
    <xdr:to>
      <xdr:col>11</xdr:col>
      <xdr:colOff>581026</xdr:colOff>
      <xdr:row>24</xdr:row>
      <xdr:rowOff>19050</xdr:rowOff>
    </xdr:to>
    <xdr:grpSp>
      <xdr:nvGrpSpPr>
        <xdr:cNvPr id="60" name="Groupe 59">
          <a:extLst>
            <a:ext uri="{FF2B5EF4-FFF2-40B4-BE49-F238E27FC236}">
              <a16:creationId xmlns:a16="http://schemas.microsoft.com/office/drawing/2014/main" id="{953F1783-8753-499E-8D6F-A7F596391CAD}"/>
            </a:ext>
          </a:extLst>
        </xdr:cNvPr>
        <xdr:cNvGrpSpPr/>
      </xdr:nvGrpSpPr>
      <xdr:grpSpPr>
        <a:xfrm>
          <a:off x="9853226" y="3964967"/>
          <a:ext cx="4700975" cy="1197583"/>
          <a:chOff x="9434126" y="7174892"/>
          <a:chExt cx="4596200" cy="1197583"/>
        </a:xfrm>
      </xdr:grpSpPr>
      <xdr:grpSp>
        <xdr:nvGrpSpPr>
          <xdr:cNvPr id="61" name="Groupe 216">
            <a:extLst>
              <a:ext uri="{FF2B5EF4-FFF2-40B4-BE49-F238E27FC236}">
                <a16:creationId xmlns:a16="http://schemas.microsoft.com/office/drawing/2014/main" id="{EA0731E7-5C63-4F7A-BE79-A87A9EE79D5B}"/>
              </a:ext>
            </a:extLst>
          </xdr:cNvPr>
          <xdr:cNvGrpSpPr/>
        </xdr:nvGrpSpPr>
        <xdr:grpSpPr>
          <a:xfrm>
            <a:off x="9434126" y="7219374"/>
            <a:ext cx="4596200" cy="1153101"/>
            <a:chOff x="10339001" y="7219374"/>
            <a:chExt cx="4596200" cy="1153101"/>
          </a:xfrm>
        </xdr:grpSpPr>
        <xdr:grpSp>
          <xdr:nvGrpSpPr>
            <xdr:cNvPr id="63" name="CONSEIL D’EXPERT" descr="CONSEIL D’EXPERT">
              <a:extLst>
                <a:ext uri="{FF2B5EF4-FFF2-40B4-BE49-F238E27FC236}">
                  <a16:creationId xmlns:a16="http://schemas.microsoft.com/office/drawing/2014/main" id="{C5D6A6E4-F28F-40E0-BC83-3E83F2F5EAA2}"/>
                </a:ext>
              </a:extLst>
            </xdr:cNvPr>
            <xdr:cNvGrpSpPr/>
          </xdr:nvGrpSpPr>
          <xdr:grpSpPr>
            <a:xfrm>
              <a:off x="11734801" y="7219950"/>
              <a:ext cx="3200400" cy="1152525"/>
              <a:chOff x="8448675" y="2143125"/>
              <a:chExt cx="2812587" cy="1145492"/>
            </a:xfrm>
          </xdr:grpSpPr>
          <xdr:pic>
            <xdr:nvPicPr>
              <xdr:cNvPr id="65" name="Graphisme 2" descr="Chouette">
                <a:extLst>
                  <a:ext uri="{FF2B5EF4-FFF2-40B4-BE49-F238E27FC236}">
                    <a16:creationId xmlns:a16="http://schemas.microsoft.com/office/drawing/2014/main" id="{06B0C1F3-F746-4823-A982-35A349E63D6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8448675" y="2170284"/>
                <a:ext cx="444647" cy="444647"/>
              </a:xfrm>
              <a:prstGeom prst="rect">
                <a:avLst/>
              </a:prstGeom>
            </xdr:spPr>
          </xdr:pic>
          <xdr:sp macro="" textlink="">
            <xdr:nvSpPr>
              <xdr:cNvPr id="66" name="Étape" descr="EXPERT TIP&#10;Each one of the Fruit and Type cells has a drop-down list where you can select different fruits. Try it, and watch the formulas automatically update.&#10;">
                <a:extLst>
                  <a:ext uri="{FF2B5EF4-FFF2-40B4-BE49-F238E27FC236}">
                    <a16:creationId xmlns:a16="http://schemas.microsoft.com/office/drawing/2014/main" id="{F6F3718B-84B0-4B6E-9C52-41A80C63EA88}"/>
                  </a:ext>
                </a:extLst>
              </xdr:cNvPr>
              <xdr:cNvSpPr txBox="1"/>
            </xdr:nvSpPr>
            <xdr:spPr>
              <a:xfrm>
                <a:off x="8782052" y="2143125"/>
                <a:ext cx="2479210" cy="1145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CONSEIL D’EXPERT</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ea typeface="Segoe UI" pitchFamily="34" charset="0"/>
                    <a:cs typeface="Segoe UI Light" panose="020B0502040204020203" pitchFamily="34" charset="0"/>
                  </a:rPr>
                  <a:t>Chacune des cellules Fruits et Type s’accompagne d’une liste déroulante dans laquelle vous pouvez sélectionner différents fruits. Faites un essai et vous verrez que les formules se mettent automatiquement à jour.</a:t>
                </a:r>
              </a:p>
            </xdr:txBody>
          </xdr:sp>
        </xdr:grpSp>
        <xdr:sp macro="" textlink="">
          <xdr:nvSpPr>
            <xdr:cNvPr id="64" name="Forme libre : forme 219">
              <a:extLst>
                <a:ext uri="{FF2B5EF4-FFF2-40B4-BE49-F238E27FC236}">
                  <a16:creationId xmlns:a16="http://schemas.microsoft.com/office/drawing/2014/main" id="{CE4EAABA-3376-4081-B4CF-CDBCFE76BA1A}"/>
                </a:ext>
              </a:extLst>
            </xdr:cNvPr>
            <xdr:cNvSpPr/>
          </xdr:nvSpPr>
          <xdr:spPr>
            <a:xfrm rot="1452668" flipH="1" flipV="1">
              <a:off x="10339001" y="7219374"/>
              <a:ext cx="1431970" cy="264252"/>
            </a:xfrm>
            <a:custGeom>
              <a:avLst/>
              <a:gdLst>
                <a:gd name="connsiteX0" fmla="*/ 0 w 1504950"/>
                <a:gd name="connsiteY0" fmla="*/ 496803 h 496803"/>
                <a:gd name="connsiteX1" fmla="*/ 809625 w 1504950"/>
                <a:gd name="connsiteY1" fmla="*/ 20553 h 496803"/>
                <a:gd name="connsiteX2" fmla="*/ 1504950 w 1504950"/>
                <a:gd name="connsiteY2" fmla="*/ 106278 h 496803"/>
              </a:gdLst>
              <a:ahLst/>
              <a:cxnLst>
                <a:cxn ang="0">
                  <a:pos x="connsiteX0" y="connsiteY0"/>
                </a:cxn>
                <a:cxn ang="0">
                  <a:pos x="connsiteX1" y="connsiteY1"/>
                </a:cxn>
                <a:cxn ang="0">
                  <a:pos x="connsiteX2" y="connsiteY2"/>
                </a:cxn>
              </a:cxnLst>
              <a:rect l="l" t="t" r="r" b="b"/>
              <a:pathLst>
                <a:path w="1504950" h="496803">
                  <a:moveTo>
                    <a:pt x="0" y="496803"/>
                  </a:moveTo>
                  <a:cubicBezTo>
                    <a:pt x="279400" y="291221"/>
                    <a:pt x="558800" y="85640"/>
                    <a:pt x="809625" y="20553"/>
                  </a:cubicBezTo>
                  <a:cubicBezTo>
                    <a:pt x="1060450" y="-44534"/>
                    <a:pt x="1411288" y="61828"/>
                    <a:pt x="1504950" y="106278"/>
                  </a:cubicBezTo>
                </a:path>
              </a:pathLst>
            </a:custGeom>
            <a:noFill/>
            <a:ln w="19050">
              <a:solidFill>
                <a:srgbClr val="F4B183"/>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sp macro="" textlink="">
        <xdr:nvSpPr>
          <xdr:cNvPr id="62" name="Forme libre : forme 217">
            <a:extLst>
              <a:ext uri="{FF2B5EF4-FFF2-40B4-BE49-F238E27FC236}">
                <a16:creationId xmlns:a16="http://schemas.microsoft.com/office/drawing/2014/main" id="{2A928E2C-9D40-4EF2-B4D1-2C875AFD27B9}"/>
              </a:ext>
            </a:extLst>
          </xdr:cNvPr>
          <xdr:cNvSpPr/>
        </xdr:nvSpPr>
        <xdr:spPr>
          <a:xfrm rot="1980529" flipH="1" flipV="1">
            <a:off x="10150393" y="7174892"/>
            <a:ext cx="691581" cy="182474"/>
          </a:xfrm>
          <a:custGeom>
            <a:avLst/>
            <a:gdLst>
              <a:gd name="connsiteX0" fmla="*/ 0 w 1504950"/>
              <a:gd name="connsiteY0" fmla="*/ 496803 h 496803"/>
              <a:gd name="connsiteX1" fmla="*/ 809625 w 1504950"/>
              <a:gd name="connsiteY1" fmla="*/ 20553 h 496803"/>
              <a:gd name="connsiteX2" fmla="*/ 1504950 w 1504950"/>
              <a:gd name="connsiteY2" fmla="*/ 106278 h 496803"/>
            </a:gdLst>
            <a:ahLst/>
            <a:cxnLst>
              <a:cxn ang="0">
                <a:pos x="connsiteX0" y="connsiteY0"/>
              </a:cxn>
              <a:cxn ang="0">
                <a:pos x="connsiteX1" y="connsiteY1"/>
              </a:cxn>
              <a:cxn ang="0">
                <a:pos x="connsiteX2" y="connsiteY2"/>
              </a:cxn>
            </a:cxnLst>
            <a:rect l="l" t="t" r="r" b="b"/>
            <a:pathLst>
              <a:path w="1504950" h="496803">
                <a:moveTo>
                  <a:pt x="0" y="496803"/>
                </a:moveTo>
                <a:cubicBezTo>
                  <a:pt x="279400" y="291221"/>
                  <a:pt x="558800" y="85640"/>
                  <a:pt x="809625" y="20553"/>
                </a:cubicBezTo>
                <a:cubicBezTo>
                  <a:pt x="1060450" y="-44534"/>
                  <a:pt x="1411288" y="61828"/>
                  <a:pt x="1504950" y="106278"/>
                </a:cubicBezTo>
              </a:path>
            </a:pathLst>
          </a:custGeom>
          <a:noFill/>
          <a:ln w="19050">
            <a:solidFill>
              <a:srgbClr val="F4B183"/>
            </a:solidFill>
            <a:headEnd type="none" w="med" len="med"/>
            <a:tailEnd type="triangl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xdr:from>
      <xdr:col>1</xdr:col>
      <xdr:colOff>200025</xdr:colOff>
      <xdr:row>14</xdr:row>
      <xdr:rowOff>98425</xdr:rowOff>
    </xdr:from>
    <xdr:to>
      <xdr:col>1</xdr:col>
      <xdr:colOff>4981575</xdr:colOff>
      <xdr:row>24</xdr:row>
      <xdr:rowOff>117475</xdr:rowOff>
    </xdr:to>
    <xdr:grpSp>
      <xdr:nvGrpSpPr>
        <xdr:cNvPr id="67" name="Groupe 66">
          <a:extLst>
            <a:ext uri="{FF2B5EF4-FFF2-40B4-BE49-F238E27FC236}">
              <a16:creationId xmlns:a16="http://schemas.microsoft.com/office/drawing/2014/main" id="{4BCB2818-CD9B-4E5A-A31C-33A80D6EE4A9}"/>
            </a:ext>
          </a:extLst>
        </xdr:cNvPr>
        <xdr:cNvGrpSpPr/>
      </xdr:nvGrpSpPr>
      <xdr:grpSpPr>
        <a:xfrm>
          <a:off x="1047750" y="3336925"/>
          <a:ext cx="4781550" cy="1924050"/>
          <a:chOff x="3048000" y="4524375"/>
          <a:chExt cx="4781550" cy="1924050"/>
        </a:xfrm>
      </xdr:grpSpPr>
      <xdr:sp macro="" textlink="">
        <xdr:nvSpPr>
          <xdr:cNvPr id="68" name="txt_Formule" descr="=SOMME.SI(C3:C14,C17,D3:D4)&#10;">
            <a:extLst>
              <a:ext uri="{FF2B5EF4-FFF2-40B4-BE49-F238E27FC236}">
                <a16:creationId xmlns:a16="http://schemas.microsoft.com/office/drawing/2014/main" id="{644F1A20-F09E-429F-AE8A-4EA77B9B1B3F}"/>
              </a:ext>
            </a:extLst>
          </xdr:cNvPr>
          <xdr:cNvSpPr txBox="1"/>
        </xdr:nvSpPr>
        <xdr:spPr>
          <a:xfrm>
            <a:off x="3048000" y="5362575"/>
            <a:ext cx="4352925"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=SOMME.SI(C3:C14;C17;D3:D14)</a:t>
            </a:r>
            <a:endParaRPr lang="en-US" sz="2000">
              <a:effectLst/>
              <a:latin typeface="Courier New" panose="02070309020205020404" pitchFamily="49" charset="0"/>
              <a:ea typeface="Times New Roman" panose="02020603050405020304" pitchFamily="18" charset="0"/>
            </a:endParaRPr>
          </a:p>
        </xdr:txBody>
      </xdr:sp>
      <xdr:grpSp>
        <xdr:nvGrpSpPr>
          <xdr:cNvPr id="69" name="Groupe 68">
            <a:extLst>
              <a:ext uri="{FF2B5EF4-FFF2-40B4-BE49-F238E27FC236}">
                <a16:creationId xmlns:a16="http://schemas.microsoft.com/office/drawing/2014/main" id="{F1B65E47-26A0-499C-85BF-7CB229F2DE44}"/>
              </a:ext>
            </a:extLst>
          </xdr:cNvPr>
          <xdr:cNvGrpSpPr/>
        </xdr:nvGrpSpPr>
        <xdr:grpSpPr>
          <a:xfrm>
            <a:off x="3600450" y="4524375"/>
            <a:ext cx="1875466" cy="861227"/>
            <a:chOff x="3600450" y="4524375"/>
            <a:chExt cx="1875466" cy="861227"/>
          </a:xfrm>
        </xdr:grpSpPr>
        <xdr:sp macro="" textlink="">
          <xdr:nvSpPr>
            <xdr:cNvPr id="76" name="AccoladeSupérieureFormule">
              <a:extLst>
                <a:ext uri="{FF2B5EF4-FFF2-40B4-BE49-F238E27FC236}">
                  <a16:creationId xmlns:a16="http://schemas.microsoft.com/office/drawing/2014/main" id="{6CDDF2FC-D2E6-42A5-975E-C5DE1DBFA895}"/>
                </a:ext>
              </a:extLst>
            </xdr:cNvPr>
            <xdr:cNvSpPr/>
          </xdr:nvSpPr>
          <xdr:spPr>
            <a:xfrm rot="5400000">
              <a:off x="4769557" y="4679243"/>
              <a:ext cx="499277" cy="91344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7" name="txt_LégendeSupérieureFormule" descr="Quelle plage voulez-vous examiner ?&#10;&#10;">
              <a:extLst>
                <a:ext uri="{FF2B5EF4-FFF2-40B4-BE49-F238E27FC236}">
                  <a16:creationId xmlns:a16="http://schemas.microsoft.com/office/drawing/2014/main" id="{A305900F-A57B-4157-970C-E488CA860237}"/>
                </a:ext>
              </a:extLst>
            </xdr:cNvPr>
            <xdr:cNvSpPr txBox="1">
              <a:spLocks noChangeArrowheads="1"/>
            </xdr:cNvSpPr>
          </xdr:nvSpPr>
          <xdr:spPr bwMode="auto">
            <a:xfrm>
              <a:off x="3600450" y="4524375"/>
              <a:ext cx="1628775"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examiner ?</a:t>
              </a:r>
            </a:p>
          </xdr:txBody>
        </xdr:sp>
      </xdr:grpSp>
      <xdr:grpSp>
        <xdr:nvGrpSpPr>
          <xdr:cNvPr id="70" name="Groupe 69">
            <a:extLst>
              <a:ext uri="{FF2B5EF4-FFF2-40B4-BE49-F238E27FC236}">
                <a16:creationId xmlns:a16="http://schemas.microsoft.com/office/drawing/2014/main" id="{05EF0DD8-1D49-46F4-83B5-F5901AEB3926}"/>
              </a:ext>
            </a:extLst>
          </xdr:cNvPr>
          <xdr:cNvGrpSpPr/>
        </xdr:nvGrpSpPr>
        <xdr:grpSpPr>
          <a:xfrm>
            <a:off x="5353049" y="4524375"/>
            <a:ext cx="2476501" cy="861228"/>
            <a:chOff x="5353049" y="4524375"/>
            <a:chExt cx="2476501" cy="861228"/>
          </a:xfrm>
        </xdr:grpSpPr>
        <xdr:sp macro="" textlink="">
          <xdr:nvSpPr>
            <xdr:cNvPr id="74" name="AccoladeSupérieureFormule">
              <a:extLst>
                <a:ext uri="{FF2B5EF4-FFF2-40B4-BE49-F238E27FC236}">
                  <a16:creationId xmlns:a16="http://schemas.microsoft.com/office/drawing/2014/main" id="{8FBD8668-4788-4FBE-9465-BB27265CDF7F}"/>
                </a:ext>
              </a:extLst>
            </xdr:cNvPr>
            <xdr:cNvSpPr/>
          </xdr:nvSpPr>
          <xdr:spPr>
            <a:xfrm rot="5400000">
              <a:off x="6484536" y="4650190"/>
              <a:ext cx="499277" cy="97155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75" name="txt_LégendeSupérieureFormule" descr="Pour chaque correspondance trouvée, quelle plage voulez-vous additionner ?&#10;&#10;">
              <a:extLst>
                <a:ext uri="{FF2B5EF4-FFF2-40B4-BE49-F238E27FC236}">
                  <a16:creationId xmlns:a16="http://schemas.microsoft.com/office/drawing/2014/main" id="{B7F489A8-3C97-4987-8734-52B3268F9FB1}"/>
                </a:ext>
              </a:extLst>
            </xdr:cNvPr>
            <xdr:cNvSpPr txBox="1">
              <a:spLocks noChangeArrowheads="1"/>
            </xdr:cNvSpPr>
          </xdr:nvSpPr>
          <xdr:spPr bwMode="auto">
            <a:xfrm>
              <a:off x="5353049" y="4524375"/>
              <a:ext cx="2476501"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Pour chaque correspondance trouvée, quelle plage voulez-vous additionner ?</a:t>
              </a:r>
            </a:p>
          </xdr:txBody>
        </xdr:sp>
      </xdr:grpSp>
      <xdr:grpSp>
        <xdr:nvGrpSpPr>
          <xdr:cNvPr id="71" name="Groupe 70">
            <a:extLst>
              <a:ext uri="{FF2B5EF4-FFF2-40B4-BE49-F238E27FC236}">
                <a16:creationId xmlns:a16="http://schemas.microsoft.com/office/drawing/2014/main" id="{17B8B1F9-3C6B-43C3-8EC1-1C3BF490106A}"/>
              </a:ext>
            </a:extLst>
          </xdr:cNvPr>
          <xdr:cNvGrpSpPr/>
        </xdr:nvGrpSpPr>
        <xdr:grpSpPr>
          <a:xfrm>
            <a:off x="4781550" y="5610223"/>
            <a:ext cx="2124075" cy="838202"/>
            <a:chOff x="4781550" y="5610223"/>
            <a:chExt cx="2124075" cy="838202"/>
          </a:xfrm>
        </xdr:grpSpPr>
        <xdr:sp macro="" textlink="">
          <xdr:nvSpPr>
            <xdr:cNvPr id="72" name="AccoladeInférieureFormule">
              <a:extLst>
                <a:ext uri="{FF2B5EF4-FFF2-40B4-BE49-F238E27FC236}">
                  <a16:creationId xmlns:a16="http://schemas.microsoft.com/office/drawing/2014/main" id="{662F59D6-9F3E-4B50-B84E-5621075F29F2}"/>
                </a:ext>
              </a:extLst>
            </xdr:cNvPr>
            <xdr:cNvSpPr/>
          </xdr:nvSpPr>
          <xdr:spPr>
            <a:xfrm rot="16200000">
              <a:off x="5598713" y="5612213"/>
              <a:ext cx="499277" cy="49529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73" name="txt_LégendeInférieureFormule" descr="Quelle valeur (texte ou nombre) voulez-vous rechercher ?&#10;&#10;">
              <a:extLst>
                <a:ext uri="{FF2B5EF4-FFF2-40B4-BE49-F238E27FC236}">
                  <a16:creationId xmlns:a16="http://schemas.microsoft.com/office/drawing/2014/main" id="{43B48696-11F1-4C36-A29F-1AF1D6CC2032}"/>
                </a:ext>
              </a:extLst>
            </xdr:cNvPr>
            <xdr:cNvSpPr txBox="1">
              <a:spLocks noChangeArrowheads="1"/>
            </xdr:cNvSpPr>
          </xdr:nvSpPr>
          <xdr:spPr bwMode="auto">
            <a:xfrm>
              <a:off x="4781550" y="5962650"/>
              <a:ext cx="2124075" cy="485775"/>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valeur (texte ou nombre) voulez-vous rechercher ?</a:t>
              </a:r>
            </a:p>
          </xdr:txBody>
        </xdr:sp>
      </xdr:grpSp>
    </xdr:grpSp>
    <xdr:clientData/>
  </xdr:twoCellAnchor>
  <xdr:twoCellAnchor>
    <xdr:from>
      <xdr:col>0</xdr:col>
      <xdr:colOff>371475</xdr:colOff>
      <xdr:row>32</xdr:row>
      <xdr:rowOff>9525</xdr:rowOff>
    </xdr:from>
    <xdr:to>
      <xdr:col>1</xdr:col>
      <xdr:colOff>5162550</xdr:colOff>
      <xdr:row>46</xdr:row>
      <xdr:rowOff>47625</xdr:rowOff>
    </xdr:to>
    <xdr:grpSp>
      <xdr:nvGrpSpPr>
        <xdr:cNvPr id="78" name="Groupe 77">
          <a:extLst>
            <a:ext uri="{FF2B5EF4-FFF2-40B4-BE49-F238E27FC236}">
              <a16:creationId xmlns:a16="http://schemas.microsoft.com/office/drawing/2014/main" id="{E24F8ACA-8543-418B-8C87-30EF6C73C5D3}"/>
            </a:ext>
          </a:extLst>
        </xdr:cNvPr>
        <xdr:cNvGrpSpPr/>
      </xdr:nvGrpSpPr>
      <xdr:grpSpPr>
        <a:xfrm>
          <a:off x="371475" y="6677025"/>
          <a:ext cx="5638800" cy="2714625"/>
          <a:chOff x="3048000" y="2390775"/>
          <a:chExt cx="5762625" cy="2766074"/>
        </a:xfrm>
      </xdr:grpSpPr>
      <xdr:sp macro="" textlink="">
        <xdr:nvSpPr>
          <xdr:cNvPr id="79" name="AccoladeInférieureFormule">
            <a:extLst>
              <a:ext uri="{FF2B5EF4-FFF2-40B4-BE49-F238E27FC236}">
                <a16:creationId xmlns:a16="http://schemas.microsoft.com/office/drawing/2014/main" id="{2B7500BA-4DB8-4681-BBD9-69D6E5D477D7}"/>
              </a:ext>
            </a:extLst>
          </xdr:cNvPr>
          <xdr:cNvSpPr/>
        </xdr:nvSpPr>
        <xdr:spPr>
          <a:xfrm rot="16200000">
            <a:off x="7397947" y="3693335"/>
            <a:ext cx="499277" cy="8659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80" name="AccoladeInférieureFormule">
            <a:extLst>
              <a:ext uri="{FF2B5EF4-FFF2-40B4-BE49-F238E27FC236}">
                <a16:creationId xmlns:a16="http://schemas.microsoft.com/office/drawing/2014/main" id="{58157E95-2DE6-4234-9731-CEF634C8946A}"/>
              </a:ext>
            </a:extLst>
          </xdr:cNvPr>
          <xdr:cNvSpPr/>
        </xdr:nvSpPr>
        <xdr:spPr>
          <a:xfrm rot="16200000">
            <a:off x="5946241" y="3713731"/>
            <a:ext cx="499277" cy="82516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81" name="AccoladeSupérieureFormule">
            <a:extLst>
              <a:ext uri="{FF2B5EF4-FFF2-40B4-BE49-F238E27FC236}">
                <a16:creationId xmlns:a16="http://schemas.microsoft.com/office/drawing/2014/main" id="{645159E9-7547-4BBA-AE88-922A3D4249D7}"/>
              </a:ext>
            </a:extLst>
          </xdr:cNvPr>
          <xdr:cNvSpPr/>
        </xdr:nvSpPr>
        <xdr:spPr>
          <a:xfrm rot="5400000">
            <a:off x="8167592" y="3202024"/>
            <a:ext cx="499277" cy="40078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2" name="AccoladeSupérieureFormule">
            <a:extLst>
              <a:ext uri="{FF2B5EF4-FFF2-40B4-BE49-F238E27FC236}">
                <a16:creationId xmlns:a16="http://schemas.microsoft.com/office/drawing/2014/main" id="{CCF4F43B-5FAA-4F3F-B910-478E5B1406C0}"/>
              </a:ext>
            </a:extLst>
          </xdr:cNvPr>
          <xdr:cNvSpPr/>
        </xdr:nvSpPr>
        <xdr:spPr>
          <a:xfrm rot="5400000">
            <a:off x="6708891" y="3181131"/>
            <a:ext cx="499277" cy="442565"/>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3" name="AccoladeSupérieureFormule">
            <a:extLst>
              <a:ext uri="{FF2B5EF4-FFF2-40B4-BE49-F238E27FC236}">
                <a16:creationId xmlns:a16="http://schemas.microsoft.com/office/drawing/2014/main" id="{26C14CC2-1970-4688-9446-DF2D51F9F611}"/>
              </a:ext>
            </a:extLst>
          </xdr:cNvPr>
          <xdr:cNvSpPr/>
        </xdr:nvSpPr>
        <xdr:spPr>
          <a:xfrm rot="5400000">
            <a:off x="5023788" y="2997277"/>
            <a:ext cx="499277" cy="810277"/>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84" name="txt_Formule" descr="=SOMME.SI(H3:H14,F3:F14,F17,G3:G14,G17)&#10;&#10;">
            <a:extLst>
              <a:ext uri="{FF2B5EF4-FFF2-40B4-BE49-F238E27FC236}">
                <a16:creationId xmlns:a16="http://schemas.microsoft.com/office/drawing/2014/main" id="{AC111874-BC15-4BAD-ADE5-7667B88AD7FC}"/>
              </a:ext>
            </a:extLst>
          </xdr:cNvPr>
          <xdr:cNvSpPr txBox="1"/>
        </xdr:nvSpPr>
        <xdr:spPr>
          <a:xfrm>
            <a:off x="3048000" y="3619500"/>
            <a:ext cx="5762625" cy="378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1750" spc="-30" baseline="0">
                <a:solidFill>
                  <a:srgbClr val="000000"/>
                </a:solidFill>
                <a:effectLst/>
                <a:latin typeface="Courier New" panose="02070309020205020404" pitchFamily="49" charset="0"/>
                <a:ea typeface="Times New Roman" panose="02020603050405020304" pitchFamily="18" charset="0"/>
              </a:rPr>
              <a:t>=SOMME.SI.ENS(H3:H14;F3:F14;F17;G3:G14;G17)</a:t>
            </a:r>
            <a:endParaRPr lang="en-US" sz="1750" spc="-30" baseline="0">
              <a:effectLst/>
              <a:latin typeface="Courier New" panose="02070309020205020404" pitchFamily="49" charset="0"/>
              <a:ea typeface="Times New Roman" panose="02020603050405020304" pitchFamily="18" charset="0"/>
            </a:endParaRPr>
          </a:p>
        </xdr:txBody>
      </xdr:sp>
      <xdr:sp macro="" textlink="">
        <xdr:nvSpPr>
          <xdr:cNvPr id="85" name="txt_LégendeSupérieureFormule" descr="Quelle plage voulez-vous additionner ?&#10;&#10;">
            <a:extLst>
              <a:ext uri="{FF2B5EF4-FFF2-40B4-BE49-F238E27FC236}">
                <a16:creationId xmlns:a16="http://schemas.microsoft.com/office/drawing/2014/main" id="{2602CD1D-F80D-41D0-9A36-9F64252AE293}"/>
              </a:ext>
            </a:extLst>
          </xdr:cNvPr>
          <xdr:cNvSpPr txBox="1">
            <a:spLocks noChangeArrowheads="1"/>
          </xdr:cNvSpPr>
        </xdr:nvSpPr>
        <xdr:spPr bwMode="auto">
          <a:xfrm>
            <a:off x="4783946" y="2390775"/>
            <a:ext cx="979884" cy="8991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additionner ?</a:t>
            </a:r>
          </a:p>
        </xdr:txBody>
      </xdr:sp>
      <xdr:sp macro="" textlink="">
        <xdr:nvSpPr>
          <xdr:cNvPr id="86" name="txt_LégendeSupérieureFormule" descr="Critère de la première correspondance&#10;&#10;">
            <a:extLst>
              <a:ext uri="{FF2B5EF4-FFF2-40B4-BE49-F238E27FC236}">
                <a16:creationId xmlns:a16="http://schemas.microsoft.com/office/drawing/2014/main" id="{B567847A-A3B6-4A02-A2C3-30A5868F3105}"/>
              </a:ext>
            </a:extLst>
          </xdr:cNvPr>
          <xdr:cNvSpPr txBox="1">
            <a:spLocks noChangeArrowheads="1"/>
          </xdr:cNvSpPr>
        </xdr:nvSpPr>
        <xdr:spPr bwMode="auto">
          <a:xfrm>
            <a:off x="6338147" y="2390775"/>
            <a:ext cx="1158457" cy="8991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 de la première correspondance</a:t>
            </a:r>
          </a:p>
        </xdr:txBody>
      </xdr:sp>
      <xdr:sp macro="" textlink="">
        <xdr:nvSpPr>
          <xdr:cNvPr id="87" name="txt_LégendeSupérieureFormule" descr="Critère de la deuxième correspondance&#10;">
            <a:extLst>
              <a:ext uri="{FF2B5EF4-FFF2-40B4-BE49-F238E27FC236}">
                <a16:creationId xmlns:a16="http://schemas.microsoft.com/office/drawing/2014/main" id="{AF560099-08FB-46F5-B5AE-1F8099B40DB4}"/>
              </a:ext>
            </a:extLst>
          </xdr:cNvPr>
          <xdr:cNvSpPr txBox="1">
            <a:spLocks noChangeArrowheads="1"/>
          </xdr:cNvSpPr>
        </xdr:nvSpPr>
        <xdr:spPr bwMode="auto">
          <a:xfrm>
            <a:off x="7623057" y="2390775"/>
            <a:ext cx="1170107" cy="8991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 de la deuxième correspondance</a:t>
            </a:r>
          </a:p>
        </xdr:txBody>
      </xdr:sp>
      <xdr:sp macro="" textlink="">
        <xdr:nvSpPr>
          <xdr:cNvPr id="88" name="txt_LégendeInférieureFormule" descr="Première plage à examiner pour rechercher des correspondances&#10;&#10;">
            <a:extLst>
              <a:ext uri="{FF2B5EF4-FFF2-40B4-BE49-F238E27FC236}">
                <a16:creationId xmlns:a16="http://schemas.microsoft.com/office/drawing/2014/main" id="{8F268685-6E3A-4EE0-A46C-A466AA9B049D}"/>
              </a:ext>
            </a:extLst>
          </xdr:cNvPr>
          <xdr:cNvSpPr txBox="1">
            <a:spLocks noChangeArrowheads="1"/>
          </xdr:cNvSpPr>
        </xdr:nvSpPr>
        <xdr:spPr bwMode="auto">
          <a:xfrm>
            <a:off x="5577563" y="4257675"/>
            <a:ext cx="1257026" cy="899174"/>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Première plage à examiner pour rechercher des correspondances</a:t>
            </a:r>
          </a:p>
        </xdr:txBody>
      </xdr:sp>
      <xdr:sp macro="" textlink="">
        <xdr:nvSpPr>
          <xdr:cNvPr id="89" name="txt_LégendeInférieureFormule" descr="Deuxième plage à examiner pour rechercher des correspondances&#10;">
            <a:extLst>
              <a:ext uri="{FF2B5EF4-FFF2-40B4-BE49-F238E27FC236}">
                <a16:creationId xmlns:a16="http://schemas.microsoft.com/office/drawing/2014/main" id="{08811570-AFDA-4B63-BA58-24754AA988F3}"/>
              </a:ext>
            </a:extLst>
          </xdr:cNvPr>
          <xdr:cNvSpPr txBox="1">
            <a:spLocks noChangeArrowheads="1"/>
          </xdr:cNvSpPr>
        </xdr:nvSpPr>
        <xdr:spPr bwMode="auto">
          <a:xfrm>
            <a:off x="7019925" y="4257675"/>
            <a:ext cx="1265055" cy="899174"/>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Deuxième plage à examiner pour rechercher des correspondances</a:t>
            </a:r>
          </a:p>
        </xdr:txBody>
      </xdr:sp>
    </xdr:grpSp>
    <xdr:clientData/>
  </xdr:twoCellAnchor>
  <xdr:twoCellAnchor>
    <xdr:from>
      <xdr:col>0</xdr:col>
      <xdr:colOff>581025</xdr:colOff>
      <xdr:row>47</xdr:row>
      <xdr:rowOff>133350</xdr:rowOff>
    </xdr:from>
    <xdr:to>
      <xdr:col>1</xdr:col>
      <xdr:colOff>3238500</xdr:colOff>
      <xdr:row>50</xdr:row>
      <xdr:rowOff>92774</xdr:rowOff>
    </xdr:to>
    <xdr:sp macro="" textlink="">
      <xdr:nvSpPr>
        <xdr:cNvPr id="90" name="Bouton Plus de détails" descr="Poursuivez votre lecture pour plus d’informations">
          <a:hlinkClick xmlns:r="http://schemas.openxmlformats.org/officeDocument/2006/relationships" r:id="rId20"/>
          <a:extLst>
            <a:ext uri="{FF2B5EF4-FFF2-40B4-BE49-F238E27FC236}">
              <a16:creationId xmlns:a16="http://schemas.microsoft.com/office/drawing/2014/main" id="{35AC52E5-74BE-414E-AEE1-DD1054D5B158}"/>
            </a:ext>
          </a:extLst>
        </xdr:cNvPr>
        <xdr:cNvSpPr/>
      </xdr:nvSpPr>
      <xdr:spPr>
        <a:xfrm>
          <a:off x="581025" y="9667875"/>
          <a:ext cx="3505200"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361950</xdr:colOff>
      <xdr:row>96</xdr:row>
      <xdr:rowOff>152401</xdr:rowOff>
    </xdr:from>
    <xdr:to>
      <xdr:col>1</xdr:col>
      <xdr:colOff>5248275</xdr:colOff>
      <xdr:row>121</xdr:row>
      <xdr:rowOff>133351</xdr:rowOff>
    </xdr:to>
    <xdr:grpSp>
      <xdr:nvGrpSpPr>
        <xdr:cNvPr id="91" name="Groupe 246">
          <a:extLst>
            <a:ext uri="{FF2B5EF4-FFF2-40B4-BE49-F238E27FC236}">
              <a16:creationId xmlns:a16="http://schemas.microsoft.com/office/drawing/2014/main" id="{1DD7B124-39E1-4FAF-8951-7A5E46A3AEE3}"/>
            </a:ext>
          </a:extLst>
        </xdr:cNvPr>
        <xdr:cNvGrpSpPr/>
      </xdr:nvGrpSpPr>
      <xdr:grpSpPr>
        <a:xfrm>
          <a:off x="361950" y="19059526"/>
          <a:ext cx="5734050" cy="4743450"/>
          <a:chOff x="171450" y="17059274"/>
          <a:chExt cx="5734050" cy="4546238"/>
        </a:xfrm>
      </xdr:grpSpPr>
      <xdr:sp macro="" textlink="">
        <xdr:nvSpPr>
          <xdr:cNvPr id="92" name="txt_ArrièrePlanVisiteGuidée" descr="Arrière-plan">
            <a:extLst>
              <a:ext uri="{FF2B5EF4-FFF2-40B4-BE49-F238E27FC236}">
                <a16:creationId xmlns:a16="http://schemas.microsoft.com/office/drawing/2014/main" id="{AD06903E-EDAC-416D-81CD-7CF32A9D0532}"/>
              </a:ext>
            </a:extLst>
          </xdr:cNvPr>
          <xdr:cNvSpPr/>
        </xdr:nvSpPr>
        <xdr:spPr>
          <a:xfrm>
            <a:off x="171450" y="17059274"/>
            <a:ext cx="5734050" cy="4546238"/>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93" name="txt_EnTêteVisiteGuidée" descr="Autres fonctions conditionnelles">
            <a:extLst>
              <a:ext uri="{FF2B5EF4-FFF2-40B4-BE49-F238E27FC236}">
                <a16:creationId xmlns:a16="http://schemas.microsoft.com/office/drawing/2014/main" id="{67C71F7C-01FB-45DC-B445-70A237A4A733}"/>
              </a:ext>
            </a:extLst>
          </xdr:cNvPr>
          <xdr:cNvSpPr txBox="1"/>
        </xdr:nvSpPr>
        <xdr:spPr>
          <a:xfrm>
            <a:off x="374653" y="17155402"/>
            <a:ext cx="5251444" cy="490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Autres fonctions conditionnelles</a:t>
            </a:r>
          </a:p>
        </xdr:txBody>
      </xdr:sp>
      <xdr:cxnSp macro="">
        <xdr:nvCxnSpPr>
          <xdr:cNvPr id="94" name="txt_VisiteGuidéeLigne1" descr="Ligne décorative">
            <a:extLst>
              <a:ext uri="{FF2B5EF4-FFF2-40B4-BE49-F238E27FC236}">
                <a16:creationId xmlns:a16="http://schemas.microsoft.com/office/drawing/2014/main" id="{47F7BD3C-971C-4E3B-8804-E4ADD1C6FF35}"/>
              </a:ext>
            </a:extLst>
          </xdr:cNvPr>
          <xdr:cNvCxnSpPr>
            <a:cxnSpLocks/>
          </xdr:cNvCxnSpPr>
        </xdr:nvCxnSpPr>
        <xdr:spPr>
          <a:xfrm>
            <a:off x="374653" y="17732171"/>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95" name="txt_VisiteGuidéeLigne2" descr="Ligne décorative">
            <a:extLst>
              <a:ext uri="{FF2B5EF4-FFF2-40B4-BE49-F238E27FC236}">
                <a16:creationId xmlns:a16="http://schemas.microsoft.com/office/drawing/2014/main" id="{13DD1666-AEE4-4748-81C4-D2CABF811636}"/>
              </a:ext>
            </a:extLst>
          </xdr:cNvPr>
          <xdr:cNvCxnSpPr>
            <a:cxnSpLocks/>
          </xdr:cNvCxnSpPr>
        </xdr:nvCxnSpPr>
        <xdr:spPr>
          <a:xfrm>
            <a:off x="374653" y="2093438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96" name="txt_IntroVisiteGuidée" descr="You've already seen SUMIF, SUMIFS, COUNTIF, and COUNTIFS. Now you can try on your own with the other functions, such as AVERAGEIF/S, MAXIFS, MINIFS. They're all structured the same way, so once you get one formula written, you can just replace the function name with the one you want. We've written all the functions you'll need for cell E106, so you can copy/paste these, or try to type them yourself for practice.&#10;&#10;SUMIF =SUMIF(C92:C103,C106,E92:E103) &#10;SUMIFS =SUMIFS(E92:E103,C92:C103,C106,D92:D103,D106) &#10;AVERAGEIF =AVERAGEIF(C92:C103,C106,E92:E103) &#10;AVERAGEIFS=AVERAGEIFS(E92:E103,C92:C103,C106,D92:D106,D106)&#10;COUNTIF =COUNTIF(C92:C103,C106)&#10;COUNTIFS =COUNTIFS(C92:C103,C106,D92:D103,D106) &#10;MAXIFS =MAXIFS(E92:E103,C92:C103,C106,D92:D103,D106)&#10;MINIFS =MINIFS(E92:E103,C92:C103,C106,D92:D103,D106)&#10;&#10;">
            <a:extLst>
              <a:ext uri="{FF2B5EF4-FFF2-40B4-BE49-F238E27FC236}">
                <a16:creationId xmlns:a16="http://schemas.microsoft.com/office/drawing/2014/main" id="{3DB48ABF-4740-497D-AA75-483080E7EFCC}"/>
              </a:ext>
            </a:extLst>
          </xdr:cNvPr>
          <xdr:cNvSpPr txBox="1"/>
        </xdr:nvSpPr>
        <xdr:spPr>
          <a:xfrm>
            <a:off x="381162" y="17765893"/>
            <a:ext cx="5448137" cy="32462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Maintenant que vous connaissez les fonctions SOMME.SI, SOMME.SI.ENS, NB.SI et NB.SI.ENS, vous pouvez essayer d’autres fonctions, telles que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MOYENNE.SI/.ENS</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MAX.SI.ENS</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et </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MIN.SI.ENS</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a:t>
            </a: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Ces fonctions sont toutes structurées de la même façon. Par conséquent, une fois la formule créée, il vous suffit de remplacer le nom d’une fonction par celui d’une autre fonction. Nous avons créé toutes les formules dont vous aurez besoin pour la cellule E106. Vous pouvez donc les copier/coller, ou essayer de les entrer manuellement pour vous entraîner.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SOMME.SI	          =SOMME.SI(C92:C103;C106;E92:E103)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SOMME.SI.ENS        =SOMME.SI.ENS(E92:E103;C92:C103;C106;D92:D103;D106)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MOYENNE.SI	          =MOYENNE.SI(C92:C103;C106;E92:E103)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MOYENNE.SI.ENS    =MOYENNE.SI.ENS(E92:E103;C92:C103;C106;D92:D103;D106)</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NB.SI	          =NB.SI(C92:C103;C106)</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NB.SI.ENS	          =NB.SI.ENS(C92:C103;C106;D92:D103;D106) </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MAX.SI.ENS	          =MAX.SI.ENS(E92:E103;C92:C103;C106;D92:D103;D106)</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MIN.SI.ENS	          =MIN.SI.ENS(E92:E103;C92:C103;C106;D92:D103;D106)</a:t>
            </a:r>
            <a:r>
              <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 </a:t>
            </a:r>
          </a:p>
        </xdr:txBody>
      </xdr:sp>
    </xdr:grpSp>
    <xdr:clientData/>
  </xdr:twoCellAnchor>
  <xdr:twoCellAnchor editAs="absolute">
    <xdr:from>
      <xdr:col>1</xdr:col>
      <xdr:colOff>3675111</xdr:colOff>
      <xdr:row>118</xdr:row>
      <xdr:rowOff>142875</xdr:rowOff>
    </xdr:from>
    <xdr:to>
      <xdr:col>1</xdr:col>
      <xdr:colOff>4950281</xdr:colOff>
      <xdr:row>120</xdr:row>
      <xdr:rowOff>97324</xdr:rowOff>
    </xdr:to>
    <xdr:sp macro="" textlink="">
      <xdr:nvSpPr>
        <xdr:cNvPr id="97" name="BoutonSuivant" descr="Passer à la feuille suivante">
          <a:hlinkClick xmlns:r="http://schemas.openxmlformats.org/officeDocument/2006/relationships" r:id="rId3" tooltip="Cliquez ici pour passer à la feuille suivante"/>
          <a:extLst>
            <a:ext uri="{FF2B5EF4-FFF2-40B4-BE49-F238E27FC236}">
              <a16:creationId xmlns:a16="http://schemas.microsoft.com/office/drawing/2014/main" id="{4EB80BE2-1847-47A6-B780-D54C7E7A61B9}"/>
            </a:ext>
          </a:extLst>
        </xdr:cNvPr>
        <xdr:cNvSpPr/>
      </xdr:nvSpPr>
      <xdr:spPr>
        <a:xfrm>
          <a:off x="4522836" y="23241000"/>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0</xdr:col>
      <xdr:colOff>361950</xdr:colOff>
      <xdr:row>51</xdr:row>
      <xdr:rowOff>123825</xdr:rowOff>
    </xdr:from>
    <xdr:to>
      <xdr:col>1</xdr:col>
      <xdr:colOff>5248275</xdr:colOff>
      <xdr:row>96</xdr:row>
      <xdr:rowOff>28574</xdr:rowOff>
    </xdr:to>
    <xdr:sp macro="" textlink="">
      <xdr:nvSpPr>
        <xdr:cNvPr id="98" name="Arrière-plan" descr="Arrière-plan">
          <a:extLst>
            <a:ext uri="{FF2B5EF4-FFF2-40B4-BE49-F238E27FC236}">
              <a16:creationId xmlns:a16="http://schemas.microsoft.com/office/drawing/2014/main" id="{D141D143-3415-4BAD-A568-D37FBBF5737F}"/>
            </a:ext>
          </a:extLst>
        </xdr:cNvPr>
        <xdr:cNvSpPr/>
      </xdr:nvSpPr>
      <xdr:spPr>
        <a:xfrm>
          <a:off x="361950" y="10420350"/>
          <a:ext cx="5734050" cy="8515349"/>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547701</xdr:colOff>
      <xdr:row>55</xdr:row>
      <xdr:rowOff>28575</xdr:rowOff>
    </xdr:from>
    <xdr:to>
      <xdr:col>1</xdr:col>
      <xdr:colOff>4948224</xdr:colOff>
      <xdr:row>55</xdr:row>
      <xdr:rowOff>28575</xdr:rowOff>
    </xdr:to>
    <xdr:cxnSp macro="">
      <xdr:nvCxnSpPr>
        <xdr:cNvPr id="99" name="Trait inférieur" descr="Ligne décorative">
          <a:extLst>
            <a:ext uri="{FF2B5EF4-FFF2-40B4-BE49-F238E27FC236}">
              <a16:creationId xmlns:a16="http://schemas.microsoft.com/office/drawing/2014/main" id="{235A7077-C8D4-4EE1-BF62-EC9B16454072}"/>
            </a:ext>
          </a:extLst>
        </xdr:cNvPr>
        <xdr:cNvCxnSpPr>
          <a:cxnSpLocks/>
        </xdr:cNvCxnSpPr>
      </xdr:nvCxnSpPr>
      <xdr:spPr>
        <a:xfrm>
          <a:off x="547701" y="11087100"/>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547701</xdr:colOff>
      <xdr:row>52</xdr:row>
      <xdr:rowOff>28575</xdr:rowOff>
    </xdr:from>
    <xdr:to>
      <xdr:col>1</xdr:col>
      <xdr:colOff>4951420</xdr:colOff>
      <xdr:row>54</xdr:row>
      <xdr:rowOff>133417</xdr:rowOff>
    </xdr:to>
    <xdr:sp macro="" textlink="">
      <xdr:nvSpPr>
        <xdr:cNvPr id="100" name="Étape" descr="Fonctions conditionnelles : NB.SI&#10;">
          <a:extLst>
            <a:ext uri="{FF2B5EF4-FFF2-40B4-BE49-F238E27FC236}">
              <a16:creationId xmlns:a16="http://schemas.microsoft.com/office/drawing/2014/main" id="{6312A3C7-A88B-4F9F-A0D9-886FFAE0A513}"/>
            </a:ext>
          </a:extLst>
        </xdr:cNvPr>
        <xdr:cNvSpPr txBox="1"/>
      </xdr:nvSpPr>
      <xdr:spPr>
        <a:xfrm>
          <a:off x="547701" y="10515600"/>
          <a:ext cx="5251444" cy="48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conditionnelles - NB.SI</a:t>
          </a:r>
        </a:p>
      </xdr:txBody>
    </xdr:sp>
    <xdr:clientData/>
  </xdr:twoCellAnchor>
  <xdr:twoCellAnchor editAs="absolute">
    <xdr:from>
      <xdr:col>0</xdr:col>
      <xdr:colOff>547701</xdr:colOff>
      <xdr:row>91</xdr:row>
      <xdr:rowOff>154517</xdr:rowOff>
    </xdr:from>
    <xdr:to>
      <xdr:col>1</xdr:col>
      <xdr:colOff>4948224</xdr:colOff>
      <xdr:row>91</xdr:row>
      <xdr:rowOff>154517</xdr:rowOff>
    </xdr:to>
    <xdr:cxnSp macro="">
      <xdr:nvCxnSpPr>
        <xdr:cNvPr id="101" name="Trait inférieur" descr="Ligne décorative">
          <a:extLst>
            <a:ext uri="{FF2B5EF4-FFF2-40B4-BE49-F238E27FC236}">
              <a16:creationId xmlns:a16="http://schemas.microsoft.com/office/drawing/2014/main" id="{6B4BA292-8217-4553-9532-DD831701FB05}"/>
            </a:ext>
          </a:extLst>
        </xdr:cNvPr>
        <xdr:cNvCxnSpPr>
          <a:cxnSpLocks/>
        </xdr:cNvCxnSpPr>
      </xdr:nvCxnSpPr>
      <xdr:spPr>
        <a:xfrm>
          <a:off x="547701" y="18109142"/>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561975</xdr:colOff>
      <xdr:row>55</xdr:row>
      <xdr:rowOff>28575</xdr:rowOff>
    </xdr:from>
    <xdr:to>
      <xdr:col>1</xdr:col>
      <xdr:colOff>4943475</xdr:colOff>
      <xdr:row>60</xdr:row>
      <xdr:rowOff>161925</xdr:rowOff>
    </xdr:to>
    <xdr:sp macro="" textlink="">
      <xdr:nvSpPr>
        <xdr:cNvPr id="102" name="Présentation de l’ajout de nombres" descr="Les fonctions NB.SI et NB.SI.ENS vous permettent de compter les valeurs d’une plage en utilisant le critère de votre choix. Elles sont un peu différentes des autres fonctions SI et SI.CONDITIONS car elles comportent uniquement une plage de critères et un critère. Elles n’évaluent pas une plage pour examiner ensuite une autre plage à synthétiser.">
          <a:extLst>
            <a:ext uri="{FF2B5EF4-FFF2-40B4-BE49-F238E27FC236}">
              <a16:creationId xmlns:a16="http://schemas.microsoft.com/office/drawing/2014/main" id="{8B36EFE7-7764-447D-A7C2-089F303E2343}"/>
            </a:ext>
          </a:extLst>
        </xdr:cNvPr>
        <xdr:cNvSpPr txBox="1"/>
      </xdr:nvSpPr>
      <xdr:spPr>
        <a:xfrm>
          <a:off x="561975" y="11087100"/>
          <a:ext cx="5229225"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sz="1100">
              <a:latin typeface="Segoe UI" panose="020B0502040204020203" pitchFamily="34" charset="0"/>
              <a:cs typeface="Segoe UI" panose="020B0502040204020203" pitchFamily="34" charset="0"/>
            </a:rPr>
            <a:t>Les fonctions </a:t>
          </a:r>
          <a:r>
            <a:rPr lang="fr" sz="1100" b="1" kern="1200">
              <a:solidFill>
                <a:schemeClr val="tx1">
                  <a:lumMod val="75000"/>
                  <a:lumOff val="25000"/>
                </a:schemeClr>
              </a:solidFill>
              <a:latin typeface="Segoe UI" panose="020B0502040204020203" pitchFamily="34" charset="0"/>
              <a:ea typeface="+mn-ea"/>
              <a:cs typeface="Segoe UI" panose="020B0502040204020203" pitchFamily="34" charset="0"/>
            </a:rPr>
            <a:t>NB.SI</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 et</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a:t>
          </a:r>
          <a:r>
            <a:rPr lang="fr" sz="1100" b="1" kern="1200" baseline="0">
              <a:solidFill>
                <a:schemeClr val="tx1">
                  <a:lumMod val="75000"/>
                  <a:lumOff val="25000"/>
                </a:schemeClr>
              </a:solidFill>
              <a:latin typeface="Segoe UI" panose="020B0502040204020203" pitchFamily="34" charset="0"/>
              <a:ea typeface="+mn-ea"/>
              <a:cs typeface="Segoe UI" panose="020B0502040204020203" pitchFamily="34" charset="0"/>
            </a:rPr>
            <a:t>NB.SI.ENS</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vous permettent de compter les valeurs d’une plage en utilisant le critère de votre choix. Elles sont </a:t>
          </a:r>
          <a:r>
            <a:rPr lang="fr" sz="1100" kern="1200">
              <a:solidFill>
                <a:schemeClr val="tx1">
                  <a:lumMod val="75000"/>
                  <a:lumOff val="25000"/>
                </a:schemeClr>
              </a:solidFill>
              <a:latin typeface="Segoe UI" panose="020B0502040204020203" pitchFamily="34" charset="0"/>
              <a:ea typeface="+mn-ea"/>
              <a:cs typeface="Segoe UI" panose="020B0502040204020203" pitchFamily="34" charset="0"/>
            </a:rPr>
            <a:t>un peu différentes</a:t>
          </a:r>
          <a:r>
            <a:rPr lang="fr" sz="1100" kern="1200" baseline="0">
              <a:solidFill>
                <a:schemeClr val="tx1">
                  <a:lumMod val="75000"/>
                  <a:lumOff val="25000"/>
                </a:schemeClr>
              </a:solidFill>
              <a:latin typeface="Segoe UI" panose="020B0502040204020203" pitchFamily="34" charset="0"/>
              <a:ea typeface="+mn-ea"/>
              <a:cs typeface="Segoe UI" panose="020B0502040204020203" pitchFamily="34" charset="0"/>
            </a:rPr>
            <a:t> des autres fonctions SI et SI.CONDITIONS car elles comportent uniquement une plage de critères et un critère. Elles n’évaluent pas une plage pour examiner ensuite une autre plage à synthétiser.</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571500</xdr:colOff>
      <xdr:row>60</xdr:row>
      <xdr:rowOff>142875</xdr:rowOff>
    </xdr:from>
    <xdr:to>
      <xdr:col>1</xdr:col>
      <xdr:colOff>4943876</xdr:colOff>
      <xdr:row>63</xdr:row>
      <xdr:rowOff>151707</xdr:rowOff>
    </xdr:to>
    <xdr:grpSp>
      <xdr:nvGrpSpPr>
        <xdr:cNvPr id="103" name="Groupe 102">
          <a:extLst>
            <a:ext uri="{FF2B5EF4-FFF2-40B4-BE49-F238E27FC236}">
              <a16:creationId xmlns:a16="http://schemas.microsoft.com/office/drawing/2014/main" id="{E2A644F8-FD5B-48A2-A553-4DB8FB649DBF}"/>
            </a:ext>
          </a:extLst>
        </xdr:cNvPr>
        <xdr:cNvGrpSpPr/>
      </xdr:nvGrpSpPr>
      <xdr:grpSpPr>
        <a:xfrm>
          <a:off x="571500" y="12153900"/>
          <a:ext cx="5220101" cy="589857"/>
          <a:chOff x="609600" y="10820400"/>
          <a:chExt cx="5220101" cy="596207"/>
        </a:xfrm>
      </xdr:grpSpPr>
      <xdr:sp macro="" textlink="">
        <xdr:nvSpPr>
          <xdr:cNvPr id="104" name="txt_Étape" descr="Sélectionnez la cellule D64 et entrez =NB.SI(C50:C61,C64). La structure de la fonction NB.SI est la suivante :">
            <a:extLst>
              <a:ext uri="{FF2B5EF4-FFF2-40B4-BE49-F238E27FC236}">
                <a16:creationId xmlns:a16="http://schemas.microsoft.com/office/drawing/2014/main" id="{CD6D9495-5A82-42F3-8950-5EEB46C231B1}"/>
              </a:ext>
            </a:extLst>
          </xdr:cNvPr>
          <xdr:cNvSpPr txBox="1"/>
        </xdr:nvSpPr>
        <xdr:spPr>
          <a:xfrm>
            <a:off x="981857" y="10862358"/>
            <a:ext cx="4809744" cy="554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Sélectionnez la cellule D64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=NB.SI(C50:C61;C64)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xdr:txBody>
      </xdr:sp>
      <xdr:sp macro="" textlink="">
        <xdr:nvSpPr>
          <xdr:cNvPr id="105" name="shp_Étape" descr="1">
            <a:extLst>
              <a:ext uri="{FF2B5EF4-FFF2-40B4-BE49-F238E27FC236}">
                <a16:creationId xmlns:a16="http://schemas.microsoft.com/office/drawing/2014/main" id="{7D345AC2-41EB-4035-A0C9-85F20DD3B228}"/>
              </a:ext>
            </a:extLst>
          </xdr:cNvPr>
          <xdr:cNvSpPr/>
        </xdr:nvSpPr>
        <xdr:spPr>
          <a:xfrm>
            <a:off x="571500" y="1082040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1</xdr:col>
      <xdr:colOff>3733801</xdr:colOff>
      <xdr:row>92</xdr:row>
      <xdr:rowOff>154516</xdr:rowOff>
    </xdr:from>
    <xdr:to>
      <xdr:col>1</xdr:col>
      <xdr:colOff>4878004</xdr:colOff>
      <xdr:row>94</xdr:row>
      <xdr:rowOff>121590</xdr:rowOff>
    </xdr:to>
    <xdr:sp macro="" textlink="">
      <xdr:nvSpPr>
        <xdr:cNvPr id="106" name="BoutonSuivant" descr="Passer à la feuille suivante">
          <a:hlinkClick xmlns:r="http://schemas.openxmlformats.org/officeDocument/2006/relationships" r:id="rId3" tooltip="Cliquez ici pour passer à la feuille de calcul suivante"/>
          <a:extLst>
            <a:ext uri="{FF2B5EF4-FFF2-40B4-BE49-F238E27FC236}">
              <a16:creationId xmlns:a16="http://schemas.microsoft.com/office/drawing/2014/main" id="{40BB8BF4-D886-42DE-91A3-8675E5805EB7}"/>
            </a:ext>
          </a:extLst>
        </xdr:cNvPr>
        <xdr:cNvSpPr/>
      </xdr:nvSpPr>
      <xdr:spPr>
        <a:xfrm>
          <a:off x="4581526" y="18299641"/>
          <a:ext cx="1144203" cy="348074"/>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xdr:twoCellAnchor>
  <xdr:twoCellAnchor editAs="absolute">
    <xdr:from>
      <xdr:col>0</xdr:col>
      <xdr:colOff>533400</xdr:colOff>
      <xdr:row>73</xdr:row>
      <xdr:rowOff>161925</xdr:rowOff>
    </xdr:from>
    <xdr:to>
      <xdr:col>1</xdr:col>
      <xdr:colOff>4905776</xdr:colOff>
      <xdr:row>80</xdr:row>
      <xdr:rowOff>95250</xdr:rowOff>
    </xdr:to>
    <xdr:grpSp>
      <xdr:nvGrpSpPr>
        <xdr:cNvPr id="107" name="Groupe 5">
          <a:extLst>
            <a:ext uri="{FF2B5EF4-FFF2-40B4-BE49-F238E27FC236}">
              <a16:creationId xmlns:a16="http://schemas.microsoft.com/office/drawing/2014/main" id="{73BE9AF1-20F7-41D8-9709-5909E7F31972}"/>
            </a:ext>
          </a:extLst>
        </xdr:cNvPr>
        <xdr:cNvGrpSpPr/>
      </xdr:nvGrpSpPr>
      <xdr:grpSpPr>
        <a:xfrm>
          <a:off x="533400" y="14687550"/>
          <a:ext cx="5220101" cy="1266825"/>
          <a:chOff x="571500" y="13230225"/>
          <a:chExt cx="5220101" cy="1266825"/>
        </a:xfrm>
      </xdr:grpSpPr>
      <xdr:sp macro="" textlink="">
        <xdr:nvSpPr>
          <xdr:cNvPr id="108" name="txt_Étape" descr="La fonction NB.SI.ENS est identique à SOMME.SI, si ce n’est qu’elle vous permet d’utiliser plusieurs critères. Par exemple, vous pouvez ici effectuer une recherche sur les critères Fruits et Type, et pas seulement sur Fruits. Sélectionnez la cellule H64 et entrez =NB.SI.ENS(F50:F61,F64,G50:G61,G64). La structure de la fonction NB.SI.ENS est la suivante :">
            <a:extLst>
              <a:ext uri="{FF2B5EF4-FFF2-40B4-BE49-F238E27FC236}">
                <a16:creationId xmlns:a16="http://schemas.microsoft.com/office/drawing/2014/main" id="{BF64E62E-238C-4C1F-BAA7-015B470BB8CD}"/>
              </a:ext>
            </a:extLst>
          </xdr:cNvPr>
          <xdr:cNvSpPr txBox="1"/>
        </xdr:nvSpPr>
        <xdr:spPr>
          <a:xfrm>
            <a:off x="981857" y="13272183"/>
            <a:ext cx="4809744" cy="1224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sz="1100">
                <a:latin typeface="Segoe UI" panose="020B0502040204020203"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identique à SOMME.SI, si ce n’est qu’elle vous permet d’utiliser plusieurs critères. Par exemple, vous pouvez ici effectuer une recherche sur les critères Fruits et Type, et pas seulement sur Fruits. Sélectionnez la cellule H64 et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=NB.SI.ENS(F50:F61;F64;G50:G61;G64)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r>
              <a:rPr sz="1100">
                <a:latin typeface="Segoe UI" panose="020B0502040204020203" pitchFamily="34" charset="0"/>
                <a:cs typeface="Segoe UI" panose="020B0502040204020203" pitchFamily="34" charset="0"/>
              </a:rPr>
              <a:t>La structure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NB.SI.ENS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la suivante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09" name="shp_Étape" descr="2">
            <a:extLst>
              <a:ext uri="{FF2B5EF4-FFF2-40B4-BE49-F238E27FC236}">
                <a16:creationId xmlns:a16="http://schemas.microsoft.com/office/drawing/2014/main" id="{BB568DFE-263D-4D07-8C45-AB9FA6FD899D}"/>
              </a:ext>
            </a:extLst>
          </xdr:cNvPr>
          <xdr:cNvSpPr/>
        </xdr:nvSpPr>
        <xdr:spPr>
          <a:xfrm>
            <a:off x="571500" y="1323022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xdr:from>
      <xdr:col>1</xdr:col>
      <xdr:colOff>828675</xdr:colOff>
      <xdr:row>63</xdr:row>
      <xdr:rowOff>98425</xdr:rowOff>
    </xdr:from>
    <xdr:to>
      <xdr:col>1</xdr:col>
      <xdr:colOff>4800600</xdr:colOff>
      <xdr:row>73</xdr:row>
      <xdr:rowOff>133350</xdr:rowOff>
    </xdr:to>
    <xdr:grpSp>
      <xdr:nvGrpSpPr>
        <xdr:cNvPr id="110" name="Groupe 109">
          <a:extLst>
            <a:ext uri="{FF2B5EF4-FFF2-40B4-BE49-F238E27FC236}">
              <a16:creationId xmlns:a16="http://schemas.microsoft.com/office/drawing/2014/main" id="{3740F89E-B7C6-4691-82E3-2A85E8B80C59}"/>
            </a:ext>
          </a:extLst>
        </xdr:cNvPr>
        <xdr:cNvGrpSpPr/>
      </xdr:nvGrpSpPr>
      <xdr:grpSpPr>
        <a:xfrm>
          <a:off x="1676400" y="12690475"/>
          <a:ext cx="3971925" cy="1968500"/>
          <a:chOff x="3686175" y="4524375"/>
          <a:chExt cx="3971925" cy="1924050"/>
        </a:xfrm>
      </xdr:grpSpPr>
      <xdr:sp macro="" textlink="">
        <xdr:nvSpPr>
          <xdr:cNvPr id="111" name="txt_Formule" descr="=NB.SI.ENS(C50:C61,C64)&#10;">
            <a:extLst>
              <a:ext uri="{FF2B5EF4-FFF2-40B4-BE49-F238E27FC236}">
                <a16:creationId xmlns:a16="http://schemas.microsoft.com/office/drawing/2014/main" id="{C0A90933-D896-4F87-A247-56CA9C3038F9}"/>
              </a:ext>
            </a:extLst>
          </xdr:cNvPr>
          <xdr:cNvSpPr txBox="1"/>
        </xdr:nvSpPr>
        <xdr:spPr>
          <a:xfrm>
            <a:off x="3686175" y="5371239"/>
            <a:ext cx="3971925" cy="531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=NB.SI(C50:C61;C64)</a:t>
            </a:r>
            <a:endParaRPr lang="en-US" sz="2000">
              <a:effectLst/>
              <a:latin typeface="Courier New" panose="02070309020205020404" pitchFamily="49" charset="0"/>
              <a:ea typeface="Times New Roman" panose="02020603050405020304" pitchFamily="18" charset="0"/>
            </a:endParaRPr>
          </a:p>
        </xdr:txBody>
      </xdr:sp>
      <xdr:grpSp>
        <xdr:nvGrpSpPr>
          <xdr:cNvPr id="112" name="Groupe 268">
            <a:extLst>
              <a:ext uri="{FF2B5EF4-FFF2-40B4-BE49-F238E27FC236}">
                <a16:creationId xmlns:a16="http://schemas.microsoft.com/office/drawing/2014/main" id="{C41C0B92-BDCA-4DFD-B938-25D36DADDAF5}"/>
              </a:ext>
            </a:extLst>
          </xdr:cNvPr>
          <xdr:cNvGrpSpPr/>
        </xdr:nvGrpSpPr>
        <xdr:grpSpPr>
          <a:xfrm>
            <a:off x="4562475" y="4524375"/>
            <a:ext cx="1352550" cy="861227"/>
            <a:chOff x="4562475" y="4524375"/>
            <a:chExt cx="1352550" cy="861227"/>
          </a:xfrm>
        </xdr:grpSpPr>
        <xdr:sp macro="" textlink="">
          <xdr:nvSpPr>
            <xdr:cNvPr id="116" name="AccoladeSupérieureFormule">
              <a:extLst>
                <a:ext uri="{FF2B5EF4-FFF2-40B4-BE49-F238E27FC236}">
                  <a16:creationId xmlns:a16="http://schemas.microsoft.com/office/drawing/2014/main" id="{B2A79F95-D9D5-473D-8B47-3AAE3378A1B0}"/>
                </a:ext>
              </a:extLst>
            </xdr:cNvPr>
            <xdr:cNvSpPr/>
          </xdr:nvSpPr>
          <xdr:spPr>
            <a:xfrm rot="5400000">
              <a:off x="4998636" y="4602564"/>
              <a:ext cx="499277" cy="10668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117" name="txt_LégendeSupérieureFormule" descr="Quelle plage voulez-vous examiner ?&#10;">
              <a:extLst>
                <a:ext uri="{FF2B5EF4-FFF2-40B4-BE49-F238E27FC236}">
                  <a16:creationId xmlns:a16="http://schemas.microsoft.com/office/drawing/2014/main" id="{C9BB43CB-8870-456C-BAB6-341035715DC1}"/>
                </a:ext>
              </a:extLst>
            </xdr:cNvPr>
            <xdr:cNvSpPr txBox="1">
              <a:spLocks noChangeArrowheads="1"/>
            </xdr:cNvSpPr>
          </xdr:nvSpPr>
          <xdr:spPr bwMode="auto">
            <a:xfrm>
              <a:off x="4562475" y="4524375"/>
              <a:ext cx="1352550" cy="49912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plage voulez-vous examiner ?</a:t>
              </a:r>
            </a:p>
          </xdr:txBody>
        </xdr:sp>
      </xdr:grpSp>
      <xdr:grpSp>
        <xdr:nvGrpSpPr>
          <xdr:cNvPr id="113" name="Groupe 112">
            <a:extLst>
              <a:ext uri="{FF2B5EF4-FFF2-40B4-BE49-F238E27FC236}">
                <a16:creationId xmlns:a16="http://schemas.microsoft.com/office/drawing/2014/main" id="{76C8EB80-B0D6-44F6-A51B-5CE258D0EBAB}"/>
              </a:ext>
            </a:extLst>
          </xdr:cNvPr>
          <xdr:cNvGrpSpPr/>
        </xdr:nvGrpSpPr>
        <xdr:grpSpPr>
          <a:xfrm>
            <a:off x="5114925" y="5610223"/>
            <a:ext cx="2171700" cy="838202"/>
            <a:chOff x="5114925" y="5610223"/>
            <a:chExt cx="2171700" cy="838202"/>
          </a:xfrm>
        </xdr:grpSpPr>
        <xdr:sp macro="" textlink="">
          <xdr:nvSpPr>
            <xdr:cNvPr id="114" name="AccoladeInférieureFormule">
              <a:extLst>
                <a:ext uri="{FF2B5EF4-FFF2-40B4-BE49-F238E27FC236}">
                  <a16:creationId xmlns:a16="http://schemas.microsoft.com/office/drawing/2014/main" id="{FCC3E70E-821A-481B-9831-C7DF57A8D53B}"/>
                </a:ext>
              </a:extLst>
            </xdr:cNvPr>
            <xdr:cNvSpPr/>
          </xdr:nvSpPr>
          <xdr:spPr>
            <a:xfrm rot="16200000">
              <a:off x="5951138" y="5612213"/>
              <a:ext cx="499277" cy="495298"/>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115" name="txt_LégendeInférieureFormule" descr="Quelle valeur (texte ou nombre) voulez-vous rechercher ?&#10;">
              <a:extLst>
                <a:ext uri="{FF2B5EF4-FFF2-40B4-BE49-F238E27FC236}">
                  <a16:creationId xmlns:a16="http://schemas.microsoft.com/office/drawing/2014/main" id="{D3AD0764-02F7-4DD0-8BCC-6E33304B13FC}"/>
                </a:ext>
              </a:extLst>
            </xdr:cNvPr>
            <xdr:cNvSpPr txBox="1">
              <a:spLocks noChangeArrowheads="1"/>
            </xdr:cNvSpPr>
          </xdr:nvSpPr>
          <xdr:spPr bwMode="auto">
            <a:xfrm>
              <a:off x="5114925" y="5962650"/>
              <a:ext cx="2171700" cy="48577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Quelle valeur (texte ou nombre) voulez-vous rechercher ?</a:t>
              </a:r>
            </a:p>
          </xdr:txBody>
        </xdr:sp>
      </xdr:grpSp>
    </xdr:grpSp>
    <xdr:clientData/>
  </xdr:twoCellAnchor>
  <xdr:twoCellAnchor>
    <xdr:from>
      <xdr:col>0</xdr:col>
      <xdr:colOff>619125</xdr:colOff>
      <xdr:row>80</xdr:row>
      <xdr:rowOff>133332</xdr:rowOff>
    </xdr:from>
    <xdr:to>
      <xdr:col>1</xdr:col>
      <xdr:colOff>5171049</xdr:colOff>
      <xdr:row>90</xdr:row>
      <xdr:rowOff>163994</xdr:rowOff>
    </xdr:to>
    <xdr:grpSp>
      <xdr:nvGrpSpPr>
        <xdr:cNvPr id="118" name="Groupe 274">
          <a:extLst>
            <a:ext uri="{FF2B5EF4-FFF2-40B4-BE49-F238E27FC236}">
              <a16:creationId xmlns:a16="http://schemas.microsoft.com/office/drawing/2014/main" id="{9DBCA7EE-EF44-45FF-A07B-8C3B911F6AF4}"/>
            </a:ext>
          </a:extLst>
        </xdr:cNvPr>
        <xdr:cNvGrpSpPr/>
      </xdr:nvGrpSpPr>
      <xdr:grpSpPr>
        <a:xfrm>
          <a:off x="619125" y="15992457"/>
          <a:ext cx="5399649" cy="1935662"/>
          <a:chOff x="638175" y="14144607"/>
          <a:chExt cx="5371072" cy="1964237"/>
        </a:xfrm>
      </xdr:grpSpPr>
      <xdr:sp macro="" textlink="">
        <xdr:nvSpPr>
          <xdr:cNvPr id="119" name="AccoladeInférieureFormule">
            <a:extLst>
              <a:ext uri="{FF2B5EF4-FFF2-40B4-BE49-F238E27FC236}">
                <a16:creationId xmlns:a16="http://schemas.microsoft.com/office/drawing/2014/main" id="{6693CF34-49E4-48D4-824E-7A3C15E0EDE6}"/>
              </a:ext>
            </a:extLst>
          </xdr:cNvPr>
          <xdr:cNvSpPr/>
        </xdr:nvSpPr>
        <xdr:spPr>
          <a:xfrm rot="16200000">
            <a:off x="5202906" y="15262849"/>
            <a:ext cx="495146" cy="443895"/>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120" name="AccoladeInférieureFormule">
            <a:extLst>
              <a:ext uri="{FF2B5EF4-FFF2-40B4-BE49-F238E27FC236}">
                <a16:creationId xmlns:a16="http://schemas.microsoft.com/office/drawing/2014/main" id="{57D528BD-C77E-430A-908D-AB109248FF76}"/>
              </a:ext>
            </a:extLst>
          </xdr:cNvPr>
          <xdr:cNvSpPr/>
        </xdr:nvSpPr>
        <xdr:spPr>
          <a:xfrm rot="16200000">
            <a:off x="3433135" y="15268661"/>
            <a:ext cx="495146" cy="43227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121" name="AccoladeSupérieureFormule">
            <a:extLst>
              <a:ext uri="{FF2B5EF4-FFF2-40B4-BE49-F238E27FC236}">
                <a16:creationId xmlns:a16="http://schemas.microsoft.com/office/drawing/2014/main" id="{F3D098C7-B959-46F4-999B-BA388368FFEC}"/>
              </a:ext>
            </a:extLst>
          </xdr:cNvPr>
          <xdr:cNvSpPr/>
        </xdr:nvSpPr>
        <xdr:spPr>
          <a:xfrm rot="5400000">
            <a:off x="4324529" y="14236019"/>
            <a:ext cx="495146" cy="1061733"/>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122" name="AccoladeSupérieureFormule">
            <a:extLst>
              <a:ext uri="{FF2B5EF4-FFF2-40B4-BE49-F238E27FC236}">
                <a16:creationId xmlns:a16="http://schemas.microsoft.com/office/drawing/2014/main" id="{71CB7358-5305-42A6-9CB5-E779420FF323}"/>
              </a:ext>
            </a:extLst>
          </xdr:cNvPr>
          <xdr:cNvSpPr/>
        </xdr:nvSpPr>
        <xdr:spPr>
          <a:xfrm rot="5400000">
            <a:off x="2508066" y="14268220"/>
            <a:ext cx="495146" cy="99732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123" name="txt_Formule" descr="=NB.SI.ENS(F50:F61,F64,G50:G61,G64)&#10;">
            <a:extLst>
              <a:ext uri="{FF2B5EF4-FFF2-40B4-BE49-F238E27FC236}">
                <a16:creationId xmlns:a16="http://schemas.microsoft.com/office/drawing/2014/main" id="{3F7FCF91-761A-4B51-96B0-83924C9E3B08}"/>
              </a:ext>
            </a:extLst>
          </xdr:cNvPr>
          <xdr:cNvSpPr txBox="1"/>
        </xdr:nvSpPr>
        <xdr:spPr>
          <a:xfrm>
            <a:off x="638175" y="14982175"/>
            <a:ext cx="5267326" cy="526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spc="-30" baseline="0">
                <a:solidFill>
                  <a:srgbClr val="000000"/>
                </a:solidFill>
                <a:effectLst/>
                <a:latin typeface="Courier New" panose="02070309020205020404" pitchFamily="49" charset="0"/>
                <a:ea typeface="Times New Roman" panose="02020603050405020304" pitchFamily="18" charset="0"/>
              </a:rPr>
              <a:t>=NB.SI.ENS(F50:F61;F64;G50:G61;G64)</a:t>
            </a:r>
            <a:endParaRPr lang="en-US" sz="2000" spc="-30" baseline="0">
              <a:effectLst/>
              <a:latin typeface="Courier New" panose="02070309020205020404" pitchFamily="49" charset="0"/>
              <a:ea typeface="Times New Roman" panose="02020603050405020304" pitchFamily="18" charset="0"/>
            </a:endParaRPr>
          </a:p>
        </xdr:txBody>
      </xdr:sp>
      <xdr:sp macro="" textlink="">
        <xdr:nvSpPr>
          <xdr:cNvPr id="124" name="txt_LégendeSupérieureFormule" descr="Première plage à compter&#10;&#10;&#10;">
            <a:extLst>
              <a:ext uri="{FF2B5EF4-FFF2-40B4-BE49-F238E27FC236}">
                <a16:creationId xmlns:a16="http://schemas.microsoft.com/office/drawing/2014/main" id="{DD289D5A-1F38-4090-B213-75E7CE8414FD}"/>
              </a:ext>
            </a:extLst>
          </xdr:cNvPr>
          <xdr:cNvSpPr txBox="1">
            <a:spLocks noChangeArrowheads="1"/>
          </xdr:cNvSpPr>
        </xdr:nvSpPr>
        <xdr:spPr bwMode="auto">
          <a:xfrm>
            <a:off x="2199995" y="14144607"/>
            <a:ext cx="1111288"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Première plage à compter</a:t>
            </a:r>
          </a:p>
        </xdr:txBody>
      </xdr:sp>
      <xdr:sp macro="" textlink="">
        <xdr:nvSpPr>
          <xdr:cNvPr id="125" name="txt_LégendeSupérieureFormule" descr="Deuxième plage à compter&#10;">
            <a:extLst>
              <a:ext uri="{FF2B5EF4-FFF2-40B4-BE49-F238E27FC236}">
                <a16:creationId xmlns:a16="http://schemas.microsoft.com/office/drawing/2014/main" id="{40F3B8A7-D5E1-41C4-B8C3-B79234D7A7BA}"/>
              </a:ext>
            </a:extLst>
          </xdr:cNvPr>
          <xdr:cNvSpPr txBox="1">
            <a:spLocks noChangeArrowheads="1"/>
          </xdr:cNvSpPr>
        </xdr:nvSpPr>
        <xdr:spPr bwMode="auto">
          <a:xfrm>
            <a:off x="3962927" y="14144607"/>
            <a:ext cx="1218346"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rtl="0"/>
            <a:r>
              <a:rPr lang="fr" sz="1100">
                <a:effectLst/>
                <a:latin typeface="Calibri" panose="020F0502020204030204" pitchFamily="34" charset="0"/>
                <a:ea typeface="+mn-ea"/>
                <a:cs typeface="+mn-cs"/>
              </a:rPr>
              <a:t>Deuxième plage à compter</a:t>
            </a:r>
            <a:endParaRPr lang="en-US">
              <a:effectLst/>
              <a:latin typeface="Calibri" panose="020F0502020204030204" pitchFamily="34" charset="0"/>
            </a:endParaRPr>
          </a:p>
        </xdr:txBody>
      </xdr:sp>
      <xdr:sp macro="" textlink="">
        <xdr:nvSpPr>
          <xdr:cNvPr id="126" name="txt_LégendeInférieureFormule" descr="Critère de la première correspondance&#10;&#10;">
            <a:extLst>
              <a:ext uri="{FF2B5EF4-FFF2-40B4-BE49-F238E27FC236}">
                <a16:creationId xmlns:a16="http://schemas.microsoft.com/office/drawing/2014/main" id="{041E9CFA-7EA4-4B2F-B48A-DDDAA69971AB}"/>
              </a:ext>
            </a:extLst>
          </xdr:cNvPr>
          <xdr:cNvSpPr txBox="1">
            <a:spLocks noChangeArrowheads="1"/>
          </xdr:cNvSpPr>
        </xdr:nvSpPr>
        <xdr:spPr bwMode="auto">
          <a:xfrm>
            <a:off x="2931116" y="15615070"/>
            <a:ext cx="1496896"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rtl="0"/>
            <a:r>
              <a:rPr lang="fr" sz="1100">
                <a:effectLst/>
                <a:latin typeface="Calibri" panose="020F0502020204030204" pitchFamily="34" charset="0"/>
                <a:ea typeface="+mn-ea"/>
                <a:cs typeface="+mn-cs"/>
              </a:rPr>
              <a:t>Critère de la première correspondance</a:t>
            </a:r>
            <a:endParaRPr lang="en-US">
              <a:effectLst/>
              <a:latin typeface="Calibri" panose="020F0502020204030204" pitchFamily="34" charset="0"/>
            </a:endParaRPr>
          </a:p>
        </xdr:txBody>
      </xdr:sp>
      <xdr:sp macro="" textlink="">
        <xdr:nvSpPr>
          <xdr:cNvPr id="127" name="txt_LégendeInférieureFormule" descr="Critère de la deuxième correspondance&#10;">
            <a:extLst>
              <a:ext uri="{FF2B5EF4-FFF2-40B4-BE49-F238E27FC236}">
                <a16:creationId xmlns:a16="http://schemas.microsoft.com/office/drawing/2014/main" id="{82912063-BD34-4F26-9691-1664C5581510}"/>
              </a:ext>
            </a:extLst>
          </xdr:cNvPr>
          <xdr:cNvSpPr txBox="1">
            <a:spLocks noChangeArrowheads="1"/>
          </xdr:cNvSpPr>
        </xdr:nvSpPr>
        <xdr:spPr bwMode="auto">
          <a:xfrm>
            <a:off x="4541705" y="15615070"/>
            <a:ext cx="1467542" cy="493774"/>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Critère</a:t>
            </a:r>
            <a:r>
              <a:rPr lang="fr" sz="1100" baseline="0">
                <a:effectLst/>
                <a:latin typeface="Calibri" panose="020F0502020204030204" pitchFamily="34" charset="0"/>
                <a:ea typeface="Calibri" panose="020F0502020204030204" pitchFamily="34" charset="0"/>
                <a:cs typeface="Times New Roman" panose="02020603050405020304" pitchFamily="18" charset="0"/>
              </a:rPr>
              <a:t> de la deuxième correspondance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571500</xdr:colOff>
      <xdr:row>92</xdr:row>
      <xdr:rowOff>123825</xdr:rowOff>
    </xdr:from>
    <xdr:to>
      <xdr:col>1</xdr:col>
      <xdr:colOff>3238500</xdr:colOff>
      <xdr:row>95</xdr:row>
      <xdr:rowOff>83249</xdr:rowOff>
    </xdr:to>
    <xdr:sp macro="" textlink="">
      <xdr:nvSpPr>
        <xdr:cNvPr id="128" name="Bouton Plus de détails" descr="Poursuivez votre lecture pour plus d’informations">
          <a:hlinkClick xmlns:r="http://schemas.openxmlformats.org/officeDocument/2006/relationships" r:id="rId21"/>
          <a:extLst>
            <a:ext uri="{FF2B5EF4-FFF2-40B4-BE49-F238E27FC236}">
              <a16:creationId xmlns:a16="http://schemas.microsoft.com/office/drawing/2014/main" id="{E8AB1B18-1F61-4C5E-B544-8A184FCC807B}"/>
            </a:ext>
          </a:extLst>
        </xdr:cNvPr>
        <xdr:cNvSpPr/>
      </xdr:nvSpPr>
      <xdr:spPr>
        <a:xfrm>
          <a:off x="571500" y="18268950"/>
          <a:ext cx="3514725"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twoCellAnchor>
    <xdr:from>
      <xdr:col>0</xdr:col>
      <xdr:colOff>619125</xdr:colOff>
      <xdr:row>118</xdr:row>
      <xdr:rowOff>133350</xdr:rowOff>
    </xdr:from>
    <xdr:to>
      <xdr:col>1</xdr:col>
      <xdr:colOff>3305175</xdr:colOff>
      <xdr:row>121</xdr:row>
      <xdr:rowOff>92774</xdr:rowOff>
    </xdr:to>
    <xdr:sp macro="" textlink="">
      <xdr:nvSpPr>
        <xdr:cNvPr id="129" name="Bouton Plus de détails" descr="Poursuivez votre lecture pour plus d’informations">
          <a:hlinkClick xmlns:r="http://schemas.openxmlformats.org/officeDocument/2006/relationships" r:id="rId22"/>
          <a:extLst>
            <a:ext uri="{FF2B5EF4-FFF2-40B4-BE49-F238E27FC236}">
              <a16:creationId xmlns:a16="http://schemas.microsoft.com/office/drawing/2014/main" id="{0C8C4079-1087-42E9-A5D1-B6D0D80F4A09}"/>
            </a:ext>
          </a:extLst>
        </xdr:cNvPr>
        <xdr:cNvSpPr/>
      </xdr:nvSpPr>
      <xdr:spPr>
        <a:xfrm>
          <a:off x="619125" y="23231475"/>
          <a:ext cx="3533775" cy="530924"/>
        </a:xfrm>
        <a:prstGeom prst="downArrowCallout">
          <a:avLst/>
        </a:prstGeom>
        <a:solidFill>
          <a:schemeClr val="bg1">
            <a:lumMod val="85000"/>
          </a:schemeClr>
        </a:solidFill>
        <a:ln>
          <a:solidFill>
            <a:srgbClr val="0B744D">
              <a:alpha val="50000"/>
            </a:srgbClr>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rtl="0"/>
          <a:r>
            <a:rPr lang="fr" sz="1200">
              <a:solidFill>
                <a:srgbClr val="0B744D"/>
              </a:solidFill>
              <a:latin typeface="Segoe UI" pitchFamily="34" charset="0"/>
              <a:ea typeface="Segoe UI" pitchFamily="34" charset="0"/>
              <a:cs typeface="Segoe UI" pitchFamily="34" charset="0"/>
            </a:rPr>
            <a:t>Poursuivez votre lecture pour plus d’informations</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2</xdr:col>
      <xdr:colOff>581024</xdr:colOff>
      <xdr:row>10</xdr:row>
      <xdr:rowOff>9525</xdr:rowOff>
    </xdr:from>
    <xdr:to>
      <xdr:col>6</xdr:col>
      <xdr:colOff>581024</xdr:colOff>
      <xdr:row>19</xdr:row>
      <xdr:rowOff>2128</xdr:rowOff>
    </xdr:to>
    <xdr:grpSp>
      <xdr:nvGrpSpPr>
        <xdr:cNvPr id="2" name="ESSAYEZ ÇA" descr="ESSAYEZ ÇA&#10;&#10;">
          <a:extLst>
            <a:ext uri="{FF2B5EF4-FFF2-40B4-BE49-F238E27FC236}">
              <a16:creationId xmlns:a16="http://schemas.microsoft.com/office/drawing/2014/main" id="{8859EBF5-490B-416D-823B-D6893FC75C77}"/>
            </a:ext>
          </a:extLst>
        </xdr:cNvPr>
        <xdr:cNvGrpSpPr/>
      </xdr:nvGrpSpPr>
      <xdr:grpSpPr>
        <a:xfrm>
          <a:off x="6972299" y="2505075"/>
          <a:ext cx="2971800" cy="1716628"/>
          <a:chOff x="7830674" y="7686975"/>
          <a:chExt cx="2971655" cy="1716628"/>
        </a:xfrm>
      </xdr:grpSpPr>
      <xdr:grpSp>
        <xdr:nvGrpSpPr>
          <xdr:cNvPr id="3" name="Lignes d’accolade">
            <a:extLst>
              <a:ext uri="{FF2B5EF4-FFF2-40B4-BE49-F238E27FC236}">
                <a16:creationId xmlns:a16="http://schemas.microsoft.com/office/drawing/2014/main" id="{BAC83EA5-C76F-4C85-9623-F425965B663B}"/>
              </a:ext>
            </a:extLst>
          </xdr:cNvPr>
          <xdr:cNvGrpSpPr/>
        </xdr:nvGrpSpPr>
        <xdr:grpSpPr>
          <a:xfrm rot="599914">
            <a:off x="8268759" y="7686975"/>
            <a:ext cx="699683" cy="317588"/>
            <a:chOff x="10431582" y="494305"/>
            <a:chExt cx="650892" cy="358953"/>
          </a:xfrm>
        </xdr:grpSpPr>
        <xdr:sp macro="" textlink="">
          <xdr:nvSpPr>
            <xdr:cNvPr id="6" name="Une autre ligne d’accolade" descr="Ligne d’accolade">
              <a:extLst>
                <a:ext uri="{FF2B5EF4-FFF2-40B4-BE49-F238E27FC236}">
                  <a16:creationId xmlns:a16="http://schemas.microsoft.com/office/drawing/2014/main" id="{9E83B3F2-77E2-4D06-9C5F-C7CEA8557483}"/>
                </a:ext>
              </a:extLst>
            </xdr:cNvPr>
            <xdr:cNvSpPr/>
          </xdr:nvSpPr>
          <xdr:spPr>
            <a:xfrm rot="4800086">
              <a:off x="10808291" y="552223"/>
              <a:ext cx="332101" cy="216265"/>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3326" h="217696">
                  <a:moveTo>
                    <a:pt x="0" y="193"/>
                  </a:moveTo>
                  <a:cubicBezTo>
                    <a:pt x="64880" y="-498"/>
                    <a:pt x="129760" y="-1188"/>
                    <a:pt x="157369" y="33323"/>
                  </a:cubicBezTo>
                  <a:cubicBezTo>
                    <a:pt x="184978" y="67834"/>
                    <a:pt x="146326" y="179649"/>
                    <a:pt x="165652" y="207258"/>
                  </a:cubicBezTo>
                  <a:cubicBezTo>
                    <a:pt x="184978" y="234867"/>
                    <a:pt x="273326" y="198976"/>
                    <a:pt x="273326" y="198976"/>
                  </a:cubicBezTo>
                  <a:lnTo>
                    <a:pt x="273326" y="198976"/>
                  </a:ln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7" name="Ligne d’accolade" descr="Ligne d’accolade&#10;">
              <a:extLst>
                <a:ext uri="{FF2B5EF4-FFF2-40B4-BE49-F238E27FC236}">
                  <a16:creationId xmlns:a16="http://schemas.microsoft.com/office/drawing/2014/main" id="{0A6D1EBC-05FF-4761-8F70-E2AAB82382C7}"/>
                </a:ext>
              </a:extLst>
            </xdr:cNvPr>
            <xdr:cNvSpPr/>
          </xdr:nvSpPr>
          <xdr:spPr>
            <a:xfrm rot="4800086">
              <a:off x="10557120" y="532227"/>
              <a:ext cx="195493" cy="446570"/>
            </a:xfrm>
            <a:custGeom>
              <a:avLst/>
              <a:gdLst>
                <a:gd name="connsiteX0" fmla="*/ 0 w 231913"/>
                <a:gd name="connsiteY0" fmla="*/ 579782 h 579782"/>
                <a:gd name="connsiteX1" fmla="*/ 173935 w 231913"/>
                <a:gd name="connsiteY1" fmla="*/ 496956 h 579782"/>
                <a:gd name="connsiteX2" fmla="*/ 107674 w 231913"/>
                <a:gd name="connsiteY2" fmla="*/ 265043 h 579782"/>
                <a:gd name="connsiteX3" fmla="*/ 115956 w 231913"/>
                <a:gd name="connsiteY3" fmla="*/ 57978 h 579782"/>
                <a:gd name="connsiteX4" fmla="*/ 231913 w 231913"/>
                <a:gd name="connsiteY4" fmla="*/ 0 h 57978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31913" h="579782">
                  <a:moveTo>
                    <a:pt x="0" y="579782"/>
                  </a:moveTo>
                  <a:cubicBezTo>
                    <a:pt x="77994" y="564597"/>
                    <a:pt x="155989" y="549413"/>
                    <a:pt x="173935" y="496956"/>
                  </a:cubicBezTo>
                  <a:cubicBezTo>
                    <a:pt x="191881" y="444499"/>
                    <a:pt x="117337" y="338206"/>
                    <a:pt x="107674" y="265043"/>
                  </a:cubicBezTo>
                  <a:cubicBezTo>
                    <a:pt x="98011" y="191880"/>
                    <a:pt x="95250" y="102152"/>
                    <a:pt x="115956" y="57978"/>
                  </a:cubicBezTo>
                  <a:cubicBezTo>
                    <a:pt x="136663" y="13804"/>
                    <a:pt x="184288" y="6902"/>
                    <a:pt x="231913" y="0"/>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grpSp>
      <xdr:pic>
        <xdr:nvPicPr>
          <xdr:cNvPr id="4" name="Étoiles" descr="Étoiles">
            <a:extLst>
              <a:ext uri="{FF2B5EF4-FFF2-40B4-BE49-F238E27FC236}">
                <a16:creationId xmlns:a16="http://schemas.microsoft.com/office/drawing/2014/main" id="{483CD9DB-1BF9-4EB1-8333-99F3FE5BA0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830674" y="8038700"/>
            <a:ext cx="388098" cy="337815"/>
          </a:xfrm>
          <a:prstGeom prst="rect">
            <a:avLst/>
          </a:prstGeom>
        </xdr:spPr>
      </xdr:pic>
      <xdr:sp macro="" textlink="">
        <xdr:nvSpPr>
          <xdr:cNvPr id="5" name="Instructions" descr="CHECK THIS OUT&#10;You should end up with =VLOOKUP(C10,C5:D8,2,FALSE)&#10;">
            <a:extLst>
              <a:ext uri="{FF2B5EF4-FFF2-40B4-BE49-F238E27FC236}">
                <a16:creationId xmlns:a16="http://schemas.microsoft.com/office/drawing/2014/main" id="{05D1A0AE-F90C-4B3B-9D2C-23637982A91C}"/>
              </a:ext>
            </a:extLst>
          </xdr:cNvPr>
          <xdr:cNvSpPr txBox="1"/>
        </xdr:nvSpPr>
        <xdr:spPr>
          <a:xfrm>
            <a:off x="8132529" y="7993902"/>
            <a:ext cx="2669800" cy="1409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ESSAYEZ ÇA</a:t>
            </a: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Vous devez obtenir la formule suivante : </a:t>
            </a:r>
            <a:r>
              <a:rPr lang="fr" sz="1100" b="1" kern="0">
                <a:solidFill>
                  <a:schemeClr val="bg2">
                    <a:lumMod val="25000"/>
                  </a:schemeClr>
                </a:solidFill>
                <a:latin typeface="+mn-lt"/>
                <a:ea typeface="Segoe UI" pitchFamily="34" charset="0"/>
                <a:cs typeface="Segoe UI Light" panose="020B0502040204020203" pitchFamily="34" charset="0"/>
              </a:rPr>
              <a:t>=RECHERCHEV(C10;C5:D8;2;FAUX)</a:t>
            </a:r>
            <a:r>
              <a:rPr lang="fr" sz="1100" b="0" kern="0">
                <a:solidFill>
                  <a:schemeClr val="bg2">
                    <a:lumMod val="25000"/>
                  </a:schemeClr>
                </a:solidFill>
                <a:latin typeface="+mn-lt"/>
                <a:ea typeface="Segoe UI" pitchFamily="34" charset="0"/>
                <a:cs typeface="Segoe UI Light" panose="020B0502040204020203" pitchFamily="34" charset="0"/>
              </a:rPr>
              <a:t>.</a:t>
            </a:r>
            <a:endParaRPr lang="en-US" sz="1100" b="0">
              <a:solidFill>
                <a:schemeClr val="bg2">
                  <a:lumMod val="25000"/>
                </a:schemeClr>
              </a:solidFill>
              <a:latin typeface="+mn-lt"/>
              <a:ea typeface="Segoe UI" pitchFamily="34" charset="0"/>
              <a:cs typeface="Segoe UI Light" panose="020B0502040204020203" pitchFamily="34" charset="0"/>
            </a:endParaRPr>
          </a:p>
        </xdr:txBody>
      </xdr:sp>
    </xdr:grpSp>
    <xdr:clientData/>
  </xdr:twoCellAnchor>
  <xdr:twoCellAnchor>
    <xdr:from>
      <xdr:col>0</xdr:col>
      <xdr:colOff>352425</xdr:colOff>
      <xdr:row>34</xdr:row>
      <xdr:rowOff>161925</xdr:rowOff>
    </xdr:from>
    <xdr:to>
      <xdr:col>1</xdr:col>
      <xdr:colOff>5218938</xdr:colOff>
      <xdr:row>48</xdr:row>
      <xdr:rowOff>161925</xdr:rowOff>
    </xdr:to>
    <xdr:grpSp>
      <xdr:nvGrpSpPr>
        <xdr:cNvPr id="8" name="Groupe 7">
          <a:extLst>
            <a:ext uri="{FF2B5EF4-FFF2-40B4-BE49-F238E27FC236}">
              <a16:creationId xmlns:a16="http://schemas.microsoft.com/office/drawing/2014/main" id="{59C0D205-0E46-4BF0-AE02-BB0285C57870}"/>
            </a:ext>
          </a:extLst>
        </xdr:cNvPr>
        <xdr:cNvGrpSpPr/>
      </xdr:nvGrpSpPr>
      <xdr:grpSpPr>
        <a:xfrm>
          <a:off x="352425" y="7239000"/>
          <a:ext cx="5733288" cy="2667000"/>
          <a:chOff x="352425" y="10715625"/>
          <a:chExt cx="5733288" cy="2390775"/>
        </a:xfrm>
      </xdr:grpSpPr>
      <xdr:sp macro="" textlink="">
        <xdr:nvSpPr>
          <xdr:cNvPr id="9" name="Rectangle 82">
            <a:extLst>
              <a:ext uri="{FF2B5EF4-FFF2-40B4-BE49-F238E27FC236}">
                <a16:creationId xmlns:a16="http://schemas.microsoft.com/office/drawing/2014/main" id="{4B5807B6-B8AC-4801-AD01-86FCBA125DA7}"/>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10" name="Étape" descr="Plus d’informations sur le web&#10;">
            <a:extLst>
              <a:ext uri="{FF2B5EF4-FFF2-40B4-BE49-F238E27FC236}">
                <a16:creationId xmlns:a16="http://schemas.microsoft.com/office/drawing/2014/main" id="{9815DD18-1393-4ECE-8A8A-E9AD46B04E3C}"/>
              </a:ext>
            </a:extLst>
          </xdr:cNvPr>
          <xdr:cNvSpPr txBox="1"/>
        </xdr:nvSpPr>
        <xdr:spPr>
          <a:xfrm>
            <a:off x="56345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11" name="Connecteur droit 10" descr="Ligne décorative">
            <a:extLst>
              <a:ext uri="{FF2B5EF4-FFF2-40B4-BE49-F238E27FC236}">
                <a16:creationId xmlns:a16="http://schemas.microsoft.com/office/drawing/2014/main" id="{E7881267-15DD-4199-BDAC-87F5F7503B8F}"/>
              </a:ext>
            </a:extLst>
          </xdr:cNvPr>
          <xdr:cNvCxnSpPr>
            <a:cxnSpLocks/>
          </xdr:cNvCxnSpPr>
        </xdr:nvCxnSpPr>
        <xdr:spPr>
          <a:xfrm>
            <a:off x="563457" y="11291551"/>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2" name="Connecteur droit 85" descr="Ligne décorative">
            <a:extLst>
              <a:ext uri="{FF2B5EF4-FFF2-40B4-BE49-F238E27FC236}">
                <a16:creationId xmlns:a16="http://schemas.microsoft.com/office/drawing/2014/main" id="{C8D84828-687D-421A-8097-BAA7AC240499}"/>
              </a:ext>
            </a:extLst>
          </xdr:cNvPr>
          <xdr:cNvCxnSpPr>
            <a:cxnSpLocks/>
          </xdr:cNvCxnSpPr>
        </xdr:nvCxnSpPr>
        <xdr:spPr>
          <a:xfrm>
            <a:off x="563457"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562406</xdr:colOff>
      <xdr:row>38</xdr:row>
      <xdr:rowOff>168994</xdr:rowOff>
    </xdr:from>
    <xdr:to>
      <xdr:col>1</xdr:col>
      <xdr:colOff>3048000</xdr:colOff>
      <xdr:row>40</xdr:row>
      <xdr:rowOff>147073</xdr:rowOff>
    </xdr:to>
    <xdr:grpSp>
      <xdr:nvGrpSpPr>
        <xdr:cNvPr id="13" name="Groupe 4">
          <a:extLst>
            <a:ext uri="{FF2B5EF4-FFF2-40B4-BE49-F238E27FC236}">
              <a16:creationId xmlns:a16="http://schemas.microsoft.com/office/drawing/2014/main" id="{DAC4E7B1-1826-4EEF-8BA2-32E6B5E80B41}"/>
            </a:ext>
          </a:extLst>
        </xdr:cNvPr>
        <xdr:cNvGrpSpPr/>
      </xdr:nvGrpSpPr>
      <xdr:grpSpPr>
        <a:xfrm>
          <a:off x="562406" y="8008069"/>
          <a:ext cx="3352369" cy="359079"/>
          <a:chOff x="562406" y="11008444"/>
          <a:chExt cx="3352369" cy="359079"/>
        </a:xfrm>
      </xdr:grpSpPr>
      <xdr:sp macro="" textlink="">
        <xdr:nvSpPr>
          <xdr:cNvPr id="14" name="Étape" descr="À propos de la fonction SI, lien hypertexte vers le web&#10;&#10;">
            <a:hlinkClick xmlns:r="http://schemas.openxmlformats.org/officeDocument/2006/relationships" r:id="rId3" tooltip="Sélectionnez ce lien pour accéder sur le web à des informations complémentaires sur les formules Excel"/>
            <a:extLst>
              <a:ext uri="{FF2B5EF4-FFF2-40B4-BE49-F238E27FC236}">
                <a16:creationId xmlns:a16="http://schemas.microsoft.com/office/drawing/2014/main" id="{B29BC13C-637D-441F-9E20-FAB1E4C775CB}"/>
              </a:ext>
            </a:extLst>
          </xdr:cNvPr>
          <xdr:cNvSpPr txBox="1"/>
        </xdr:nvSpPr>
        <xdr:spPr>
          <a:xfrm>
            <a:off x="1027591" y="11082804"/>
            <a:ext cx="2887184"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Vue d’ensemble</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des formules dans Excel</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5" name="Graphisme 22" descr="Flèche">
            <a:hlinkClick xmlns:r="http://schemas.openxmlformats.org/officeDocument/2006/relationships" r:id="rId3" tooltip="Sélectionnez ce lien pour accéder à des informations complémentaires sur le web"/>
            <a:extLst>
              <a:ext uri="{FF2B5EF4-FFF2-40B4-BE49-F238E27FC236}">
                <a16:creationId xmlns:a16="http://schemas.microsoft.com/office/drawing/2014/main" id="{11D59A96-5A7E-4638-8DE4-B2C9CF3F34B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1008444"/>
            <a:ext cx="492262" cy="359079"/>
          </a:xfrm>
          <a:prstGeom prst="rect">
            <a:avLst/>
          </a:prstGeom>
        </xdr:spPr>
      </xdr:pic>
    </xdr:grpSp>
    <xdr:clientData/>
  </xdr:twoCellAnchor>
  <xdr:twoCellAnchor>
    <xdr:from>
      <xdr:col>0</xdr:col>
      <xdr:colOff>562406</xdr:colOff>
      <xdr:row>40</xdr:row>
      <xdr:rowOff>163060</xdr:rowOff>
    </xdr:from>
    <xdr:to>
      <xdr:col>1</xdr:col>
      <xdr:colOff>2590800</xdr:colOff>
      <xdr:row>42</xdr:row>
      <xdr:rowOff>146449</xdr:rowOff>
    </xdr:to>
    <xdr:grpSp>
      <xdr:nvGrpSpPr>
        <xdr:cNvPr id="16" name="Groupe 3">
          <a:extLst>
            <a:ext uri="{FF2B5EF4-FFF2-40B4-BE49-F238E27FC236}">
              <a16:creationId xmlns:a16="http://schemas.microsoft.com/office/drawing/2014/main" id="{F3572D4A-B751-4C77-9916-2904F72F8822}"/>
            </a:ext>
          </a:extLst>
        </xdr:cNvPr>
        <xdr:cNvGrpSpPr/>
      </xdr:nvGrpSpPr>
      <xdr:grpSpPr>
        <a:xfrm>
          <a:off x="562406" y="8383135"/>
          <a:ext cx="2895169" cy="364389"/>
          <a:chOff x="562406" y="11383510"/>
          <a:chExt cx="2895169" cy="364389"/>
        </a:xfrm>
      </xdr:grpSpPr>
      <xdr:sp macro="" textlink="">
        <xdr:nvSpPr>
          <xdr:cNvPr id="17" name="Étape" descr="À propos de la fonction SI.CONDITIONS, lien hypertexte vers le web&#10;">
            <a:hlinkClick xmlns:r="http://schemas.openxmlformats.org/officeDocument/2006/relationships" r:id="rId6" tooltip="Sélectionnez ce lien pour accéder sur le web à la liste de toutes les fonctions Excel par catégorie"/>
            <a:extLst>
              <a:ext uri="{FF2B5EF4-FFF2-40B4-BE49-F238E27FC236}">
                <a16:creationId xmlns:a16="http://schemas.microsoft.com/office/drawing/2014/main" id="{A115D1E0-FC4E-4605-ACAC-89DC83938A7C}"/>
              </a:ext>
            </a:extLst>
          </xdr:cNvPr>
          <xdr:cNvSpPr txBox="1"/>
        </xdr:nvSpPr>
        <xdr:spPr>
          <a:xfrm>
            <a:off x="1027591" y="11460686"/>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catégorie)</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18" name="Graphisme 22" descr="Flèche">
            <a:hlinkClick xmlns:r="http://schemas.openxmlformats.org/officeDocument/2006/relationships" r:id="rId6" tooltip="Sélectionnez ce lien pour accéder à des informations complémentaires sur le web"/>
            <a:extLst>
              <a:ext uri="{FF2B5EF4-FFF2-40B4-BE49-F238E27FC236}">
                <a16:creationId xmlns:a16="http://schemas.microsoft.com/office/drawing/2014/main" id="{762EA693-8C65-4F46-8995-3BF3116CFBD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1383510"/>
            <a:ext cx="492262" cy="364389"/>
          </a:xfrm>
          <a:prstGeom prst="rect">
            <a:avLst/>
          </a:prstGeom>
        </xdr:spPr>
      </xdr:pic>
    </xdr:grpSp>
    <xdr:clientData/>
  </xdr:twoCellAnchor>
  <xdr:twoCellAnchor>
    <xdr:from>
      <xdr:col>0</xdr:col>
      <xdr:colOff>562406</xdr:colOff>
      <xdr:row>45</xdr:row>
      <xdr:rowOff>3478</xdr:rowOff>
    </xdr:from>
    <xdr:to>
      <xdr:col>1</xdr:col>
      <xdr:colOff>3181350</xdr:colOff>
      <xdr:row>46</xdr:row>
      <xdr:rowOff>177367</xdr:rowOff>
    </xdr:to>
    <xdr:grpSp>
      <xdr:nvGrpSpPr>
        <xdr:cNvPr id="19" name="Groupe 1">
          <a:extLst>
            <a:ext uri="{FF2B5EF4-FFF2-40B4-BE49-F238E27FC236}">
              <a16:creationId xmlns:a16="http://schemas.microsoft.com/office/drawing/2014/main" id="{4A47C8BD-5D77-4843-A8A3-FAC3527B39F7}"/>
            </a:ext>
          </a:extLst>
        </xdr:cNvPr>
        <xdr:cNvGrpSpPr/>
      </xdr:nvGrpSpPr>
      <xdr:grpSpPr>
        <a:xfrm>
          <a:off x="562406" y="9176053"/>
          <a:ext cx="3485719" cy="364389"/>
          <a:chOff x="562406" y="12176428"/>
          <a:chExt cx="3485719" cy="364389"/>
        </a:xfrm>
      </xdr:grpSpPr>
      <xdr:sp macro="" textlink="">
        <xdr:nvSpPr>
          <xdr:cNvPr id="20" name="Étape" descr="Formation Excel gratuite en ligne, lien hypertexte vers le web&#10;">
            <a:hlinkClick xmlns:r="http://schemas.openxmlformats.org/officeDocument/2006/relationships" r:id="rId7" tooltip="Sélectionnez ce lien pour accéder sur le web à une formation gratuite sur Excel"/>
            <a:extLst>
              <a:ext uri="{FF2B5EF4-FFF2-40B4-BE49-F238E27FC236}">
                <a16:creationId xmlns:a16="http://schemas.microsoft.com/office/drawing/2014/main" id="{C49CCF1C-7DAB-4165-AE4D-764E45B41F2E}"/>
              </a:ext>
            </a:extLst>
          </xdr:cNvPr>
          <xdr:cNvSpPr txBox="1"/>
        </xdr:nvSpPr>
        <xdr:spPr>
          <a:xfrm>
            <a:off x="1040199" y="12227532"/>
            <a:ext cx="3007926"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21" name="Graphisme 22" descr="Flèche">
            <a:hlinkClick xmlns:r="http://schemas.openxmlformats.org/officeDocument/2006/relationships" r:id="rId7" tooltip="Sélectionnez ce lien pour accéder à des informations complémentaires sur le web"/>
            <a:extLst>
              <a:ext uri="{FF2B5EF4-FFF2-40B4-BE49-F238E27FC236}">
                <a16:creationId xmlns:a16="http://schemas.microsoft.com/office/drawing/2014/main" id="{2DE9FD2F-EBBA-421C-A22F-CEA85FA9076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2176428"/>
            <a:ext cx="492262" cy="364389"/>
          </a:xfrm>
          <a:prstGeom prst="rect">
            <a:avLst/>
          </a:prstGeom>
        </xdr:spPr>
      </xdr:pic>
    </xdr:grpSp>
    <xdr:clientData/>
  </xdr:twoCellAnchor>
  <xdr:twoCellAnchor>
    <xdr:from>
      <xdr:col>0</xdr:col>
      <xdr:colOff>562406</xdr:colOff>
      <xdr:row>42</xdr:row>
      <xdr:rowOff>162436</xdr:rowOff>
    </xdr:from>
    <xdr:to>
      <xdr:col>1</xdr:col>
      <xdr:colOff>3457574</xdr:colOff>
      <xdr:row>44</xdr:row>
      <xdr:rowOff>145825</xdr:rowOff>
    </xdr:to>
    <xdr:grpSp>
      <xdr:nvGrpSpPr>
        <xdr:cNvPr id="22" name="Groupe 21">
          <a:extLst>
            <a:ext uri="{FF2B5EF4-FFF2-40B4-BE49-F238E27FC236}">
              <a16:creationId xmlns:a16="http://schemas.microsoft.com/office/drawing/2014/main" id="{DF5741AC-F3DA-4383-B925-BBD23BA3B020}"/>
            </a:ext>
          </a:extLst>
        </xdr:cNvPr>
        <xdr:cNvGrpSpPr/>
      </xdr:nvGrpSpPr>
      <xdr:grpSpPr>
        <a:xfrm>
          <a:off x="562406" y="8763511"/>
          <a:ext cx="3761943" cy="364389"/>
          <a:chOff x="562406" y="11763886"/>
          <a:chExt cx="3761943" cy="364389"/>
        </a:xfrm>
      </xdr:grpSpPr>
      <xdr:sp macro="" textlink="">
        <xdr:nvSpPr>
          <xdr:cNvPr id="23" name="Étape" descr="Instructions SI avancées, lien hypertexte vers le web&#10;">
            <a:hlinkClick xmlns:r="http://schemas.openxmlformats.org/officeDocument/2006/relationships" r:id="rId8" tooltip="Sélectionnez ce lien pour accéder sur le web à la liste de toutes les fonctions Excel classées par ordre alphabétique"/>
            <a:extLst>
              <a:ext uri="{FF2B5EF4-FFF2-40B4-BE49-F238E27FC236}">
                <a16:creationId xmlns:a16="http://schemas.microsoft.com/office/drawing/2014/main" id="{84BA2965-2197-4784-81C2-EAA0D70EED16}"/>
              </a:ext>
            </a:extLst>
          </xdr:cNvPr>
          <xdr:cNvSpPr txBox="1"/>
        </xdr:nvSpPr>
        <xdr:spPr>
          <a:xfrm>
            <a:off x="1027590" y="11832161"/>
            <a:ext cx="3296759"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Fonctions Excel (par ordre alphabétique)</a:t>
            </a:r>
          </a:p>
        </xdr:txBody>
      </xdr:sp>
      <xdr:pic>
        <xdr:nvPicPr>
          <xdr:cNvPr id="24"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77BDEA45-DCB3-4C52-A166-C84FA73A27C2}"/>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562406" y="11763886"/>
            <a:ext cx="492262" cy="364389"/>
          </a:xfrm>
          <a:prstGeom prst="rect">
            <a:avLst/>
          </a:prstGeom>
        </xdr:spPr>
      </xdr:pic>
    </xdr:grpSp>
    <xdr:clientData/>
  </xdr:twoCellAnchor>
  <xdr:twoCellAnchor>
    <xdr:from>
      <xdr:col>0</xdr:col>
      <xdr:colOff>352425</xdr:colOff>
      <xdr:row>0</xdr:row>
      <xdr:rowOff>352425</xdr:rowOff>
    </xdr:from>
    <xdr:to>
      <xdr:col>1</xdr:col>
      <xdr:colOff>5218938</xdr:colOff>
      <xdr:row>34</xdr:row>
      <xdr:rowOff>66675</xdr:rowOff>
    </xdr:to>
    <xdr:sp macro="" textlink="">
      <xdr:nvSpPr>
        <xdr:cNvPr id="25" name="txt_ArrièrePlanVisiteGuidée" descr="Arrière-plan">
          <a:extLst>
            <a:ext uri="{FF2B5EF4-FFF2-40B4-BE49-F238E27FC236}">
              <a16:creationId xmlns:a16="http://schemas.microsoft.com/office/drawing/2014/main" id="{3E7F00AB-257D-4E32-AC35-D286A2F3E241}"/>
            </a:ext>
          </a:extLst>
        </xdr:cNvPr>
        <xdr:cNvSpPr/>
      </xdr:nvSpPr>
      <xdr:spPr>
        <a:xfrm>
          <a:off x="352425" y="352425"/>
          <a:ext cx="5733288" cy="67913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567653</xdr:colOff>
      <xdr:row>0</xdr:row>
      <xdr:rowOff>490010</xdr:rowOff>
    </xdr:from>
    <xdr:to>
      <xdr:col>1</xdr:col>
      <xdr:colOff>4866359</xdr:colOff>
      <xdr:row>2</xdr:row>
      <xdr:rowOff>15411</xdr:rowOff>
    </xdr:to>
    <xdr:sp macro="" textlink="">
      <xdr:nvSpPr>
        <xdr:cNvPr id="26" name="txt_EnTêteVisiteGuidée" descr="Laissez-vous guider par l’Assistant Fonction">
          <a:extLst>
            <a:ext uri="{FF2B5EF4-FFF2-40B4-BE49-F238E27FC236}">
              <a16:creationId xmlns:a16="http://schemas.microsoft.com/office/drawing/2014/main" id="{AB2C7DF3-0196-4E43-82E7-43454CE79153}"/>
            </a:ext>
          </a:extLst>
        </xdr:cNvPr>
        <xdr:cNvSpPr txBox="1"/>
      </xdr:nvSpPr>
      <xdr:spPr>
        <a:xfrm>
          <a:off x="567653" y="490010"/>
          <a:ext cx="5165481" cy="47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Laissez-vous guider par l’Assistant Fonction</a:t>
          </a:r>
        </a:p>
      </xdr:txBody>
    </xdr:sp>
    <xdr:clientData/>
  </xdr:twoCellAnchor>
  <xdr:twoCellAnchor>
    <xdr:from>
      <xdr:col>0</xdr:col>
      <xdr:colOff>567653</xdr:colOff>
      <xdr:row>2</xdr:row>
      <xdr:rowOff>105836</xdr:rowOff>
    </xdr:from>
    <xdr:to>
      <xdr:col>1</xdr:col>
      <xdr:colOff>4863004</xdr:colOff>
      <xdr:row>2</xdr:row>
      <xdr:rowOff>105836</xdr:rowOff>
    </xdr:to>
    <xdr:cxnSp macro="">
      <xdr:nvCxnSpPr>
        <xdr:cNvPr id="27" name="txt_VisiteGuidéeLigne1" descr="Ligne décorative">
          <a:extLst>
            <a:ext uri="{FF2B5EF4-FFF2-40B4-BE49-F238E27FC236}">
              <a16:creationId xmlns:a16="http://schemas.microsoft.com/office/drawing/2014/main" id="{86067EF5-DF38-4774-BB24-FFBFE5694020}"/>
            </a:ext>
          </a:extLst>
        </xdr:cNvPr>
        <xdr:cNvCxnSpPr>
          <a:cxnSpLocks/>
        </xdr:cNvCxnSpPr>
      </xdr:nvCxnSpPr>
      <xdr:spPr>
        <a:xfrm>
          <a:off x="567653" y="1058336"/>
          <a:ext cx="516212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567653</xdr:colOff>
      <xdr:row>30</xdr:row>
      <xdr:rowOff>136956</xdr:rowOff>
    </xdr:from>
    <xdr:to>
      <xdr:col>1</xdr:col>
      <xdr:colOff>4863004</xdr:colOff>
      <xdr:row>30</xdr:row>
      <xdr:rowOff>136956</xdr:rowOff>
    </xdr:to>
    <xdr:cxnSp macro="">
      <xdr:nvCxnSpPr>
        <xdr:cNvPr id="28" name="txt_VisiteGuidéeLigne2" descr="Ligne décorative">
          <a:extLst>
            <a:ext uri="{FF2B5EF4-FFF2-40B4-BE49-F238E27FC236}">
              <a16:creationId xmlns:a16="http://schemas.microsoft.com/office/drawing/2014/main" id="{C41B03CC-A8E2-49D9-9ECC-59951006EA75}"/>
            </a:ext>
          </a:extLst>
        </xdr:cNvPr>
        <xdr:cNvCxnSpPr>
          <a:cxnSpLocks/>
        </xdr:cNvCxnSpPr>
      </xdr:nvCxnSpPr>
      <xdr:spPr>
        <a:xfrm>
          <a:off x="567653" y="6452031"/>
          <a:ext cx="516212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564488</xdr:colOff>
      <xdr:row>2</xdr:row>
      <xdr:rowOff>137395</xdr:rowOff>
    </xdr:from>
    <xdr:to>
      <xdr:col>1</xdr:col>
      <xdr:colOff>4863194</xdr:colOff>
      <xdr:row>5</xdr:row>
      <xdr:rowOff>43796</xdr:rowOff>
    </xdr:to>
    <xdr:sp macro="" textlink="">
      <xdr:nvSpPr>
        <xdr:cNvPr id="29" name="txt_IntroVisiteGuidée" descr="Si vous connaissez le nom de la fonction que vous souhaitez utiliser, mais que vous ne savez pas comment la créer, vous pouvez utiliser l’Assistant Fonction pour vous aider.">
          <a:extLst>
            <a:ext uri="{FF2B5EF4-FFF2-40B4-BE49-F238E27FC236}">
              <a16:creationId xmlns:a16="http://schemas.microsoft.com/office/drawing/2014/main" id="{5606586D-159B-4724-8A4A-FF701C8BD7E4}"/>
            </a:ext>
          </a:extLst>
        </xdr:cNvPr>
        <xdr:cNvSpPr txBox="1"/>
      </xdr:nvSpPr>
      <xdr:spPr>
        <a:xfrm>
          <a:off x="564488" y="1089895"/>
          <a:ext cx="5165481" cy="4779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3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Si vous connaissez le nom de la fonction que vous souhaitez utiliser, mais que vous ne savez pas comment la créer, vous pouvez utiliser l’Assistant Fonction pour vous aider.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3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xdr:from>
      <xdr:col>0</xdr:col>
      <xdr:colOff>576262</xdr:colOff>
      <xdr:row>5</xdr:row>
      <xdr:rowOff>57139</xdr:rowOff>
    </xdr:from>
    <xdr:to>
      <xdr:col>1</xdr:col>
      <xdr:colOff>4819650</xdr:colOff>
      <xdr:row>10</xdr:row>
      <xdr:rowOff>190497</xdr:rowOff>
    </xdr:to>
    <xdr:grpSp>
      <xdr:nvGrpSpPr>
        <xdr:cNvPr id="30" name="grp_Étape">
          <a:extLst>
            <a:ext uri="{FF2B5EF4-FFF2-40B4-BE49-F238E27FC236}">
              <a16:creationId xmlns:a16="http://schemas.microsoft.com/office/drawing/2014/main" id="{43EBFA32-1E84-4822-91D1-C961C65CF903}"/>
            </a:ext>
          </a:extLst>
        </xdr:cNvPr>
        <xdr:cNvGrpSpPr/>
      </xdr:nvGrpSpPr>
      <xdr:grpSpPr>
        <a:xfrm>
          <a:off x="576262" y="1581139"/>
          <a:ext cx="5110163" cy="1104908"/>
          <a:chOff x="647700" y="7419975"/>
          <a:chExt cx="5200248" cy="1057584"/>
        </a:xfrm>
      </xdr:grpSpPr>
      <xdr:sp macro="" textlink="">
        <xdr:nvSpPr>
          <xdr:cNvPr id="31" name="txt_Étape" descr="Sélectionnez la cellule D16, puis accédez à Formules &gt; Insérer une fonction &gt; entrez RECHERCHEV dans la zone Rechercher une fonction, puis appuyez sur OK. Lorsque RECHERCHEV est en surbrillance, cliquez sur OK, en bas du formulaire. Lorsque vous sélectionnez une fonction dans la liste, Excel affiche sa syntaxe.">
            <a:extLst>
              <a:ext uri="{FF2B5EF4-FFF2-40B4-BE49-F238E27FC236}">
                <a16:creationId xmlns:a16="http://schemas.microsoft.com/office/drawing/2014/main" id="{85F100B2-16AB-4299-A0F8-ECE4F5D8F02C}"/>
              </a:ext>
            </a:extLst>
          </xdr:cNvPr>
          <xdr:cNvSpPr txBox="1"/>
        </xdr:nvSpPr>
        <xdr:spPr>
          <a:xfrm>
            <a:off x="1079356" y="7459922"/>
            <a:ext cx="4768592" cy="10176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Sélectionnez la cellule D10, accédez à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Formules</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&gt;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Insérer une fonction </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&gt; entrez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RECHERCHEV </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dans la zone </a:t>
            </a:r>
            <a:r>
              <a:rPr lang="fr-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Recherchez une fonction</a:t>
            </a:r>
            <a:r>
              <a:rPr lang="fr" sz="1100" b="0" i="0" u="none" strike="noStrike" kern="1200" spc="-30" baseline="0">
                <a:solidFill>
                  <a:schemeClr val="tx1">
                    <a:lumMod val="75000"/>
                    <a:lumOff val="25000"/>
                  </a:schemeClr>
                </a:solidFill>
                <a:effectLst/>
                <a:latin typeface="Segoe UI" panose="020B0502040204020203" pitchFamily="34" charset="0"/>
                <a:ea typeface="+mn-ea"/>
                <a:cs typeface="Segoe UI" panose="020B0502040204020203" pitchFamily="34" charset="0"/>
              </a:rPr>
              <a:t>,</a:t>
            </a:r>
            <a:r>
              <a:rPr lang="fr" sz="1100" b="1" i="0" u="none" strike="noStrike" kern="1200" spc="-30" baseline="0">
                <a:solidFill>
                  <a:schemeClr val="tx1">
                    <a:lumMod val="75000"/>
                    <a:lumOff val="25000"/>
                  </a:schemeClr>
                </a:solidFill>
                <a:effectLst/>
                <a:latin typeface="Segoe UI" panose="020B0502040204020203" pitchFamily="34" charset="0"/>
                <a:ea typeface="+mn-ea"/>
                <a:cs typeface="Segoe UI" panose="020B0502040204020203" pitchFamily="34" charset="0"/>
              </a:rPr>
              <a:t> </a:t>
            </a:r>
            <a:r>
              <a:rPr lang="fr" sz="1100" b="0" i="0" u="none" strike="noStrike" kern="1200" spc="-30" baseline="0">
                <a:solidFill>
                  <a:schemeClr val="tx1">
                    <a:lumMod val="75000"/>
                    <a:lumOff val="25000"/>
                  </a:schemeClr>
                </a:solidFill>
                <a:effectLst/>
                <a:latin typeface="Segoe UI" panose="020B0502040204020203" pitchFamily="34" charset="0"/>
                <a:ea typeface="+mn-ea"/>
                <a:cs typeface="Segoe UI" panose="020B0502040204020203" pitchFamily="34" charset="0"/>
              </a:rPr>
              <a:t>puis </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appuyez sur </a:t>
            </a:r>
            <a:r>
              <a:rPr lang="fr-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Rechercher</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Lorsque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RECHERCHEV</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est en surbrillance, cliquez sur </a:t>
            </a:r>
            <a:r>
              <a:rPr lang="fr" sz="1100" b="1"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OK</a:t>
            </a:r>
            <a:r>
              <a:rPr lang="fr" sz="1100" b="0" i="0" u="none" strike="noStrike" kern="1200" spc="-30">
                <a:solidFill>
                  <a:schemeClr val="tx1">
                    <a:lumMod val="75000"/>
                    <a:lumOff val="25000"/>
                  </a:schemeClr>
                </a:solidFill>
                <a:effectLst/>
                <a:latin typeface="Segoe UI" panose="020B0502040204020203" pitchFamily="34" charset="0"/>
                <a:ea typeface="+mn-ea"/>
                <a:cs typeface="Segoe UI" panose="020B0502040204020203" pitchFamily="34" charset="0"/>
              </a:rPr>
              <a:t>, en bas du formulaire.</a:t>
            </a:r>
            <a:r>
              <a:rPr lang="fr" sz="1100" spc="-30">
                <a:solidFill>
                  <a:schemeClr val="tx1">
                    <a:lumMod val="75000"/>
                    <a:lumOff val="25000"/>
                  </a:schemeClr>
                </a:solidFill>
                <a:latin typeface="Segoe UI" panose="020B0502040204020203" pitchFamily="34" charset="0"/>
                <a:cs typeface="Segoe UI" panose="020B0502040204020203" pitchFamily="34" charset="0"/>
              </a:rPr>
              <a:t> Lorsque vous sélectionnez une fonction dans la</a:t>
            </a:r>
            <a:r>
              <a:rPr lang="fr" sz="1100" spc="-30" baseline="0">
                <a:solidFill>
                  <a:schemeClr val="tx1">
                    <a:lumMod val="75000"/>
                    <a:lumOff val="25000"/>
                  </a:schemeClr>
                </a:solidFill>
                <a:latin typeface="Segoe UI" panose="020B0502040204020203" pitchFamily="34" charset="0"/>
                <a:cs typeface="Segoe UI" panose="020B0502040204020203" pitchFamily="34" charset="0"/>
              </a:rPr>
              <a:t> liste, Excel affiche sa syntaxe.</a:t>
            </a:r>
            <a:endParaRPr kumimoji="0" lang="en-US"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2" name="shp_Étape" descr="1">
            <a:extLst>
              <a:ext uri="{FF2B5EF4-FFF2-40B4-BE49-F238E27FC236}">
                <a16:creationId xmlns:a16="http://schemas.microsoft.com/office/drawing/2014/main" id="{F6B75B11-5C7D-4C50-879A-C827BBC1311E}"/>
              </a:ext>
            </a:extLst>
          </xdr:cNvPr>
          <xdr:cNvSpPr/>
        </xdr:nvSpPr>
        <xdr:spPr>
          <a:xfrm>
            <a:off x="647700" y="7419975"/>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xdr:from>
      <xdr:col>0</xdr:col>
      <xdr:colOff>576262</xdr:colOff>
      <xdr:row>10</xdr:row>
      <xdr:rowOff>80962</xdr:rowOff>
    </xdr:from>
    <xdr:to>
      <xdr:col>1</xdr:col>
      <xdr:colOff>4905374</xdr:colOff>
      <xdr:row>15</xdr:row>
      <xdr:rowOff>9523</xdr:rowOff>
    </xdr:to>
    <xdr:grpSp>
      <xdr:nvGrpSpPr>
        <xdr:cNvPr id="33" name="grp_Étape">
          <a:extLst>
            <a:ext uri="{FF2B5EF4-FFF2-40B4-BE49-F238E27FC236}">
              <a16:creationId xmlns:a16="http://schemas.microsoft.com/office/drawing/2014/main" id="{7E966B7A-0084-493A-96B8-CC0B63B3E1B7}"/>
            </a:ext>
          </a:extLst>
        </xdr:cNvPr>
        <xdr:cNvGrpSpPr/>
      </xdr:nvGrpSpPr>
      <xdr:grpSpPr>
        <a:xfrm>
          <a:off x="576262" y="2576512"/>
          <a:ext cx="5195887" cy="890586"/>
          <a:chOff x="609600" y="7810500"/>
          <a:chExt cx="5186234" cy="876582"/>
        </a:xfrm>
      </xdr:grpSpPr>
      <xdr:sp macro="" textlink="">
        <xdr:nvSpPr>
          <xdr:cNvPr id="34" name="txt_Étape" descr="Next, enter the function arguments in their respective text boxes. As you enter each one, Excel will evaluate it, and show you its result, with the final result at the bottom. As you enter each section, the criteria for each argument is listed at the bottom of the form.  Press OK when you're done, and Excel will enter the formula for you.&#10;&#10;">
            <a:extLst>
              <a:ext uri="{FF2B5EF4-FFF2-40B4-BE49-F238E27FC236}">
                <a16:creationId xmlns:a16="http://schemas.microsoft.com/office/drawing/2014/main" id="{C82B8F57-9FF5-45C3-85F3-D20D36091018}"/>
              </a:ext>
            </a:extLst>
          </xdr:cNvPr>
          <xdr:cNvSpPr txBox="1"/>
        </xdr:nvSpPr>
        <xdr:spPr>
          <a:xfrm>
            <a:off x="1017295" y="7852458"/>
            <a:ext cx="4778539" cy="834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Entrez ensuite les arguments de la fonction dans leurs zones de texte respectives. À mesure que vous entrez les arguments, Excel les évalue et affiche leur résultat, avec le résultat final en bas du formulaire. Lorsque vous avez terminé, appuyez sur </a:t>
            </a:r>
            <a:r>
              <a:rPr lang="fr" sz="1100" b="1"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OK</a:t>
            </a:r>
            <a:r>
              <a:rPr lang="fr"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et Excel entrera automatiquement la formule.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3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35" name="shp_Étape" descr="2">
            <a:extLst>
              <a:ext uri="{FF2B5EF4-FFF2-40B4-BE49-F238E27FC236}">
                <a16:creationId xmlns:a16="http://schemas.microsoft.com/office/drawing/2014/main" id="{5AB35ED8-7C03-4A09-9FEE-06DD4293FA63}"/>
              </a:ext>
            </a:extLst>
          </xdr:cNvPr>
          <xdr:cNvSpPr/>
        </xdr:nvSpPr>
        <xdr:spPr>
          <a:xfrm>
            <a:off x="609600"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561974</xdr:colOff>
      <xdr:row>31</xdr:row>
      <xdr:rowOff>128589</xdr:rowOff>
    </xdr:from>
    <xdr:to>
      <xdr:col>1</xdr:col>
      <xdr:colOff>970369</xdr:colOff>
      <xdr:row>33</xdr:row>
      <xdr:rowOff>83038</xdr:rowOff>
    </xdr:to>
    <xdr:sp macro="" textlink="">
      <xdr:nvSpPr>
        <xdr:cNvPr id="36" name="BoutonPrécédent" descr="Revenir à la feuille précédente">
          <a:hlinkClick xmlns:r="http://schemas.openxmlformats.org/officeDocument/2006/relationships" r:id="rId9" tooltip="Cliquez ici pour revenir à la feuille précédente"/>
          <a:extLst>
            <a:ext uri="{FF2B5EF4-FFF2-40B4-BE49-F238E27FC236}">
              <a16:creationId xmlns:a16="http://schemas.microsoft.com/office/drawing/2014/main" id="{23024F3C-3AF8-4032-A467-E03848D173A5}"/>
            </a:ext>
          </a:extLst>
        </xdr:cNvPr>
        <xdr:cNvSpPr/>
      </xdr:nvSpPr>
      <xdr:spPr>
        <a:xfrm flipH="1">
          <a:off x="561974" y="6634164"/>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3646535</xdr:colOff>
      <xdr:row>31</xdr:row>
      <xdr:rowOff>128589</xdr:rowOff>
    </xdr:from>
    <xdr:to>
      <xdr:col>1</xdr:col>
      <xdr:colOff>4921705</xdr:colOff>
      <xdr:row>33</xdr:row>
      <xdr:rowOff>83038</xdr:rowOff>
    </xdr:to>
    <xdr:sp macro="" textlink="">
      <xdr:nvSpPr>
        <xdr:cNvPr id="37" name="BoutonSuivant" descr="Passer à la feuille suivante">
          <a:hlinkClick xmlns:r="http://schemas.openxmlformats.org/officeDocument/2006/relationships" r:id="rId10" tooltip="Cliquez ici pour passer à la feuille suivante"/>
          <a:extLst>
            <a:ext uri="{FF2B5EF4-FFF2-40B4-BE49-F238E27FC236}">
              <a16:creationId xmlns:a16="http://schemas.microsoft.com/office/drawing/2014/main" id="{ED46C9A4-5408-4ADF-B002-1471F7CFBA65}"/>
            </a:ext>
          </a:extLst>
        </xdr:cNvPr>
        <xdr:cNvSpPr/>
      </xdr:nvSpPr>
      <xdr:spPr>
        <a:xfrm>
          <a:off x="4513310" y="6634164"/>
          <a:ext cx="1275170"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oneCell">
    <xdr:from>
      <xdr:col>1</xdr:col>
      <xdr:colOff>228600</xdr:colOff>
      <xdr:row>15</xdr:row>
      <xdr:rowOff>122965</xdr:rowOff>
    </xdr:from>
    <xdr:to>
      <xdr:col>1</xdr:col>
      <xdr:colOff>4857750</xdr:colOff>
      <xdr:row>29</xdr:row>
      <xdr:rowOff>12128</xdr:rowOff>
    </xdr:to>
    <xdr:pic>
      <xdr:nvPicPr>
        <xdr:cNvPr id="38" name="Image 37" descr="Boîte de dialogue Arguments de la fonction RECHERCHEV">
          <a:extLst>
            <a:ext uri="{FF2B5EF4-FFF2-40B4-BE49-F238E27FC236}">
              <a16:creationId xmlns:a16="http://schemas.microsoft.com/office/drawing/2014/main" id="{DB63FA91-B90A-4C8B-B64A-4F15314BFA4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1095375" y="3580540"/>
          <a:ext cx="4629150" cy="2556163"/>
        </a:xfrm>
        <a:prstGeom prst="rect">
          <a:avLst/>
        </a:prstGeom>
      </xdr:spPr>
    </xdr:pic>
    <xdr:clientData/>
  </xdr:twoCellAnchor>
  <xdr:twoCellAnchor>
    <xdr:from>
      <xdr:col>1</xdr:col>
      <xdr:colOff>1544364</xdr:colOff>
      <xdr:row>16</xdr:row>
      <xdr:rowOff>66379</xdr:rowOff>
    </xdr:from>
    <xdr:to>
      <xdr:col>6</xdr:col>
      <xdr:colOff>571500</xdr:colOff>
      <xdr:row>35</xdr:row>
      <xdr:rowOff>163387</xdr:rowOff>
    </xdr:to>
    <xdr:grpSp>
      <xdr:nvGrpSpPr>
        <xdr:cNvPr id="39" name="Groupe 7">
          <a:extLst>
            <a:ext uri="{FF2B5EF4-FFF2-40B4-BE49-F238E27FC236}">
              <a16:creationId xmlns:a16="http://schemas.microsoft.com/office/drawing/2014/main" id="{120FDC75-71B3-4C23-AE9E-6F0E3335CA8A}"/>
            </a:ext>
          </a:extLst>
        </xdr:cNvPr>
        <xdr:cNvGrpSpPr/>
      </xdr:nvGrpSpPr>
      <xdr:grpSpPr>
        <a:xfrm>
          <a:off x="2411139" y="3714454"/>
          <a:ext cx="7523436" cy="3716508"/>
          <a:chOff x="2411139" y="6952954"/>
          <a:chExt cx="7523436" cy="3716508"/>
        </a:xfrm>
      </xdr:grpSpPr>
      <xdr:grpSp>
        <xdr:nvGrpSpPr>
          <xdr:cNvPr id="40" name="Groupe 95">
            <a:extLst>
              <a:ext uri="{FF2B5EF4-FFF2-40B4-BE49-F238E27FC236}">
                <a16:creationId xmlns:a16="http://schemas.microsoft.com/office/drawing/2014/main" id="{8E326517-7B12-470F-846C-E4CD63FD28E8}"/>
              </a:ext>
            </a:extLst>
          </xdr:cNvPr>
          <xdr:cNvGrpSpPr/>
        </xdr:nvGrpSpPr>
        <xdr:grpSpPr>
          <a:xfrm>
            <a:off x="2733674" y="6952954"/>
            <a:ext cx="6924676" cy="1721004"/>
            <a:chOff x="2895600" y="6567190"/>
            <a:chExt cx="6924676" cy="1721004"/>
          </a:xfrm>
        </xdr:grpSpPr>
        <xdr:grpSp>
          <xdr:nvGrpSpPr>
            <xdr:cNvPr id="45" name="BON À SAVOIR" descr="BON À SAVOIR&#10;&#10;">
              <a:extLst>
                <a:ext uri="{FF2B5EF4-FFF2-40B4-BE49-F238E27FC236}">
                  <a16:creationId xmlns:a16="http://schemas.microsoft.com/office/drawing/2014/main" id="{58810DE6-33A5-4BF2-83B4-74F612978BFD}"/>
                </a:ext>
              </a:extLst>
            </xdr:cNvPr>
            <xdr:cNvGrpSpPr/>
          </xdr:nvGrpSpPr>
          <xdr:grpSpPr>
            <a:xfrm>
              <a:off x="6391276" y="6567190"/>
              <a:ext cx="3429000" cy="1721004"/>
              <a:chOff x="6778625" y="15564811"/>
              <a:chExt cx="3538099" cy="1653047"/>
            </a:xfrm>
          </xdr:grpSpPr>
          <xdr:pic>
            <xdr:nvPicPr>
              <xdr:cNvPr id="47" name="Graphisme 147" descr="Lunettes">
                <a:extLst>
                  <a:ext uri="{FF2B5EF4-FFF2-40B4-BE49-F238E27FC236}">
                    <a16:creationId xmlns:a16="http://schemas.microsoft.com/office/drawing/2014/main" id="{2844F7E8-467E-40FE-BADD-2E0D4F0F8D36}"/>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6778625" y="15564811"/>
                <a:ext cx="323347" cy="349115"/>
              </a:xfrm>
              <a:prstGeom prst="rect">
                <a:avLst/>
              </a:prstGeom>
            </xdr:spPr>
          </xdr:pic>
          <xdr:sp macro="" textlink="">
            <xdr:nvSpPr>
              <xdr:cNvPr id="48" name="Étape" descr="GOOD TO KNOW&#10;You can type cell and range references, or select them with your mouse.&#10;&#10;">
                <a:extLst>
                  <a:ext uri="{FF2B5EF4-FFF2-40B4-BE49-F238E27FC236}">
                    <a16:creationId xmlns:a16="http://schemas.microsoft.com/office/drawing/2014/main" id="{12E5E2F2-A87C-4E55-B2D0-8838BB79F465}"/>
                  </a:ext>
                </a:extLst>
              </xdr:cNvPr>
              <xdr:cNvSpPr txBox="1"/>
            </xdr:nvSpPr>
            <xdr:spPr>
              <a:xfrm>
                <a:off x="7033130" y="15592258"/>
                <a:ext cx="3283594"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entrer manuellement les références de cellule et de plage, ou les sélectionner avec la souris.</a:t>
                </a:r>
                <a:endParaRPr lang="en-US" sz="1100">
                  <a:effectLst/>
                  <a:latin typeface="+mn-lt"/>
                </a:endParaRPr>
              </a:p>
            </xdr:txBody>
          </xdr:sp>
        </xdr:grpSp>
        <xdr:cxnSp macro="">
          <xdr:nvCxnSpPr>
            <xdr:cNvPr id="46" name="Connecteur : courbé 97">
              <a:extLst>
                <a:ext uri="{FF2B5EF4-FFF2-40B4-BE49-F238E27FC236}">
                  <a16:creationId xmlns:a16="http://schemas.microsoft.com/office/drawing/2014/main" id="{37B5E65F-96D5-4B6F-BB6D-54106968F665}"/>
                </a:ext>
              </a:extLst>
            </xdr:cNvPr>
            <xdr:cNvCxnSpPr/>
          </xdr:nvCxnSpPr>
          <xdr:spPr>
            <a:xfrm rot="10800000" flipV="1">
              <a:off x="2895600" y="6715123"/>
              <a:ext cx="3409950" cy="285751"/>
            </a:xfrm>
            <a:prstGeom prst="curvedConnector3">
              <a:avLst>
                <a:gd name="adj1" fmla="val 100000"/>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grpSp>
      <xdr:grpSp>
        <xdr:nvGrpSpPr>
          <xdr:cNvPr id="41" name="BON À SAVOIR" descr="BON À SAVOIR&#10;&#10;">
            <a:extLst>
              <a:ext uri="{FF2B5EF4-FFF2-40B4-BE49-F238E27FC236}">
                <a16:creationId xmlns:a16="http://schemas.microsoft.com/office/drawing/2014/main" id="{80D24BF5-999B-4AA5-A692-85B622EEC13A}"/>
              </a:ext>
            </a:extLst>
          </xdr:cNvPr>
          <xdr:cNvGrpSpPr/>
        </xdr:nvGrpSpPr>
        <xdr:grpSpPr>
          <a:xfrm>
            <a:off x="2411139" y="8673756"/>
            <a:ext cx="7523436" cy="1995706"/>
            <a:chOff x="2779964" y="15904785"/>
            <a:chExt cx="6772887" cy="1916900"/>
          </a:xfrm>
        </xdr:grpSpPr>
        <xdr:pic>
          <xdr:nvPicPr>
            <xdr:cNvPr id="42" name="Graphisme 147" descr="Lunettes">
              <a:extLst>
                <a:ext uri="{FF2B5EF4-FFF2-40B4-BE49-F238E27FC236}">
                  <a16:creationId xmlns:a16="http://schemas.microsoft.com/office/drawing/2014/main" id="{E6AB95E4-17A1-406A-B961-BC5A748EE24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6120676" y="16141192"/>
              <a:ext cx="323347" cy="349115"/>
            </a:xfrm>
            <a:prstGeom prst="rect">
              <a:avLst/>
            </a:prstGeom>
          </xdr:spPr>
        </xdr:pic>
        <xdr:sp macro="" textlink="">
          <xdr:nvSpPr>
            <xdr:cNvPr id="43" name="Étape" descr="GOOD TO KNOW&#10;As you enter each argument's section, the argument's description will be displayed toward the bottom of the form, above the Formula result.&#10;">
              <a:extLst>
                <a:ext uri="{FF2B5EF4-FFF2-40B4-BE49-F238E27FC236}">
                  <a16:creationId xmlns:a16="http://schemas.microsoft.com/office/drawing/2014/main" id="{4036C934-6A14-457B-800B-9CA5E4040C39}"/>
                </a:ext>
              </a:extLst>
            </xdr:cNvPr>
            <xdr:cNvSpPr txBox="1"/>
          </xdr:nvSpPr>
          <xdr:spPr>
            <a:xfrm>
              <a:off x="6385009" y="16196085"/>
              <a:ext cx="3167842" cy="162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Lorsque vous entrez la section de chaque argument, la description de l’argument s’affiche en bas du formulaire, au-dessus du résultat de la formule.</a:t>
              </a:r>
              <a:endParaRPr lang="en-US" sz="1100">
                <a:effectLst/>
                <a:latin typeface="+mn-lt"/>
              </a:endParaRPr>
            </a:p>
          </xdr:txBody>
        </xdr:sp>
        <xdr:sp macro="" textlink="">
          <xdr:nvSpPr>
            <xdr:cNvPr id="44" name="Forme libre : forme 103" descr="Flèche">
              <a:extLst>
                <a:ext uri="{FF2B5EF4-FFF2-40B4-BE49-F238E27FC236}">
                  <a16:creationId xmlns:a16="http://schemas.microsoft.com/office/drawing/2014/main" id="{E4C2B9DA-4A7E-4071-9F01-64E6E77C23CE}"/>
                </a:ext>
              </a:extLst>
            </xdr:cNvPr>
            <xdr:cNvSpPr/>
          </xdr:nvSpPr>
          <xdr:spPr>
            <a:xfrm rot="16200000" flipH="1" flipV="1">
              <a:off x="4551447" y="14133302"/>
              <a:ext cx="284005" cy="3826972"/>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304800</xdr:colOff>
      <xdr:row>57</xdr:row>
      <xdr:rowOff>66675</xdr:rowOff>
    </xdr:from>
    <xdr:ext cx="2448267" cy="2676899"/>
    <xdr:pic>
      <xdr:nvPicPr>
        <xdr:cNvPr id="2" name="Image 1">
          <a:extLst>
            <a:ext uri="{FF2B5EF4-FFF2-40B4-BE49-F238E27FC236}">
              <a16:creationId xmlns:a16="http://schemas.microsoft.com/office/drawing/2014/main" id="{9501D8CC-666F-495D-83E4-22BB3A8EE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01125" y="124520325"/>
          <a:ext cx="2448267" cy="2676899"/>
        </a:xfrm>
        <a:prstGeom prst="rect">
          <a:avLst/>
        </a:prstGeom>
      </xdr:spPr>
    </xdr:pic>
    <xdr:clientData/>
  </xdr:oneCellAnchor>
  <xdr:oneCellAnchor>
    <xdr:from>
      <xdr:col>12</xdr:col>
      <xdr:colOff>276225</xdr:colOff>
      <xdr:row>58</xdr:row>
      <xdr:rowOff>104775</xdr:rowOff>
    </xdr:from>
    <xdr:ext cx="2600688" cy="1686160"/>
    <xdr:pic>
      <xdr:nvPicPr>
        <xdr:cNvPr id="3" name="Image 2">
          <a:extLst>
            <a:ext uri="{FF2B5EF4-FFF2-40B4-BE49-F238E27FC236}">
              <a16:creationId xmlns:a16="http://schemas.microsoft.com/office/drawing/2014/main" id="{25F781BF-C6C9-4438-899B-BCC2138B7A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34575" y="12877800"/>
          <a:ext cx="2600688" cy="168616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absolute">
    <xdr:from>
      <xdr:col>0</xdr:col>
      <xdr:colOff>342900</xdr:colOff>
      <xdr:row>0</xdr:row>
      <xdr:rowOff>361949</xdr:rowOff>
    </xdr:from>
    <xdr:to>
      <xdr:col>1</xdr:col>
      <xdr:colOff>5210175</xdr:colOff>
      <xdr:row>51</xdr:row>
      <xdr:rowOff>180974</xdr:rowOff>
    </xdr:to>
    <xdr:sp macro="" textlink="">
      <xdr:nvSpPr>
        <xdr:cNvPr id="2" name="txt_ArrièrePlanVisiteGuidée" descr="Arrière-plan">
          <a:extLst>
            <a:ext uri="{FF2B5EF4-FFF2-40B4-BE49-F238E27FC236}">
              <a16:creationId xmlns:a16="http://schemas.microsoft.com/office/drawing/2014/main" id="{613F9601-10AB-416F-8423-5BEB0C286ACD}"/>
            </a:ext>
          </a:extLst>
        </xdr:cNvPr>
        <xdr:cNvSpPr/>
      </xdr:nvSpPr>
      <xdr:spPr>
        <a:xfrm>
          <a:off x="342900" y="361949"/>
          <a:ext cx="5734050" cy="1018222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565153</xdr:colOff>
      <xdr:row>0</xdr:row>
      <xdr:rowOff>457199</xdr:rowOff>
    </xdr:from>
    <xdr:to>
      <xdr:col>1</xdr:col>
      <xdr:colOff>4949822</xdr:colOff>
      <xdr:row>3</xdr:row>
      <xdr:rowOff>146203</xdr:rowOff>
    </xdr:to>
    <xdr:sp macro="" textlink="">
      <xdr:nvSpPr>
        <xdr:cNvPr id="3" name="txt_EnTêteVisiteGuidée" descr="Résoudre les erreurs présentes dans les formules">
          <a:extLst>
            <a:ext uri="{FF2B5EF4-FFF2-40B4-BE49-F238E27FC236}">
              <a16:creationId xmlns:a16="http://schemas.microsoft.com/office/drawing/2014/main" id="{9848E9DE-EE8F-4798-92BD-D1DDF7D777C1}"/>
            </a:ext>
          </a:extLst>
        </xdr:cNvPr>
        <xdr:cNvSpPr txBox="1"/>
      </xdr:nvSpPr>
      <xdr:spPr>
        <a:xfrm>
          <a:off x="565153" y="457199"/>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Résoudre les erreurs présentes dans les formules</a:t>
          </a:r>
        </a:p>
      </xdr:txBody>
    </xdr:sp>
    <xdr:clientData/>
  </xdr:twoCellAnchor>
  <xdr:twoCellAnchor editAs="absolute">
    <xdr:from>
      <xdr:col>0</xdr:col>
      <xdr:colOff>565153</xdr:colOff>
      <xdr:row>4</xdr:row>
      <xdr:rowOff>47626</xdr:rowOff>
    </xdr:from>
    <xdr:to>
      <xdr:col>1</xdr:col>
      <xdr:colOff>4946626</xdr:colOff>
      <xdr:row>4</xdr:row>
      <xdr:rowOff>47626</xdr:rowOff>
    </xdr:to>
    <xdr:cxnSp macro="">
      <xdr:nvCxnSpPr>
        <xdr:cNvPr id="4" name="txt_VisiteGuidéeLigne1" descr="Ligne décorative">
          <a:extLst>
            <a:ext uri="{FF2B5EF4-FFF2-40B4-BE49-F238E27FC236}">
              <a16:creationId xmlns:a16="http://schemas.microsoft.com/office/drawing/2014/main" id="{198B9594-D6FA-4734-862B-C6CC65D0F55B}"/>
            </a:ext>
          </a:extLst>
        </xdr:cNvPr>
        <xdr:cNvCxnSpPr>
          <a:cxnSpLocks/>
        </xdr:cNvCxnSpPr>
      </xdr:nvCxnSpPr>
      <xdr:spPr>
        <a:xfrm>
          <a:off x="565153" y="138112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565153</xdr:colOff>
      <xdr:row>48</xdr:row>
      <xdr:rowOff>116416</xdr:rowOff>
    </xdr:from>
    <xdr:to>
      <xdr:col>1</xdr:col>
      <xdr:colOff>4946626</xdr:colOff>
      <xdr:row>48</xdr:row>
      <xdr:rowOff>116416</xdr:rowOff>
    </xdr:to>
    <xdr:cxnSp macro="">
      <xdr:nvCxnSpPr>
        <xdr:cNvPr id="5" name="txt_VisiteGuidéeLigne2" descr="Ligne décorative">
          <a:extLst>
            <a:ext uri="{FF2B5EF4-FFF2-40B4-BE49-F238E27FC236}">
              <a16:creationId xmlns:a16="http://schemas.microsoft.com/office/drawing/2014/main" id="{361FA644-A876-41EF-A074-615E3F3D936A}"/>
            </a:ext>
          </a:extLst>
        </xdr:cNvPr>
        <xdr:cNvCxnSpPr>
          <a:cxnSpLocks/>
        </xdr:cNvCxnSpPr>
      </xdr:nvCxnSpPr>
      <xdr:spPr>
        <a:xfrm>
          <a:off x="565153" y="990811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571663</xdr:colOff>
      <xdr:row>4</xdr:row>
      <xdr:rowOff>119141</xdr:rowOff>
    </xdr:from>
    <xdr:to>
      <xdr:col>1</xdr:col>
      <xdr:colOff>4956332</xdr:colOff>
      <xdr:row>8</xdr:row>
      <xdr:rowOff>179620</xdr:rowOff>
    </xdr:to>
    <xdr:sp macro="" textlink="">
      <xdr:nvSpPr>
        <xdr:cNvPr id="6" name="txt_IntroVisiteGuidée" descr="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
          <a:extLst>
            <a:ext uri="{FF2B5EF4-FFF2-40B4-BE49-F238E27FC236}">
              <a16:creationId xmlns:a16="http://schemas.microsoft.com/office/drawing/2014/main" id="{DFF6995D-AD0A-4972-A15F-3BBA8105D9BC}"/>
            </a:ext>
          </a:extLst>
        </xdr:cNvPr>
        <xdr:cNvSpPr txBox="1"/>
      </xdr:nvSpPr>
      <xdr:spPr>
        <a:xfrm>
          <a:off x="571663" y="1452641"/>
          <a:ext cx="5251444" cy="832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Tôt ou tard, vous rencontrerez une formule comportant une erreur (#ErrorName!). Les erreurs sont parfois utiles car elles mettent un problème en évidence, mais elles peuvent aussi être difficiles à résoudre. Heureusement, différentes options permettent de remonter jusqu’à la source de l’erreur pour la corriger.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clientData/>
  </xdr:twoCellAnchor>
  <xdr:twoCellAnchor editAs="absolute">
    <xdr:from>
      <xdr:col>0</xdr:col>
      <xdr:colOff>666924</xdr:colOff>
      <xdr:row>9</xdr:row>
      <xdr:rowOff>0</xdr:rowOff>
    </xdr:from>
    <xdr:to>
      <xdr:col>1</xdr:col>
      <xdr:colOff>5039317</xdr:colOff>
      <xdr:row>15</xdr:row>
      <xdr:rowOff>104775</xdr:rowOff>
    </xdr:to>
    <xdr:grpSp>
      <xdr:nvGrpSpPr>
        <xdr:cNvPr id="7" name="Groupe 1">
          <a:extLst>
            <a:ext uri="{FF2B5EF4-FFF2-40B4-BE49-F238E27FC236}">
              <a16:creationId xmlns:a16="http://schemas.microsoft.com/office/drawing/2014/main" id="{3FC481CF-E224-4479-92D4-832587BC50DF}"/>
            </a:ext>
          </a:extLst>
        </xdr:cNvPr>
        <xdr:cNvGrpSpPr/>
      </xdr:nvGrpSpPr>
      <xdr:grpSpPr>
        <a:xfrm>
          <a:off x="666924" y="2314575"/>
          <a:ext cx="5239168" cy="1257300"/>
          <a:chOff x="571500" y="1924050"/>
          <a:chExt cx="5229626" cy="1257300"/>
        </a:xfrm>
      </xdr:grpSpPr>
      <xdr:sp macro="" textlink="">
        <xdr:nvSpPr>
          <xdr:cNvPr id="8" name="txt_Étape" descr="Vérification des erreurs : Accédez à Formules &gt; Vérification des erreurs. Une boîte de dialogue s’affiche en indiquant la cause générale de l’erreur. À la cellule D9, l’erreur #N/A est due à l’absence de valeur correspondant à « Pomme ». Pour résoudre cette erreur, vous pouvez utiliser une valeur existante, supprimer l’erreur à l’aide de la fonction SIERREUR, ou l’ignorer sachant qu’elle disparaîtra lorsque vous utiliserez une valeur existante.">
            <a:extLst>
              <a:ext uri="{FF2B5EF4-FFF2-40B4-BE49-F238E27FC236}">
                <a16:creationId xmlns:a16="http://schemas.microsoft.com/office/drawing/2014/main" id="{D46B1B3B-4557-4035-BE53-0A95441072F7}"/>
              </a:ext>
            </a:extLst>
          </xdr:cNvPr>
          <xdr:cNvSpPr txBox="1"/>
        </xdr:nvSpPr>
        <xdr:spPr>
          <a:xfrm>
            <a:off x="991382" y="1966008"/>
            <a:ext cx="4809744" cy="1215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 :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Formules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Vérification des erreurs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Une boîte de dialogue s’affiche en indiquant la cause générale de l’erreur. À la cellule D9, l’erreur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#N/A</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est due à l’absence de valeur correspondant à « Pomme ». Pour résoudre cette erreur, vous pouvez utiliser une valeur existante, supprimer l’erreur à l’aide de 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ou l’ignorer sachant qu’elle disparaîtra lorsque vous utiliserez une valeur existante.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9" name="shp_Étape" descr="1">
            <a:extLst>
              <a:ext uri="{FF2B5EF4-FFF2-40B4-BE49-F238E27FC236}">
                <a16:creationId xmlns:a16="http://schemas.microsoft.com/office/drawing/2014/main" id="{2BFF8C76-A202-4D1F-8490-5FE9864E7AC6}"/>
              </a:ext>
            </a:extLst>
          </xdr:cNvPr>
          <xdr:cNvSpPr/>
        </xdr:nvSpPr>
        <xdr:spPr>
          <a:xfrm>
            <a:off x="571500" y="1924050"/>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clientData/>
  </xdr:twoCellAnchor>
  <xdr:twoCellAnchor editAs="absolute">
    <xdr:from>
      <xdr:col>0</xdr:col>
      <xdr:colOff>647995</xdr:colOff>
      <xdr:row>15</xdr:row>
      <xdr:rowOff>129818</xdr:rowOff>
    </xdr:from>
    <xdr:to>
      <xdr:col>1</xdr:col>
      <xdr:colOff>4886325</xdr:colOff>
      <xdr:row>25</xdr:row>
      <xdr:rowOff>64496</xdr:rowOff>
    </xdr:to>
    <xdr:pic>
      <xdr:nvPicPr>
        <xdr:cNvPr id="10" name="Image 56" descr="Boîte de dialogue Vérification des erreurs">
          <a:extLst>
            <a:ext uri="{FF2B5EF4-FFF2-40B4-BE49-F238E27FC236}">
              <a16:creationId xmlns:a16="http://schemas.microsoft.com/office/drawing/2014/main" id="{1B50B233-C9A9-4E89-A2AD-EC4D905A7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47995" y="3596918"/>
          <a:ext cx="5105105" cy="1839678"/>
        </a:xfrm>
        <a:prstGeom prst="rect">
          <a:avLst/>
        </a:prstGeom>
      </xdr:spPr>
    </xdr:pic>
    <xdr:clientData/>
  </xdr:twoCellAnchor>
  <xdr:twoCellAnchor editAs="absolute">
    <xdr:from>
      <xdr:col>0</xdr:col>
      <xdr:colOff>666924</xdr:colOff>
      <xdr:row>25</xdr:row>
      <xdr:rowOff>176213</xdr:rowOff>
    </xdr:from>
    <xdr:to>
      <xdr:col>1</xdr:col>
      <xdr:colOff>5039317</xdr:colOff>
      <xdr:row>29</xdr:row>
      <xdr:rowOff>123825</xdr:rowOff>
    </xdr:to>
    <xdr:grpSp>
      <xdr:nvGrpSpPr>
        <xdr:cNvPr id="11" name="Groupe 10">
          <a:extLst>
            <a:ext uri="{FF2B5EF4-FFF2-40B4-BE49-F238E27FC236}">
              <a16:creationId xmlns:a16="http://schemas.microsoft.com/office/drawing/2014/main" id="{4743F76D-C7F6-4975-9B7A-16779F327AD3}"/>
            </a:ext>
          </a:extLst>
        </xdr:cNvPr>
        <xdr:cNvGrpSpPr/>
      </xdr:nvGrpSpPr>
      <xdr:grpSpPr>
        <a:xfrm>
          <a:off x="666924" y="5548313"/>
          <a:ext cx="5239168" cy="709612"/>
          <a:chOff x="571500" y="4957763"/>
          <a:chExt cx="5229626" cy="709612"/>
        </a:xfrm>
      </xdr:grpSpPr>
      <xdr:sp macro="" textlink="">
        <xdr:nvSpPr>
          <xdr:cNvPr id="12" name="txt_Étape" descr="Cliquez sur Aide sur cette erreur pour ouvrir la rubrique d’aide correspondant à ce message d’erreur. Cliquez sur Afficher les étapes du calcul pour ouvrir la boîte de dialogue Évaluation de formule.">
            <a:extLst>
              <a:ext uri="{FF2B5EF4-FFF2-40B4-BE49-F238E27FC236}">
                <a16:creationId xmlns:a16="http://schemas.microsoft.com/office/drawing/2014/main" id="{912EF6BF-700E-4ED3-8AAD-5FC2A98E9504}"/>
              </a:ext>
            </a:extLst>
          </xdr:cNvPr>
          <xdr:cNvSpPr txBox="1"/>
        </xdr:nvSpPr>
        <xdr:spPr>
          <a:xfrm>
            <a:off x="991382" y="4999721"/>
            <a:ext cx="4809744" cy="667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Aide sur cette erreur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rubrique d’aide correspondant à ce message d’erreur.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Afficher les étapes du calcul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pour ouvrir la boîte de dialogue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 la formule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3" name="shp_Étape" descr="2">
            <a:extLst>
              <a:ext uri="{FF2B5EF4-FFF2-40B4-BE49-F238E27FC236}">
                <a16:creationId xmlns:a16="http://schemas.microsoft.com/office/drawing/2014/main" id="{EEEBB67E-6CEC-442E-B8D1-16D9FD70FB05}"/>
              </a:ext>
            </a:extLst>
          </xdr:cNvPr>
          <xdr:cNvSpPr/>
        </xdr:nvSpPr>
        <xdr:spPr>
          <a:xfrm>
            <a:off x="571500" y="4957763"/>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clientData/>
  </xdr:twoCellAnchor>
  <xdr:twoCellAnchor editAs="absolute">
    <xdr:from>
      <xdr:col>0</xdr:col>
      <xdr:colOff>752782</xdr:colOff>
      <xdr:row>29</xdr:row>
      <xdr:rowOff>123825</xdr:rowOff>
    </xdr:from>
    <xdr:to>
      <xdr:col>1</xdr:col>
      <xdr:colOff>4800293</xdr:colOff>
      <xdr:row>43</xdr:row>
      <xdr:rowOff>47296</xdr:rowOff>
    </xdr:to>
    <xdr:pic>
      <xdr:nvPicPr>
        <xdr:cNvPr id="14" name="Image 13" descr="Boîte de dialogue Évaluation de formule">
          <a:extLst>
            <a:ext uri="{FF2B5EF4-FFF2-40B4-BE49-F238E27FC236}">
              <a16:creationId xmlns:a16="http://schemas.microsoft.com/office/drawing/2014/main" id="{DC666FF9-220C-4DD9-BBC7-91212C496D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52782" y="6257925"/>
          <a:ext cx="4914286" cy="2628571"/>
        </a:xfrm>
        <a:prstGeom prst="rect">
          <a:avLst/>
        </a:prstGeom>
      </xdr:spPr>
    </xdr:pic>
    <xdr:clientData/>
  </xdr:twoCellAnchor>
  <xdr:twoCellAnchor editAs="absolute">
    <xdr:from>
      <xdr:col>0</xdr:col>
      <xdr:colOff>666924</xdr:colOff>
      <xdr:row>43</xdr:row>
      <xdr:rowOff>123825</xdr:rowOff>
    </xdr:from>
    <xdr:to>
      <xdr:col>1</xdr:col>
      <xdr:colOff>5039317</xdr:colOff>
      <xdr:row>48</xdr:row>
      <xdr:rowOff>19050</xdr:rowOff>
    </xdr:to>
    <xdr:grpSp>
      <xdr:nvGrpSpPr>
        <xdr:cNvPr id="15" name="Groupe 3">
          <a:extLst>
            <a:ext uri="{FF2B5EF4-FFF2-40B4-BE49-F238E27FC236}">
              <a16:creationId xmlns:a16="http://schemas.microsoft.com/office/drawing/2014/main" id="{CA3EBAFD-D220-4AB8-9679-3F42BC30DF88}"/>
            </a:ext>
          </a:extLst>
        </xdr:cNvPr>
        <xdr:cNvGrpSpPr/>
      </xdr:nvGrpSpPr>
      <xdr:grpSpPr>
        <a:xfrm>
          <a:off x="666924" y="8963025"/>
          <a:ext cx="5239168" cy="847725"/>
          <a:chOff x="571500" y="8372475"/>
          <a:chExt cx="5229626" cy="847725"/>
        </a:xfrm>
      </xdr:grpSpPr>
      <xdr:sp macro="" textlink="">
        <xdr:nvSpPr>
          <xdr:cNvPr id="16" name="txt_Étape" descr="Chaque fois que vous cliquez sur Évaluer, Excel examine la formule section par section. Excel ne vous indiquera pas forcément pourquoi l’erreur s’est produite, mais il vous signalera d’où elle vient.">
            <a:extLst>
              <a:ext uri="{FF2B5EF4-FFF2-40B4-BE49-F238E27FC236}">
                <a16:creationId xmlns:a16="http://schemas.microsoft.com/office/drawing/2014/main" id="{2125339A-B0F4-4EDF-99C2-E856DDB4A630}"/>
              </a:ext>
            </a:extLst>
          </xdr:cNvPr>
          <xdr:cNvSpPr txBox="1"/>
        </xdr:nvSpPr>
        <xdr:spPr>
          <a:xfrm>
            <a:off x="991382" y="8414433"/>
            <a:ext cx="4809744" cy="805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Chaque fois que vous cliquez sur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Évaluer</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Excel examine la formule section par section. Excel ne vous indiquera pas forcément pourquoi l’erreur s’est produite, mais il vous signalera d’où elle vient. À partir de là, consultez la rubrique d’aide pour tenter de déterminer la cause de l’erreur.</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7" name="shp_Étape" descr="3">
            <a:extLst>
              <a:ext uri="{FF2B5EF4-FFF2-40B4-BE49-F238E27FC236}">
                <a16:creationId xmlns:a16="http://schemas.microsoft.com/office/drawing/2014/main" id="{DCAACDAD-FCC1-4E40-AD6B-02DA1E29195A}"/>
              </a:ext>
            </a:extLst>
          </xdr:cNvPr>
          <xdr:cNvSpPr/>
        </xdr:nvSpPr>
        <xdr:spPr>
          <a:xfrm>
            <a:off x="571500" y="8372475"/>
            <a:ext cx="37462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clientData/>
  </xdr:twoCellAnchor>
  <xdr:twoCellAnchor editAs="absolute">
    <xdr:from>
      <xdr:col>0</xdr:col>
      <xdr:colOff>590550</xdr:colOff>
      <xdr:row>49</xdr:row>
      <xdr:rowOff>95250</xdr:rowOff>
    </xdr:from>
    <xdr:to>
      <xdr:col>1</xdr:col>
      <xdr:colOff>998947</xdr:colOff>
      <xdr:row>51</xdr:row>
      <xdr:rowOff>49699</xdr:rowOff>
    </xdr:to>
    <xdr:sp macro="" textlink="">
      <xdr:nvSpPr>
        <xdr:cNvPr id="18"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1439501E-65A2-408A-8B23-017FB992EED2}"/>
            </a:ext>
          </a:extLst>
        </xdr:cNvPr>
        <xdr:cNvSpPr/>
      </xdr:nvSpPr>
      <xdr:spPr>
        <a:xfrm flipH="1">
          <a:off x="590550" y="1007745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clientData fPrintsWithSheet="0"/>
  </xdr:twoCellAnchor>
  <xdr:twoCellAnchor editAs="absolute">
    <xdr:from>
      <xdr:col>1</xdr:col>
      <xdr:colOff>3669834</xdr:colOff>
      <xdr:row>49</xdr:row>
      <xdr:rowOff>95250</xdr:rowOff>
    </xdr:from>
    <xdr:to>
      <xdr:col>1</xdr:col>
      <xdr:colOff>4945006</xdr:colOff>
      <xdr:row>51</xdr:row>
      <xdr:rowOff>49699</xdr:rowOff>
    </xdr:to>
    <xdr:sp macro="" textlink="">
      <xdr:nvSpPr>
        <xdr:cNvPr id="19"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62A05F83-E716-49B6-AFC3-1D7586B353C1}"/>
            </a:ext>
          </a:extLst>
        </xdr:cNvPr>
        <xdr:cNvSpPr/>
      </xdr:nvSpPr>
      <xdr:spPr>
        <a:xfrm>
          <a:off x="4536609" y="10077450"/>
          <a:ext cx="1275172" cy="335449"/>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clientData fPrintsWithSheet="0"/>
  </xdr:twoCellAnchor>
  <xdr:twoCellAnchor editAs="absolute">
    <xdr:from>
      <xdr:col>2</xdr:col>
      <xdr:colOff>876300</xdr:colOff>
      <xdr:row>36</xdr:row>
      <xdr:rowOff>38100</xdr:rowOff>
    </xdr:from>
    <xdr:to>
      <xdr:col>7</xdr:col>
      <xdr:colOff>216957</xdr:colOff>
      <xdr:row>42</xdr:row>
      <xdr:rowOff>46766</xdr:rowOff>
    </xdr:to>
    <xdr:grpSp>
      <xdr:nvGrpSpPr>
        <xdr:cNvPr id="20" name="EXPÉRIMENTEZ" descr="EXPÉRIMENTEZ">
          <a:extLst>
            <a:ext uri="{FF2B5EF4-FFF2-40B4-BE49-F238E27FC236}">
              <a16:creationId xmlns:a16="http://schemas.microsoft.com/office/drawing/2014/main" id="{63AD822F-569B-432F-8209-C2371731D276}"/>
            </a:ext>
          </a:extLst>
        </xdr:cNvPr>
        <xdr:cNvGrpSpPr/>
      </xdr:nvGrpSpPr>
      <xdr:grpSpPr>
        <a:xfrm>
          <a:off x="7267575" y="7534275"/>
          <a:ext cx="2941107" cy="1161191"/>
          <a:chOff x="6375400" y="12710331"/>
          <a:chExt cx="3768724" cy="1161191"/>
        </a:xfrm>
      </xdr:grpSpPr>
      <xdr:sp macro="" textlink="">
        <xdr:nvSpPr>
          <xdr:cNvPr id="21" name="Étape" descr="EXPERIMENT&#10;What's wrong here? Hint: We're trying to SUM up all the items.&#10;&#10;">
            <a:extLst>
              <a:ext uri="{FF2B5EF4-FFF2-40B4-BE49-F238E27FC236}">
                <a16:creationId xmlns:a16="http://schemas.microsoft.com/office/drawing/2014/main" id="{4485A0B6-CF90-4B7F-BACD-0D298C203A18}"/>
              </a:ext>
            </a:extLst>
          </xdr:cNvPr>
          <xdr:cNvSpPr txBox="1"/>
        </xdr:nvSpPr>
        <xdr:spPr>
          <a:xfrm>
            <a:off x="6607610" y="12923420"/>
            <a:ext cx="3536514" cy="94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EXPÉRIMENTEZ</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lvl="0" rtl="0">
              <a:defRPr/>
            </a:pPr>
            <a:r>
              <a:rPr lang="fr" sz="1100" kern="0">
                <a:solidFill>
                  <a:schemeClr val="bg2">
                    <a:lumMod val="25000"/>
                  </a:schemeClr>
                </a:solidFill>
                <a:latin typeface="+mn-lt"/>
                <a:ea typeface="Segoe UI" pitchFamily="34" charset="0"/>
                <a:cs typeface="Segoe UI Light" panose="020B0502040204020203" pitchFamily="34" charset="0"/>
              </a:rPr>
              <a:t>Quel</a:t>
            </a:r>
            <a:r>
              <a:rPr lang="fr" sz="1100" kern="0" baseline="0">
                <a:solidFill>
                  <a:schemeClr val="bg2">
                    <a:lumMod val="25000"/>
                  </a:schemeClr>
                </a:solidFill>
                <a:latin typeface="+mn-lt"/>
                <a:ea typeface="Segoe UI" pitchFamily="34" charset="0"/>
                <a:cs typeface="Segoe UI Light" panose="020B0502040204020203" pitchFamily="34" charset="0"/>
              </a:rPr>
              <a:t> est le problème ici ? Astuce : l’objectif est d’additionner tous les éléments à l’aide de la fonction </a:t>
            </a:r>
            <a:r>
              <a:rPr lang="fr" sz="1100" b="1" kern="0" baseline="0">
                <a:solidFill>
                  <a:schemeClr val="bg2">
                    <a:lumMod val="25000"/>
                  </a:schemeClr>
                </a:solidFill>
                <a:latin typeface="+mn-lt"/>
                <a:ea typeface="Segoe UI" pitchFamily="34" charset="0"/>
                <a:cs typeface="Segoe UI Light" panose="020B0502040204020203" pitchFamily="34" charset="0"/>
              </a:rPr>
              <a:t>SOMME</a:t>
            </a:r>
            <a:r>
              <a:rPr lang="fr" sz="1100" kern="0" baseline="0">
                <a:solidFill>
                  <a:schemeClr val="bg2">
                    <a:lumMod val="25000"/>
                  </a:schemeClr>
                </a:solidFill>
                <a:latin typeface="+mn-lt"/>
                <a:ea typeface="Segoe UI" pitchFamily="34" charset="0"/>
                <a:cs typeface="Segoe UI Light" panose="020B0502040204020203" pitchFamily="34" charset="0"/>
              </a:rPr>
              <a:t>.</a:t>
            </a:r>
            <a:endParaRPr lang="en-US" sz="1100" kern="0">
              <a:solidFill>
                <a:schemeClr val="bg2">
                  <a:lumMod val="25000"/>
                </a:schemeClr>
              </a:solidFill>
              <a:latin typeface="+mn-lt"/>
              <a:ea typeface="Segoe UI" pitchFamily="34" charset="0"/>
              <a:cs typeface="Segoe UI Light" panose="020B0502040204020203" pitchFamily="34" charset="0"/>
            </a:endParaRPr>
          </a:p>
        </xdr:txBody>
      </xdr:sp>
      <xdr:sp macro="" textlink="">
        <xdr:nvSpPr>
          <xdr:cNvPr id="22" name="Forme libre : forme 68" descr="Ligne d’accolade">
            <a:extLst>
              <a:ext uri="{FF2B5EF4-FFF2-40B4-BE49-F238E27FC236}">
                <a16:creationId xmlns:a16="http://schemas.microsoft.com/office/drawing/2014/main" id="{BD5CA95E-7018-4ABB-9FE1-03A0089E6FAA}"/>
              </a:ext>
            </a:extLst>
          </xdr:cNvPr>
          <xdr:cNvSpPr/>
        </xdr:nvSpPr>
        <xdr:spPr>
          <a:xfrm rot="5400000">
            <a:off x="7204291" y="12535116"/>
            <a:ext cx="181608" cy="534983"/>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Lst>
            <a:ahLst/>
            <a:cxnLst>
              <a:cxn ang="0">
                <a:pos x="connsiteX0" y="connsiteY0"/>
              </a:cxn>
              <a:cxn ang="0">
                <a:pos x="connsiteX1" y="connsiteY1"/>
              </a:cxn>
              <a:cxn ang="0">
                <a:pos x="connsiteX2" y="connsiteY2"/>
              </a:cxn>
            </a:cxnLst>
            <a:rect l="l" t="t" r="r" b="b"/>
            <a:pathLst>
              <a:path w="167704" h="207258">
                <a:moveTo>
                  <a:pt x="0" y="193"/>
                </a:moveTo>
                <a:cubicBezTo>
                  <a:pt x="64880" y="-498"/>
                  <a:pt x="129760" y="-1188"/>
                  <a:pt x="157369" y="33323"/>
                </a:cubicBezTo>
                <a:cubicBezTo>
                  <a:pt x="184978" y="67834"/>
                  <a:pt x="146326" y="179649"/>
                  <a:pt x="165652" y="207258"/>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3" name="Forme libre : forme 69" descr="Ligne d’accolade">
            <a:extLst>
              <a:ext uri="{FF2B5EF4-FFF2-40B4-BE49-F238E27FC236}">
                <a16:creationId xmlns:a16="http://schemas.microsoft.com/office/drawing/2014/main" id="{920E4120-27D5-44F3-A680-DA9F5C032CA1}"/>
              </a:ext>
            </a:extLst>
          </xdr:cNvPr>
          <xdr:cNvSpPr/>
        </xdr:nvSpPr>
        <xdr:spPr>
          <a:xfrm rot="16200000" flipH="1">
            <a:off x="6553722" y="12534549"/>
            <a:ext cx="183793" cy="535358"/>
          </a:xfrm>
          <a:custGeom>
            <a:avLst/>
            <a:gdLst>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4" fmla="*/ 273326 w 273326"/>
              <a:gd name="connsiteY4" fmla="*/ 198976 h 217696"/>
              <a:gd name="connsiteX0" fmla="*/ 0 w 273326"/>
              <a:gd name="connsiteY0" fmla="*/ 193 h 217696"/>
              <a:gd name="connsiteX1" fmla="*/ 157369 w 273326"/>
              <a:gd name="connsiteY1" fmla="*/ 33323 h 217696"/>
              <a:gd name="connsiteX2" fmla="*/ 165652 w 273326"/>
              <a:gd name="connsiteY2" fmla="*/ 207258 h 217696"/>
              <a:gd name="connsiteX3" fmla="*/ 273326 w 273326"/>
              <a:gd name="connsiteY3" fmla="*/ 198976 h 217696"/>
              <a:gd name="connsiteX0" fmla="*/ 0 w 167704"/>
              <a:gd name="connsiteY0" fmla="*/ 193 h 207258"/>
              <a:gd name="connsiteX1" fmla="*/ 157369 w 167704"/>
              <a:gd name="connsiteY1" fmla="*/ 33323 h 207258"/>
              <a:gd name="connsiteX2" fmla="*/ 165652 w 167704"/>
              <a:gd name="connsiteY2" fmla="*/ 207258 h 207258"/>
              <a:gd name="connsiteX0" fmla="*/ 0 w 169722"/>
              <a:gd name="connsiteY0" fmla="*/ 334 h 219894"/>
              <a:gd name="connsiteX1" fmla="*/ 157369 w 169722"/>
              <a:gd name="connsiteY1" fmla="*/ 33464 h 219894"/>
              <a:gd name="connsiteX2" fmla="*/ 169722 w 169722"/>
              <a:gd name="connsiteY2" fmla="*/ 219894 h 219894"/>
            </a:gdLst>
            <a:ahLst/>
            <a:cxnLst>
              <a:cxn ang="0">
                <a:pos x="connsiteX0" y="connsiteY0"/>
              </a:cxn>
              <a:cxn ang="0">
                <a:pos x="connsiteX1" y="connsiteY1"/>
              </a:cxn>
              <a:cxn ang="0">
                <a:pos x="connsiteX2" y="connsiteY2"/>
              </a:cxn>
            </a:cxnLst>
            <a:rect l="l" t="t" r="r" b="b"/>
            <a:pathLst>
              <a:path w="169722" h="219894">
                <a:moveTo>
                  <a:pt x="0" y="334"/>
                </a:moveTo>
                <a:cubicBezTo>
                  <a:pt x="64880" y="-357"/>
                  <a:pt x="129082" y="-3129"/>
                  <a:pt x="157369" y="33464"/>
                </a:cubicBezTo>
                <a:cubicBezTo>
                  <a:pt x="185656" y="70057"/>
                  <a:pt x="150396" y="192285"/>
                  <a:pt x="169722" y="219894"/>
                </a:cubicBezTo>
              </a:path>
            </a:pathLst>
          </a:cu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4" name="Arc 70">
            <a:extLst>
              <a:ext uri="{FF2B5EF4-FFF2-40B4-BE49-F238E27FC236}">
                <a16:creationId xmlns:a16="http://schemas.microsoft.com/office/drawing/2014/main" id="{76D788C5-5756-477F-A26B-1201BC24B4AD}"/>
              </a:ext>
            </a:extLst>
          </xdr:cNvPr>
          <xdr:cNvSpPr/>
        </xdr:nvSpPr>
        <xdr:spPr>
          <a:xfrm>
            <a:off x="6802792" y="12888984"/>
            <a:ext cx="175277" cy="207177"/>
          </a:xfrm>
          <a:prstGeom prst="arc">
            <a:avLst>
              <a:gd name="adj1" fmla="val 15985420"/>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sp macro="" textlink="">
        <xdr:nvSpPr>
          <xdr:cNvPr id="25" name="Arc 71">
            <a:extLst>
              <a:ext uri="{FF2B5EF4-FFF2-40B4-BE49-F238E27FC236}">
                <a16:creationId xmlns:a16="http://schemas.microsoft.com/office/drawing/2014/main" id="{17873993-F9FD-4B37-975F-6433CC4EA506}"/>
              </a:ext>
            </a:extLst>
          </xdr:cNvPr>
          <xdr:cNvSpPr/>
        </xdr:nvSpPr>
        <xdr:spPr>
          <a:xfrm flipH="1">
            <a:off x="6978069" y="12880168"/>
            <a:ext cx="175277" cy="220401"/>
          </a:xfrm>
          <a:prstGeom prst="arc">
            <a:avLst>
              <a:gd name="adj1" fmla="val 17341536"/>
              <a:gd name="adj2" fmla="val 0"/>
            </a:avLst>
          </a:prstGeom>
          <a:noFill/>
          <a:ln w="19050">
            <a:solidFill>
              <a:schemeClr val="accent2">
                <a:lumMod val="60000"/>
                <a:lumOff val="40000"/>
              </a:schemeClr>
            </a:solidFill>
            <a:tailEnd type="non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endParaRPr lang="en-US" sz="1100">
              <a:solidFill>
                <a:schemeClr val="lt1"/>
              </a:solidFill>
              <a:latin typeface="+mn-lt"/>
              <a:ea typeface="+mn-ea"/>
              <a:cs typeface="+mn-cs"/>
            </a:endParaRPr>
          </a:p>
        </xdr:txBody>
      </xdr:sp>
      <xdr:pic>
        <xdr:nvPicPr>
          <xdr:cNvPr id="26" name="Graphisme 96" descr="Flacon">
            <a:extLst>
              <a:ext uri="{FF2B5EF4-FFF2-40B4-BE49-F238E27FC236}">
                <a16:creationId xmlns:a16="http://schemas.microsoft.com/office/drawing/2014/main" id="{35953A5C-EA9F-47F9-A9FE-4D6E2B6151C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375400" y="12980570"/>
            <a:ext cx="384748" cy="368300"/>
          </a:xfrm>
          <a:prstGeom prst="rect">
            <a:avLst/>
          </a:prstGeom>
        </xdr:spPr>
      </xdr:pic>
    </xdr:grpSp>
    <xdr:clientData/>
  </xdr:twoCellAnchor>
  <xdr:twoCellAnchor editAs="absolute">
    <xdr:from>
      <xdr:col>2</xdr:col>
      <xdr:colOff>47625</xdr:colOff>
      <xdr:row>22</xdr:row>
      <xdr:rowOff>4490</xdr:rowOff>
    </xdr:from>
    <xdr:to>
      <xdr:col>5</xdr:col>
      <xdr:colOff>171450</xdr:colOff>
      <xdr:row>26</xdr:row>
      <xdr:rowOff>133362</xdr:rowOff>
    </xdr:to>
    <xdr:grpSp>
      <xdr:nvGrpSpPr>
        <xdr:cNvPr id="27" name="BON À SAVOIR" descr="BON À SAVOIR&#10;&#10;">
          <a:extLst>
            <a:ext uri="{FF2B5EF4-FFF2-40B4-BE49-F238E27FC236}">
              <a16:creationId xmlns:a16="http://schemas.microsoft.com/office/drawing/2014/main" id="{28860562-92A2-4460-B16D-2C7F1C4705C7}"/>
            </a:ext>
          </a:extLst>
        </xdr:cNvPr>
        <xdr:cNvGrpSpPr/>
      </xdr:nvGrpSpPr>
      <xdr:grpSpPr>
        <a:xfrm>
          <a:off x="6438900" y="4805090"/>
          <a:ext cx="2505075" cy="890872"/>
          <a:chOff x="6778625" y="15619706"/>
          <a:chExt cx="2584778" cy="855693"/>
        </a:xfrm>
      </xdr:grpSpPr>
      <xdr:sp macro="" textlink="">
        <xdr:nvSpPr>
          <xdr:cNvPr id="28" name="Étape" descr="GOOD TO KNOW&#10;Clicking Options will let you set the rules for when errors in Excel are displayed or ignored.&#10;&#10;">
            <a:extLst>
              <a:ext uri="{FF2B5EF4-FFF2-40B4-BE49-F238E27FC236}">
                <a16:creationId xmlns:a16="http://schemas.microsoft.com/office/drawing/2014/main" id="{3760F401-E464-4A99-A9B4-187EC3A0E216}"/>
              </a:ext>
            </a:extLst>
          </xdr:cNvPr>
          <xdr:cNvSpPr txBox="1"/>
        </xdr:nvSpPr>
        <xdr:spPr>
          <a:xfrm>
            <a:off x="7042958" y="15665450"/>
            <a:ext cx="2320445" cy="809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tx1">
                    <a:lumMod val="75000"/>
                    <a:lumOff val="25000"/>
                  </a:schemeClr>
                </a:solidFill>
                <a:effectLst/>
                <a:latin typeface="+mn-lt"/>
                <a:ea typeface="+mn-ea"/>
                <a:cs typeface="+mn-cs"/>
              </a:rPr>
              <a:t>Cliquez sur </a:t>
            </a:r>
            <a:r>
              <a:rPr lang="fr" sz="1100" b="1" i="0" kern="1200" baseline="0">
                <a:solidFill>
                  <a:schemeClr val="tx1">
                    <a:lumMod val="75000"/>
                    <a:lumOff val="25000"/>
                  </a:schemeClr>
                </a:solidFill>
                <a:effectLst/>
                <a:latin typeface="+mn-lt"/>
                <a:ea typeface="+mn-ea"/>
                <a:cs typeface="+mn-cs"/>
              </a:rPr>
              <a:t>Options</a:t>
            </a:r>
            <a:r>
              <a:rPr lang="fr" sz="1100" b="0" i="0" kern="1200" baseline="0">
                <a:solidFill>
                  <a:schemeClr val="tx1">
                    <a:lumMod val="75000"/>
                    <a:lumOff val="25000"/>
                  </a:schemeClr>
                </a:solidFill>
                <a:effectLst/>
                <a:latin typeface="+mn-lt"/>
                <a:ea typeface="+mn-ea"/>
                <a:cs typeface="+mn-cs"/>
              </a:rPr>
              <a:t> pour définir les règles permettant d’afficher ou d’ignorer les erreurs dans Excel.</a:t>
            </a:r>
            <a:endParaRPr lang="en-US" sz="1100">
              <a:solidFill>
                <a:schemeClr val="tx1">
                  <a:lumMod val="75000"/>
                  <a:lumOff val="25000"/>
                </a:schemeClr>
              </a:solidFill>
              <a:effectLst/>
              <a:latin typeface="+mn-lt"/>
            </a:endParaRPr>
          </a:p>
        </xdr:txBody>
      </xdr:sp>
      <xdr:pic>
        <xdr:nvPicPr>
          <xdr:cNvPr id="29" name="Graphisme 147" descr="Lunettes">
            <a:extLst>
              <a:ext uri="{FF2B5EF4-FFF2-40B4-BE49-F238E27FC236}">
                <a16:creationId xmlns:a16="http://schemas.microsoft.com/office/drawing/2014/main" id="{4E9C3621-F9FE-4182-9589-CE324DFFF2D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778625" y="15619706"/>
            <a:ext cx="323347" cy="349115"/>
          </a:xfrm>
          <a:prstGeom prst="rect">
            <a:avLst/>
          </a:prstGeom>
        </xdr:spPr>
      </xdr:pic>
    </xdr:grpSp>
    <xdr:clientData/>
  </xdr:twoCellAnchor>
  <xdr:twoCellAnchor>
    <xdr:from>
      <xdr:col>1</xdr:col>
      <xdr:colOff>609601</xdr:colOff>
      <xdr:row>22</xdr:row>
      <xdr:rowOff>152397</xdr:rowOff>
    </xdr:from>
    <xdr:to>
      <xdr:col>1</xdr:col>
      <xdr:colOff>5495932</xdr:colOff>
      <xdr:row>24</xdr:row>
      <xdr:rowOff>66674</xdr:rowOff>
    </xdr:to>
    <xdr:cxnSp macro="">
      <xdr:nvCxnSpPr>
        <xdr:cNvPr id="30" name="Connecteur : courbé 76">
          <a:extLst>
            <a:ext uri="{FF2B5EF4-FFF2-40B4-BE49-F238E27FC236}">
              <a16:creationId xmlns:a16="http://schemas.microsoft.com/office/drawing/2014/main" id="{27F0FD56-F002-4130-A623-1F1047FA8AC5}"/>
            </a:ext>
          </a:extLst>
        </xdr:cNvPr>
        <xdr:cNvCxnSpPr/>
      </xdr:nvCxnSpPr>
      <xdr:spPr>
        <a:xfrm rot="10800000" flipV="1">
          <a:off x="1476376" y="4952997"/>
          <a:ext cx="4886331" cy="295277"/>
        </a:xfrm>
        <a:prstGeom prst="curvedConnector3">
          <a:avLst>
            <a:gd name="adj1" fmla="val 50000"/>
          </a:avLst>
        </a:pr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0</xdr:col>
      <xdr:colOff>342900</xdr:colOff>
      <xdr:row>52</xdr:row>
      <xdr:rowOff>66675</xdr:rowOff>
    </xdr:from>
    <xdr:to>
      <xdr:col>1</xdr:col>
      <xdr:colOff>5209413</xdr:colOff>
      <xdr:row>66</xdr:row>
      <xdr:rowOff>0</xdr:rowOff>
    </xdr:to>
    <xdr:grpSp>
      <xdr:nvGrpSpPr>
        <xdr:cNvPr id="31" name="Groupe 30">
          <a:extLst>
            <a:ext uri="{FF2B5EF4-FFF2-40B4-BE49-F238E27FC236}">
              <a16:creationId xmlns:a16="http://schemas.microsoft.com/office/drawing/2014/main" id="{4E7E5442-6FE2-4B75-B47A-0CAB257644F8}"/>
            </a:ext>
          </a:extLst>
        </xdr:cNvPr>
        <xdr:cNvGrpSpPr/>
      </xdr:nvGrpSpPr>
      <xdr:grpSpPr>
        <a:xfrm>
          <a:off x="342900" y="10620375"/>
          <a:ext cx="5733288" cy="2600325"/>
          <a:chOff x="352425" y="10715625"/>
          <a:chExt cx="5733288" cy="2390775"/>
        </a:xfrm>
      </xdr:grpSpPr>
      <xdr:sp macro="" textlink="">
        <xdr:nvSpPr>
          <xdr:cNvPr id="32" name="Rectangle 78">
            <a:extLst>
              <a:ext uri="{FF2B5EF4-FFF2-40B4-BE49-F238E27FC236}">
                <a16:creationId xmlns:a16="http://schemas.microsoft.com/office/drawing/2014/main" id="{FDE1C2BE-3348-4859-B2E6-0E330C3B9657}"/>
              </a:ext>
            </a:extLst>
          </xdr:cNvPr>
          <xdr:cNvSpPr/>
        </xdr:nvSpPr>
        <xdr:spPr>
          <a:xfrm>
            <a:off x="352425" y="10715625"/>
            <a:ext cx="5733288" cy="239077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33" name="Étape" descr="Plus d’informations sur le web&#10;">
            <a:extLst>
              <a:ext uri="{FF2B5EF4-FFF2-40B4-BE49-F238E27FC236}">
                <a16:creationId xmlns:a16="http://schemas.microsoft.com/office/drawing/2014/main" id="{7967D60D-51AF-4C13-AE6A-DC0C7A69706A}"/>
              </a:ext>
            </a:extLst>
          </xdr:cNvPr>
          <xdr:cNvSpPr txBox="1"/>
        </xdr:nvSpPr>
        <xdr:spPr>
          <a:xfrm>
            <a:off x="582507" y="10814879"/>
            <a:ext cx="5220000" cy="39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34" name="Connecteur droit 33" descr="Ligne décorative">
            <a:extLst>
              <a:ext uri="{FF2B5EF4-FFF2-40B4-BE49-F238E27FC236}">
                <a16:creationId xmlns:a16="http://schemas.microsoft.com/office/drawing/2014/main" id="{5652CDF0-8774-44B2-9283-B2D02B77FA9F}"/>
              </a:ext>
            </a:extLst>
          </xdr:cNvPr>
          <xdr:cNvCxnSpPr>
            <a:cxnSpLocks/>
          </xdr:cNvCxnSpPr>
        </xdr:nvCxnSpPr>
        <xdr:spPr>
          <a:xfrm>
            <a:off x="585659" y="11319574"/>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35" name="Connecteur droit 34" descr="Ligne décorative">
            <a:extLst>
              <a:ext uri="{FF2B5EF4-FFF2-40B4-BE49-F238E27FC236}">
                <a16:creationId xmlns:a16="http://schemas.microsoft.com/office/drawing/2014/main" id="{D5D5A50C-96B8-4B80-BA55-1051A182369E}"/>
              </a:ext>
            </a:extLst>
          </xdr:cNvPr>
          <xdr:cNvCxnSpPr>
            <a:cxnSpLocks/>
          </xdr:cNvCxnSpPr>
        </xdr:nvCxnSpPr>
        <xdr:spPr>
          <a:xfrm>
            <a:off x="585659" y="12912957"/>
            <a:ext cx="5216849"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552881</xdr:colOff>
      <xdr:row>56</xdr:row>
      <xdr:rowOff>54694</xdr:rowOff>
    </xdr:from>
    <xdr:to>
      <xdr:col>1</xdr:col>
      <xdr:colOff>3571875</xdr:colOff>
      <xdr:row>58</xdr:row>
      <xdr:rowOff>32773</xdr:rowOff>
    </xdr:to>
    <xdr:grpSp>
      <xdr:nvGrpSpPr>
        <xdr:cNvPr id="36" name="Groupe 35">
          <a:extLst>
            <a:ext uri="{FF2B5EF4-FFF2-40B4-BE49-F238E27FC236}">
              <a16:creationId xmlns:a16="http://schemas.microsoft.com/office/drawing/2014/main" id="{C12B576B-16B2-4DE8-AAA6-DD71472296BF}"/>
            </a:ext>
          </a:extLst>
        </xdr:cNvPr>
        <xdr:cNvGrpSpPr/>
      </xdr:nvGrpSpPr>
      <xdr:grpSpPr>
        <a:xfrm>
          <a:off x="552881" y="11370394"/>
          <a:ext cx="3885769" cy="359079"/>
          <a:chOff x="552881" y="10532194"/>
          <a:chExt cx="3885769" cy="359079"/>
        </a:xfrm>
      </xdr:grpSpPr>
      <xdr:sp macro="" textlink="">
        <xdr:nvSpPr>
          <xdr:cNvPr id="37" name="Étape" descr="À propos de la fonction SI, lien hypertexte vers le web&#10;&#10;">
            <a:hlinkClick xmlns:r="http://schemas.openxmlformats.org/officeDocument/2006/relationships" r:id="rId9" tooltip="Sélectionnez ce lien pour accéder sur le web à des informations complémentaires sur la détection d’erreurs dans les formules"/>
            <a:extLst>
              <a:ext uri="{FF2B5EF4-FFF2-40B4-BE49-F238E27FC236}">
                <a16:creationId xmlns:a16="http://schemas.microsoft.com/office/drawing/2014/main" id="{10807993-83B7-4F2F-AA14-DD7772303E09}"/>
              </a:ext>
            </a:extLst>
          </xdr:cNvPr>
          <xdr:cNvSpPr txBox="1"/>
        </xdr:nvSpPr>
        <xdr:spPr>
          <a:xfrm>
            <a:off x="1018066" y="10606554"/>
            <a:ext cx="3420584"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Détecter les erreurs dans les formules</a:t>
            </a:r>
          </a:p>
        </xdr:txBody>
      </xdr:sp>
      <xdr:pic>
        <xdr:nvPicPr>
          <xdr:cNvPr id="38"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846517F7-97D6-4326-9CFB-F408D046A4D6}"/>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0532194"/>
            <a:ext cx="492262" cy="359079"/>
          </a:xfrm>
          <a:prstGeom prst="rect">
            <a:avLst/>
          </a:prstGeom>
        </xdr:spPr>
      </xdr:pic>
    </xdr:grpSp>
    <xdr:clientData/>
  </xdr:twoCellAnchor>
  <xdr:twoCellAnchor>
    <xdr:from>
      <xdr:col>0</xdr:col>
      <xdr:colOff>552881</xdr:colOff>
      <xdr:row>58</xdr:row>
      <xdr:rowOff>48760</xdr:rowOff>
    </xdr:from>
    <xdr:to>
      <xdr:col>1</xdr:col>
      <xdr:colOff>3343275</xdr:colOff>
      <xdr:row>60</xdr:row>
      <xdr:rowOff>32149</xdr:rowOff>
    </xdr:to>
    <xdr:grpSp>
      <xdr:nvGrpSpPr>
        <xdr:cNvPr id="39" name="Groupe 38">
          <a:extLst>
            <a:ext uri="{FF2B5EF4-FFF2-40B4-BE49-F238E27FC236}">
              <a16:creationId xmlns:a16="http://schemas.microsoft.com/office/drawing/2014/main" id="{38B789B6-4A91-4200-8238-21CA0FE9A384}"/>
            </a:ext>
          </a:extLst>
        </xdr:cNvPr>
        <xdr:cNvGrpSpPr/>
      </xdr:nvGrpSpPr>
      <xdr:grpSpPr>
        <a:xfrm>
          <a:off x="552881" y="11745460"/>
          <a:ext cx="3657169" cy="364389"/>
          <a:chOff x="552881" y="10907260"/>
          <a:chExt cx="3657169" cy="364389"/>
        </a:xfrm>
      </xdr:grpSpPr>
      <xdr:sp macro="" textlink="">
        <xdr:nvSpPr>
          <xdr:cNvPr id="40" name="Étape" descr="À propos de la fonction SI.CONDITIONS, lien hypertexte vers le web&#10;">
            <a:hlinkClick xmlns:r="http://schemas.openxmlformats.org/officeDocument/2006/relationships" r:id="rId12" tooltip="Sélectionnez ce lien pour accéder sur le web à des informations complémentaires sur la façon d’éviter les formules incorrectes"/>
            <a:extLst>
              <a:ext uri="{FF2B5EF4-FFF2-40B4-BE49-F238E27FC236}">
                <a16:creationId xmlns:a16="http://schemas.microsoft.com/office/drawing/2014/main" id="{5E5509F0-8A71-4360-9AA5-2D07A4BA5788}"/>
              </a:ext>
            </a:extLst>
          </xdr:cNvPr>
          <xdr:cNvSpPr txBox="1"/>
        </xdr:nvSpPr>
        <xdr:spPr>
          <a:xfrm>
            <a:off x="1018066" y="10984436"/>
            <a:ext cx="3191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Comment éviter les formules incorrectes</a:t>
            </a:r>
          </a:p>
        </xdr:txBody>
      </xdr:sp>
      <xdr:pic>
        <xdr:nvPicPr>
          <xdr:cNvPr id="41" name="Graphisme 22" descr="Flèche">
            <a:hlinkClick xmlns:r="http://schemas.openxmlformats.org/officeDocument/2006/relationships" r:id="rId12" tooltip="Sélectionnez ce lien pour accéder à des informations complémentaires sur le web"/>
            <a:extLst>
              <a:ext uri="{FF2B5EF4-FFF2-40B4-BE49-F238E27FC236}">
                <a16:creationId xmlns:a16="http://schemas.microsoft.com/office/drawing/2014/main" id="{1AD23104-3B26-4FE8-B38F-8B6D51DD727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0907260"/>
            <a:ext cx="492262" cy="364389"/>
          </a:xfrm>
          <a:prstGeom prst="rect">
            <a:avLst/>
          </a:prstGeom>
        </xdr:spPr>
      </xdr:pic>
    </xdr:grpSp>
    <xdr:clientData/>
  </xdr:twoCellAnchor>
  <xdr:twoCellAnchor>
    <xdr:from>
      <xdr:col>0</xdr:col>
      <xdr:colOff>552881</xdr:colOff>
      <xdr:row>62</xdr:row>
      <xdr:rowOff>79678</xdr:rowOff>
    </xdr:from>
    <xdr:to>
      <xdr:col>1</xdr:col>
      <xdr:colOff>2990850</xdr:colOff>
      <xdr:row>64</xdr:row>
      <xdr:rowOff>63067</xdr:rowOff>
    </xdr:to>
    <xdr:grpSp>
      <xdr:nvGrpSpPr>
        <xdr:cNvPr id="42" name="Groupe 41">
          <a:extLst>
            <a:ext uri="{FF2B5EF4-FFF2-40B4-BE49-F238E27FC236}">
              <a16:creationId xmlns:a16="http://schemas.microsoft.com/office/drawing/2014/main" id="{4D546DFE-8EC8-4DE3-85C1-7F07D1798F3C}"/>
            </a:ext>
          </a:extLst>
        </xdr:cNvPr>
        <xdr:cNvGrpSpPr/>
      </xdr:nvGrpSpPr>
      <xdr:grpSpPr>
        <a:xfrm>
          <a:off x="552881" y="12538378"/>
          <a:ext cx="3304744" cy="364389"/>
          <a:chOff x="552881" y="11700178"/>
          <a:chExt cx="3304744" cy="364389"/>
        </a:xfrm>
      </xdr:grpSpPr>
      <xdr:sp macro="" textlink="">
        <xdr:nvSpPr>
          <xdr:cNvPr id="43" name="Étape" descr="Formation Excel gratuite en ligne, lien hypertexte vers le web&#10;">
            <a:hlinkClick xmlns:r="http://schemas.openxmlformats.org/officeDocument/2006/relationships" r:id="rId13" tooltip="Sélectionnez ce lien pour accéder sur le web à une formation gratuite sur Excel"/>
            <a:extLst>
              <a:ext uri="{FF2B5EF4-FFF2-40B4-BE49-F238E27FC236}">
                <a16:creationId xmlns:a16="http://schemas.microsoft.com/office/drawing/2014/main" id="{8F490E48-324C-49B4-BE2D-3D06372EE156}"/>
              </a:ext>
            </a:extLst>
          </xdr:cNvPr>
          <xdr:cNvSpPr txBox="1"/>
        </xdr:nvSpPr>
        <xdr:spPr>
          <a:xfrm>
            <a:off x="1030674" y="11751282"/>
            <a:ext cx="28269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44" name="Graphisme 22" descr="Flèche">
            <a:hlinkClick xmlns:r="http://schemas.openxmlformats.org/officeDocument/2006/relationships" r:id="rId13" tooltip="Sélectionnez ce lien pour accéder à des informations complémentaires sur le web"/>
            <a:extLst>
              <a:ext uri="{FF2B5EF4-FFF2-40B4-BE49-F238E27FC236}">
                <a16:creationId xmlns:a16="http://schemas.microsoft.com/office/drawing/2014/main" id="{04F667E2-59E4-4B00-9282-5972DD862CF1}"/>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1700178"/>
            <a:ext cx="492262" cy="364389"/>
          </a:xfrm>
          <a:prstGeom prst="rect">
            <a:avLst/>
          </a:prstGeom>
        </xdr:spPr>
      </xdr:pic>
    </xdr:grpSp>
    <xdr:clientData/>
  </xdr:twoCellAnchor>
  <xdr:twoCellAnchor>
    <xdr:from>
      <xdr:col>0</xdr:col>
      <xdr:colOff>552881</xdr:colOff>
      <xdr:row>60</xdr:row>
      <xdr:rowOff>48136</xdr:rowOff>
    </xdr:from>
    <xdr:to>
      <xdr:col>1</xdr:col>
      <xdr:colOff>3486149</xdr:colOff>
      <xdr:row>62</xdr:row>
      <xdr:rowOff>31525</xdr:rowOff>
    </xdr:to>
    <xdr:grpSp>
      <xdr:nvGrpSpPr>
        <xdr:cNvPr id="45" name="Groupe 44">
          <a:extLst>
            <a:ext uri="{FF2B5EF4-FFF2-40B4-BE49-F238E27FC236}">
              <a16:creationId xmlns:a16="http://schemas.microsoft.com/office/drawing/2014/main" id="{44F1A541-7145-4B37-A765-50327DA8D6D6}"/>
            </a:ext>
          </a:extLst>
        </xdr:cNvPr>
        <xdr:cNvGrpSpPr/>
      </xdr:nvGrpSpPr>
      <xdr:grpSpPr>
        <a:xfrm>
          <a:off x="552881" y="12125836"/>
          <a:ext cx="3800043" cy="364389"/>
          <a:chOff x="552881" y="11287636"/>
          <a:chExt cx="3800043" cy="364389"/>
        </a:xfrm>
      </xdr:grpSpPr>
      <xdr:sp macro="" textlink="">
        <xdr:nvSpPr>
          <xdr:cNvPr id="46" name="Étape" descr="Instructions SI avancées, lien hypertexte vers le web&#10;">
            <a:hlinkClick xmlns:r="http://schemas.openxmlformats.org/officeDocument/2006/relationships" r:id="rId14" tooltip="Sélectionnez ce lien pour accéder sur le web à des informations complémentaires sur l’évaluation étape par étape des formules imbriquées"/>
            <a:extLst>
              <a:ext uri="{FF2B5EF4-FFF2-40B4-BE49-F238E27FC236}">
                <a16:creationId xmlns:a16="http://schemas.microsoft.com/office/drawing/2014/main" id="{18B4575A-2AA7-4502-8D9E-1EE577241740}"/>
              </a:ext>
            </a:extLst>
          </xdr:cNvPr>
          <xdr:cNvSpPr txBox="1"/>
        </xdr:nvSpPr>
        <xdr:spPr>
          <a:xfrm>
            <a:off x="1018065" y="11355911"/>
            <a:ext cx="3334859"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Évaluer </a:t>
            </a:r>
            <a:r>
              <a:rPr lang="fr" sz="1100" u="sng" kern="0" baseline="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une formule imbriquée étape par étape</a:t>
            </a:r>
            <a:endParaRPr lang="en-US"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endParaRPr>
          </a:p>
        </xdr:txBody>
      </xdr:sp>
      <xdr:pic>
        <xdr:nvPicPr>
          <xdr:cNvPr id="47" name="Graphisme 22" descr="Flèche">
            <a:hlinkClick xmlns:r="http://schemas.openxmlformats.org/officeDocument/2006/relationships" r:id="rId14" tooltip="Sélectionnez ce lien pour accéder à des informations complémentaires sur le web"/>
            <a:extLst>
              <a:ext uri="{FF2B5EF4-FFF2-40B4-BE49-F238E27FC236}">
                <a16:creationId xmlns:a16="http://schemas.microsoft.com/office/drawing/2014/main" id="{D5BC39A1-EE62-471B-9DB2-07E722700252}"/>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552881" y="11287636"/>
            <a:ext cx="492262" cy="36438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47625</xdr:rowOff>
    </xdr:from>
    <xdr:to>
      <xdr:col>1</xdr:col>
      <xdr:colOff>1085850</xdr:colOff>
      <xdr:row>6</xdr:row>
      <xdr:rowOff>619125</xdr:rowOff>
    </xdr:to>
    <xdr:pic>
      <xdr:nvPicPr>
        <xdr:cNvPr id="2" name="Image 1" descr="Feuille de calcul avec des flèches d’audit">
          <a:extLst>
            <a:ext uri="{FF2B5EF4-FFF2-40B4-BE49-F238E27FC236}">
              <a16:creationId xmlns:a16="http://schemas.microsoft.com/office/drawing/2014/main" id="{FD45F5A9-4816-42B5-BB99-F0694618B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295525"/>
          <a:ext cx="108585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247650</xdr:colOff>
      <xdr:row>17</xdr:row>
      <xdr:rowOff>57150</xdr:rowOff>
    </xdr:to>
    <xdr:pic>
      <xdr:nvPicPr>
        <xdr:cNvPr id="3" name="Image 2" descr="Image du bouton Office">
          <a:extLst>
            <a:ext uri="{FF2B5EF4-FFF2-40B4-BE49-F238E27FC236}">
              <a16:creationId xmlns:a16="http://schemas.microsoft.com/office/drawing/2014/main" id="{6E60357D-1997-4522-B2A1-69A4C3FDA3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4514850"/>
          <a:ext cx="2476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200025</xdr:colOff>
      <xdr:row>32</xdr:row>
      <xdr:rowOff>0</xdr:rowOff>
    </xdr:to>
    <xdr:pic>
      <xdr:nvPicPr>
        <xdr:cNvPr id="4" name="Image 3" descr="Image du bouton">
          <a:extLst>
            <a:ext uri="{FF2B5EF4-FFF2-40B4-BE49-F238E27FC236}">
              <a16:creationId xmlns:a16="http://schemas.microsoft.com/office/drawing/2014/main" id="{5D0C8654-6ECE-466D-8F86-EAECEC250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71723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34</xdr:row>
      <xdr:rowOff>0</xdr:rowOff>
    </xdr:from>
    <xdr:to>
      <xdr:col>1</xdr:col>
      <xdr:colOff>152400</xdr:colOff>
      <xdr:row>34</xdr:row>
      <xdr:rowOff>152400</xdr:rowOff>
    </xdr:to>
    <xdr:pic>
      <xdr:nvPicPr>
        <xdr:cNvPr id="5" name="Image 4" descr="Icône de feuille de calcul">
          <a:extLst>
            <a:ext uri="{FF2B5EF4-FFF2-40B4-BE49-F238E27FC236}">
              <a16:creationId xmlns:a16="http://schemas.microsoft.com/office/drawing/2014/main" id="{D79605A5-DC9B-4427-8183-F6A6D28D8C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774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0</xdr:rowOff>
    </xdr:from>
    <xdr:to>
      <xdr:col>1</xdr:col>
      <xdr:colOff>200025</xdr:colOff>
      <xdr:row>38</xdr:row>
      <xdr:rowOff>0</xdr:rowOff>
    </xdr:to>
    <xdr:pic>
      <xdr:nvPicPr>
        <xdr:cNvPr id="6" name="Image 5" descr="Image du bouton">
          <a:extLst>
            <a:ext uri="{FF2B5EF4-FFF2-40B4-BE49-F238E27FC236}">
              <a16:creationId xmlns:a16="http://schemas.microsoft.com/office/drawing/2014/main" id="{DCF3B276-BA1C-439B-9DCE-BCEA731BF1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83153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200025</xdr:colOff>
      <xdr:row>41</xdr:row>
      <xdr:rowOff>0</xdr:rowOff>
    </xdr:to>
    <xdr:pic>
      <xdr:nvPicPr>
        <xdr:cNvPr id="7" name="Image 6" descr="Image du bouton">
          <a:extLst>
            <a:ext uri="{FF2B5EF4-FFF2-40B4-BE49-F238E27FC236}">
              <a16:creationId xmlns:a16="http://schemas.microsoft.com/office/drawing/2014/main" id="{CECB80F1-A7DF-4A9D-A418-51B0AEC6E3E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88868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200025</xdr:colOff>
      <xdr:row>50</xdr:row>
      <xdr:rowOff>0</xdr:rowOff>
    </xdr:to>
    <xdr:pic>
      <xdr:nvPicPr>
        <xdr:cNvPr id="8" name="Image 7" descr="Image du bouton">
          <a:extLst>
            <a:ext uri="{FF2B5EF4-FFF2-40B4-BE49-F238E27FC236}">
              <a16:creationId xmlns:a16="http://schemas.microsoft.com/office/drawing/2014/main" id="{74F807BD-50D2-4119-8D19-00E0EBBDE1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04870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152400</xdr:colOff>
      <xdr:row>52</xdr:row>
      <xdr:rowOff>152400</xdr:rowOff>
    </xdr:to>
    <xdr:pic>
      <xdr:nvPicPr>
        <xdr:cNvPr id="9" name="Image 8" descr="Icône de feuille de calcul">
          <a:extLst>
            <a:ext uri="{FF2B5EF4-FFF2-40B4-BE49-F238E27FC236}">
              <a16:creationId xmlns:a16="http://schemas.microsoft.com/office/drawing/2014/main" id="{0C24FA37-5C9C-4CE2-9C80-4526139759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105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0</xdr:rowOff>
    </xdr:from>
    <xdr:to>
      <xdr:col>1</xdr:col>
      <xdr:colOff>200025</xdr:colOff>
      <xdr:row>56</xdr:row>
      <xdr:rowOff>0</xdr:rowOff>
    </xdr:to>
    <xdr:pic>
      <xdr:nvPicPr>
        <xdr:cNvPr id="10" name="Image 9" descr="Image du bouton">
          <a:extLst>
            <a:ext uri="{FF2B5EF4-FFF2-40B4-BE49-F238E27FC236}">
              <a16:creationId xmlns:a16="http://schemas.microsoft.com/office/drawing/2014/main" id="{14FD7801-ACAD-4C48-90D9-003344596C8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16300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0</xdr:rowOff>
    </xdr:from>
    <xdr:to>
      <xdr:col>1</xdr:col>
      <xdr:colOff>200025</xdr:colOff>
      <xdr:row>59</xdr:row>
      <xdr:rowOff>0</xdr:rowOff>
    </xdr:to>
    <xdr:pic>
      <xdr:nvPicPr>
        <xdr:cNvPr id="11" name="Image 10" descr="Image du bouton">
          <a:extLst>
            <a:ext uri="{FF2B5EF4-FFF2-40B4-BE49-F238E27FC236}">
              <a16:creationId xmlns:a16="http://schemas.microsoft.com/office/drawing/2014/main" id="{392865AE-BDEE-468D-909D-D4226FDCF0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00" y="1220152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67</xdr:row>
      <xdr:rowOff>123825</xdr:rowOff>
    </xdr:from>
    <xdr:to>
      <xdr:col>1</xdr:col>
      <xdr:colOff>1285875</xdr:colOff>
      <xdr:row>69</xdr:row>
      <xdr:rowOff>495300</xdr:rowOff>
    </xdr:to>
    <xdr:pic>
      <xdr:nvPicPr>
        <xdr:cNvPr id="12" name="Image 11" descr="Bouton Sélectionner tout">
          <a:extLst>
            <a:ext uri="{FF2B5EF4-FFF2-40B4-BE49-F238E27FC236}">
              <a16:creationId xmlns:a16="http://schemas.microsoft.com/office/drawing/2014/main" id="{F725D878-3376-44D3-B9E9-2C7D27A9642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0" y="13896975"/>
          <a:ext cx="11906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xdr:row>
      <xdr:rowOff>0</xdr:rowOff>
    </xdr:from>
    <xdr:to>
      <xdr:col>1</xdr:col>
      <xdr:colOff>200025</xdr:colOff>
      <xdr:row>72</xdr:row>
      <xdr:rowOff>0</xdr:rowOff>
    </xdr:to>
    <xdr:pic>
      <xdr:nvPicPr>
        <xdr:cNvPr id="13" name="Image 12" descr="Image du bouton">
          <a:extLst>
            <a:ext uri="{FF2B5EF4-FFF2-40B4-BE49-F238E27FC236}">
              <a16:creationId xmlns:a16="http://schemas.microsoft.com/office/drawing/2014/main" id="{90E0C66B-C18E-4431-9BDF-4A69DEE804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4963775"/>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200025</xdr:colOff>
      <xdr:row>77</xdr:row>
      <xdr:rowOff>0</xdr:rowOff>
    </xdr:to>
    <xdr:pic>
      <xdr:nvPicPr>
        <xdr:cNvPr id="14" name="Image 13" descr="Image du bouton">
          <a:extLst>
            <a:ext uri="{FF2B5EF4-FFF2-40B4-BE49-F238E27FC236}">
              <a16:creationId xmlns:a16="http://schemas.microsoft.com/office/drawing/2014/main" id="{F7E40CC1-0E7A-4D23-9771-057FE650154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58877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200025</xdr:colOff>
      <xdr:row>78</xdr:row>
      <xdr:rowOff>0</xdr:rowOff>
    </xdr:to>
    <xdr:pic>
      <xdr:nvPicPr>
        <xdr:cNvPr id="15" name="Image 14" descr="Image du bouton">
          <a:extLst>
            <a:ext uri="{FF2B5EF4-FFF2-40B4-BE49-F238E27FC236}">
              <a16:creationId xmlns:a16="http://schemas.microsoft.com/office/drawing/2014/main" id="{1E0C7F8C-F33C-4A5B-BDB2-7A5E446695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60782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90</xdr:row>
      <xdr:rowOff>0</xdr:rowOff>
    </xdr:from>
    <xdr:to>
      <xdr:col>1</xdr:col>
      <xdr:colOff>200025</xdr:colOff>
      <xdr:row>91</xdr:row>
      <xdr:rowOff>28575</xdr:rowOff>
    </xdr:to>
    <xdr:pic>
      <xdr:nvPicPr>
        <xdr:cNvPr id="16" name="Image 15" descr="Image du bouton">
          <a:extLst>
            <a:ext uri="{FF2B5EF4-FFF2-40B4-BE49-F238E27FC236}">
              <a16:creationId xmlns:a16="http://schemas.microsoft.com/office/drawing/2014/main" id="{7FA835AC-765B-4EED-911F-E3E2C45C5A0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18326100"/>
          <a:ext cx="2000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6753225</xdr:colOff>
      <xdr:row>117</xdr:row>
      <xdr:rowOff>28575</xdr:rowOff>
    </xdr:to>
    <xdr:pic>
      <xdr:nvPicPr>
        <xdr:cNvPr id="17" name="Image 16" descr="Div0">
          <a:extLst>
            <a:ext uri="{FF2B5EF4-FFF2-40B4-BE49-F238E27FC236}">
              <a16:creationId xmlns:a16="http://schemas.microsoft.com/office/drawing/2014/main" id="{67B4EA09-8A81-4484-B67C-5BDC1715619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0688300"/>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125</xdr:row>
      <xdr:rowOff>0</xdr:rowOff>
    </xdr:from>
    <xdr:to>
      <xdr:col>1</xdr:col>
      <xdr:colOff>6753225</xdr:colOff>
      <xdr:row>146</xdr:row>
      <xdr:rowOff>28575</xdr:rowOff>
    </xdr:to>
    <xdr:pic>
      <xdr:nvPicPr>
        <xdr:cNvPr id="18" name="Image 17" descr="Elements">
          <a:extLst>
            <a:ext uri="{FF2B5EF4-FFF2-40B4-BE49-F238E27FC236}">
              <a16:creationId xmlns:a16="http://schemas.microsoft.com/office/drawing/2014/main" id="{21F6EA79-67D7-41A4-A54C-37F6B2F0F2D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6698575"/>
          <a:ext cx="67532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152</xdr:row>
      <xdr:rowOff>0</xdr:rowOff>
    </xdr:from>
    <xdr:to>
      <xdr:col>1</xdr:col>
      <xdr:colOff>3305175</xdr:colOff>
      <xdr:row>173</xdr:row>
      <xdr:rowOff>28575</xdr:rowOff>
    </xdr:to>
    <xdr:pic>
      <xdr:nvPicPr>
        <xdr:cNvPr id="19" name="Image 18" descr="Antecedents">
          <a:extLst>
            <a:ext uri="{FF2B5EF4-FFF2-40B4-BE49-F238E27FC236}">
              <a16:creationId xmlns:a16="http://schemas.microsoft.com/office/drawing/2014/main" id="{D37C0524-468D-432C-B236-10FF3189A32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32070675"/>
          <a:ext cx="330517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180</xdr:row>
      <xdr:rowOff>0</xdr:rowOff>
    </xdr:from>
    <xdr:to>
      <xdr:col>1</xdr:col>
      <xdr:colOff>5724525</xdr:colOff>
      <xdr:row>201</xdr:row>
      <xdr:rowOff>28575</xdr:rowOff>
    </xdr:to>
    <xdr:pic>
      <xdr:nvPicPr>
        <xdr:cNvPr id="20" name="Image 19" descr="Pasapa">
          <a:extLst>
            <a:ext uri="{FF2B5EF4-FFF2-40B4-BE49-F238E27FC236}">
              <a16:creationId xmlns:a16="http://schemas.microsoft.com/office/drawing/2014/main" id="{829FBFD1-B9B8-4F2A-B3DA-AAF7616188C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7680900"/>
          <a:ext cx="5724525" cy="34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220</xdr:row>
      <xdr:rowOff>0</xdr:rowOff>
    </xdr:from>
    <xdr:to>
      <xdr:col>1</xdr:col>
      <xdr:colOff>5400675</xdr:colOff>
      <xdr:row>236</xdr:row>
      <xdr:rowOff>66675</xdr:rowOff>
    </xdr:to>
    <xdr:pic>
      <xdr:nvPicPr>
        <xdr:cNvPr id="21" name="Image 20" descr="Audit classique d'une formule Excel">
          <a:extLst>
            <a:ext uri="{FF2B5EF4-FFF2-40B4-BE49-F238E27FC236}">
              <a16:creationId xmlns:a16="http://schemas.microsoft.com/office/drawing/2014/main" id="{00C85B70-EAB1-4776-88C6-F68D9AD6BE4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47186850"/>
          <a:ext cx="5400675" cy="265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243</xdr:row>
      <xdr:rowOff>0</xdr:rowOff>
    </xdr:from>
    <xdr:to>
      <xdr:col>1</xdr:col>
      <xdr:colOff>5391150</xdr:colOff>
      <xdr:row>261</xdr:row>
      <xdr:rowOff>57150</xdr:rowOff>
    </xdr:to>
    <xdr:pic>
      <xdr:nvPicPr>
        <xdr:cNvPr id="22" name="Image 21" descr="Repérer les antécédents d'une formule excel ou ses dépendants">
          <a:extLst>
            <a:ext uri="{FF2B5EF4-FFF2-40B4-BE49-F238E27FC236}">
              <a16:creationId xmlns:a16="http://schemas.microsoft.com/office/drawing/2014/main" id="{C42E2E28-0DC9-4A71-901C-DB74031DEED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51406425"/>
          <a:ext cx="53911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268</xdr:row>
      <xdr:rowOff>0</xdr:rowOff>
    </xdr:from>
    <xdr:to>
      <xdr:col>1</xdr:col>
      <xdr:colOff>5124450</xdr:colOff>
      <xdr:row>288</xdr:row>
      <xdr:rowOff>142875</xdr:rowOff>
    </xdr:to>
    <xdr:pic>
      <xdr:nvPicPr>
        <xdr:cNvPr id="23" name="Image 22" descr="Evaluer une formule Excel">
          <a:extLst>
            <a:ext uri="{FF2B5EF4-FFF2-40B4-BE49-F238E27FC236}">
              <a16:creationId xmlns:a16="http://schemas.microsoft.com/office/drawing/2014/main" id="{9F2A4DB7-45ED-4EAA-9124-0517F214B9A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55806975"/>
          <a:ext cx="512445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295</xdr:row>
      <xdr:rowOff>0</xdr:rowOff>
    </xdr:from>
    <xdr:to>
      <xdr:col>1</xdr:col>
      <xdr:colOff>5486400</xdr:colOff>
      <xdr:row>319</xdr:row>
      <xdr:rowOff>142875</xdr:rowOff>
    </xdr:to>
    <xdr:pic>
      <xdr:nvPicPr>
        <xdr:cNvPr id="24" name="Image 23" descr="fenêtre espion d'excel">
          <a:extLst>
            <a:ext uri="{FF2B5EF4-FFF2-40B4-BE49-F238E27FC236}">
              <a16:creationId xmlns:a16="http://schemas.microsoft.com/office/drawing/2014/main" id="{B0994E00-7D9C-4846-80B4-CFF0296445E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60531375"/>
          <a:ext cx="548640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787400</xdr:colOff>
      <xdr:row>3</xdr:row>
      <xdr:rowOff>482601</xdr:rowOff>
    </xdr:from>
    <xdr:ext cx="1825625" cy="1193881"/>
    <xdr:pic>
      <xdr:nvPicPr>
        <xdr:cNvPr id="2" name="Image 1">
          <a:extLst>
            <a:ext uri="{FF2B5EF4-FFF2-40B4-BE49-F238E27FC236}">
              <a16:creationId xmlns:a16="http://schemas.microsoft.com/office/drawing/2014/main" id="{D039B2BB-5EDA-4832-A160-1836AF7B6A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1725" y="1339851"/>
          <a:ext cx="1825625" cy="1193881"/>
        </a:xfrm>
        <a:prstGeom prst="rect">
          <a:avLst/>
        </a:prstGeom>
      </xdr:spPr>
    </xdr:pic>
    <xdr:clientData/>
  </xdr:oneCellAnchor>
  <xdr:oneCellAnchor>
    <xdr:from>
      <xdr:col>10</xdr:col>
      <xdr:colOff>393700</xdr:colOff>
      <xdr:row>3</xdr:row>
      <xdr:rowOff>425450</xdr:rowOff>
    </xdr:from>
    <xdr:ext cx="2219325" cy="1054347"/>
    <xdr:pic>
      <xdr:nvPicPr>
        <xdr:cNvPr id="3" name="Image 2" descr="http://s1.lemde.fr/medias/web/1.2.686/img/friends/logos/logo_chef_simon_97x22.png">
          <a:extLst>
            <a:ext uri="{FF2B5EF4-FFF2-40B4-BE49-F238E27FC236}">
              <a16:creationId xmlns:a16="http://schemas.microsoft.com/office/drawing/2014/main" id="{3DA55E72-6634-4846-AE51-B86E9EB2E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8875" y="128270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701677</xdr:colOff>
      <xdr:row>3</xdr:row>
      <xdr:rowOff>257178</xdr:rowOff>
    </xdr:from>
    <xdr:ext cx="1987548" cy="1136656"/>
    <xdr:pic>
      <xdr:nvPicPr>
        <xdr:cNvPr id="4" name="Image 3">
          <a:extLst>
            <a:ext uri="{FF2B5EF4-FFF2-40B4-BE49-F238E27FC236}">
              <a16:creationId xmlns:a16="http://schemas.microsoft.com/office/drawing/2014/main" id="{C5E6FE22-AD4F-4735-911B-6C960DEBA0B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817852" y="1114428"/>
          <a:ext cx="1987548" cy="113665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8450861C-AA79-4DAB-A8CE-DC5B25907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80503488-9682-4C09-92A1-4469B00B6B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6C0A6D53-5CA0-46EE-99AB-CFAAA1AD49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228599</xdr:colOff>
      <xdr:row>54</xdr:row>
      <xdr:rowOff>9525</xdr:rowOff>
    </xdr:from>
    <xdr:to>
      <xdr:col>4</xdr:col>
      <xdr:colOff>636737</xdr:colOff>
      <xdr:row>56</xdr:row>
      <xdr:rowOff>17613</xdr:rowOff>
    </xdr:to>
    <xdr:pic>
      <xdr:nvPicPr>
        <xdr:cNvPr id="2" name="Image 1" descr="Google (Android 12L)">
          <a:extLst>
            <a:ext uri="{FF2B5EF4-FFF2-40B4-BE49-F238E27FC236}">
              <a16:creationId xmlns:a16="http://schemas.microsoft.com/office/drawing/2014/main" id="{111C5837-54EB-4563-81C5-4488ECE86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2362199" y="36937950"/>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142875</xdr:colOff>
      <xdr:row>54</xdr:row>
      <xdr:rowOff>0</xdr:rowOff>
    </xdr:from>
    <xdr:to>
      <xdr:col>5</xdr:col>
      <xdr:colOff>447675</xdr:colOff>
      <xdr:row>55</xdr:row>
      <xdr:rowOff>104775</xdr:rowOff>
    </xdr:to>
    <xdr:pic>
      <xdr:nvPicPr>
        <xdr:cNvPr id="3" name="Image 2" descr="🔗 Lien">
          <a:extLst>
            <a:ext uri="{FF2B5EF4-FFF2-40B4-BE49-F238E27FC236}">
              <a16:creationId xmlns:a16="http://schemas.microsoft.com/office/drawing/2014/main" id="{21FB1A3A-EB05-4660-AA9F-67CE7E525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0" y="369284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54</xdr:row>
      <xdr:rowOff>1</xdr:rowOff>
    </xdr:from>
    <xdr:to>
      <xdr:col>6</xdr:col>
      <xdr:colOff>333375</xdr:colOff>
      <xdr:row>55</xdr:row>
      <xdr:rowOff>171092</xdr:rowOff>
    </xdr:to>
    <xdr:pic>
      <xdr:nvPicPr>
        <xdr:cNvPr id="4" name="Image 3">
          <a:extLst>
            <a:ext uri="{FF2B5EF4-FFF2-40B4-BE49-F238E27FC236}">
              <a16:creationId xmlns:a16="http://schemas.microsoft.com/office/drawing/2014/main" id="{37FBBD6B-9D0C-424D-A2A9-778DF209E9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375" y="36928426"/>
          <a:ext cx="333375" cy="371116"/>
        </a:xfrm>
        <a:prstGeom prst="rect">
          <a:avLst/>
        </a:prstGeom>
      </xdr:spPr>
    </xdr:pic>
    <xdr:clientData/>
  </xdr:twoCellAnchor>
  <xdr:oneCellAnchor>
    <xdr:from>
      <xdr:col>9</xdr:col>
      <xdr:colOff>0</xdr:colOff>
      <xdr:row>8</xdr:row>
      <xdr:rowOff>0</xdr:rowOff>
    </xdr:from>
    <xdr:ext cx="1438476" cy="781159"/>
    <xdr:pic>
      <xdr:nvPicPr>
        <xdr:cNvPr id="5" name="Image 4">
          <a:extLst>
            <a:ext uri="{FF2B5EF4-FFF2-40B4-BE49-F238E27FC236}">
              <a16:creationId xmlns:a16="http://schemas.microsoft.com/office/drawing/2014/main" id="{4906CCFD-C32C-4EC2-B2F8-6B5CEC4D5B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543800" y="1295400"/>
          <a:ext cx="1438476" cy="781159"/>
        </a:xfrm>
        <a:prstGeom prst="rect">
          <a:avLst/>
        </a:prstGeom>
      </xdr:spPr>
    </xdr:pic>
    <xdr:clientData/>
  </xdr:oneCellAnchor>
  <xdr:oneCellAnchor>
    <xdr:from>
      <xdr:col>9</xdr:col>
      <xdr:colOff>0</xdr:colOff>
      <xdr:row>13</xdr:row>
      <xdr:rowOff>0</xdr:rowOff>
    </xdr:from>
    <xdr:ext cx="3639058" cy="2133898"/>
    <xdr:pic>
      <xdr:nvPicPr>
        <xdr:cNvPr id="6" name="Image 5">
          <a:extLst>
            <a:ext uri="{FF2B5EF4-FFF2-40B4-BE49-F238E27FC236}">
              <a16:creationId xmlns:a16="http://schemas.microsoft.com/office/drawing/2014/main" id="{09074AE0-A271-42C9-BFD9-B0F1DE3FC6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543800" y="2343150"/>
          <a:ext cx="3639058" cy="213389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32</xdr:row>
      <xdr:rowOff>0</xdr:rowOff>
    </xdr:from>
    <xdr:ext cx="65" cy="172227"/>
    <xdr:sp macro="" textlink="">
      <xdr:nvSpPr>
        <xdr:cNvPr id="2" name="ZoneTexte 1">
          <a:extLst>
            <a:ext uri="{FF2B5EF4-FFF2-40B4-BE49-F238E27FC236}">
              <a16:creationId xmlns:a16="http://schemas.microsoft.com/office/drawing/2014/main" id="{55616302-20B2-443D-BC38-8BB1E3C0E189}"/>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3" name="ZoneTexte 2">
          <a:extLst>
            <a:ext uri="{FF2B5EF4-FFF2-40B4-BE49-F238E27FC236}">
              <a16:creationId xmlns:a16="http://schemas.microsoft.com/office/drawing/2014/main" id="{058A8B27-F4D3-428F-BC3E-A960B9827E1A}"/>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4" name="ZoneTexte 3">
          <a:extLst>
            <a:ext uri="{FF2B5EF4-FFF2-40B4-BE49-F238E27FC236}">
              <a16:creationId xmlns:a16="http://schemas.microsoft.com/office/drawing/2014/main" id="{EDBE647D-3BB0-4A6F-BB0F-DDFA5606ACB0}"/>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5" name="ZoneTexte 4">
          <a:extLst>
            <a:ext uri="{FF2B5EF4-FFF2-40B4-BE49-F238E27FC236}">
              <a16:creationId xmlns:a16="http://schemas.microsoft.com/office/drawing/2014/main" id="{C1049B5D-9CAC-4CEF-AE07-4D0AA463558C}"/>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6" name="ZoneTexte 5">
          <a:extLst>
            <a:ext uri="{FF2B5EF4-FFF2-40B4-BE49-F238E27FC236}">
              <a16:creationId xmlns:a16="http://schemas.microsoft.com/office/drawing/2014/main" id="{AA39901C-E892-4B70-8F62-DF15961364C9}"/>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7" name="ZoneTexte 6">
          <a:extLst>
            <a:ext uri="{FF2B5EF4-FFF2-40B4-BE49-F238E27FC236}">
              <a16:creationId xmlns:a16="http://schemas.microsoft.com/office/drawing/2014/main" id="{D4EB7FA6-59D4-46CE-AD34-41539637DBB1}"/>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8" name="ZoneTexte 7">
          <a:extLst>
            <a:ext uri="{FF2B5EF4-FFF2-40B4-BE49-F238E27FC236}">
              <a16:creationId xmlns:a16="http://schemas.microsoft.com/office/drawing/2014/main" id="{19E672CC-1D24-4B86-A2F1-1C55F3C3F17C}"/>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9" name="ZoneTexte 8">
          <a:extLst>
            <a:ext uri="{FF2B5EF4-FFF2-40B4-BE49-F238E27FC236}">
              <a16:creationId xmlns:a16="http://schemas.microsoft.com/office/drawing/2014/main" id="{5EF820BE-96A3-4D55-9844-3C1D56636110}"/>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16</xdr:row>
      <xdr:rowOff>128587</xdr:rowOff>
    </xdr:from>
    <xdr:ext cx="65" cy="172227"/>
    <xdr:sp macro="" textlink="">
      <xdr:nvSpPr>
        <xdr:cNvPr id="10" name="ZoneTexte 9">
          <a:extLst>
            <a:ext uri="{FF2B5EF4-FFF2-40B4-BE49-F238E27FC236}">
              <a16:creationId xmlns:a16="http://schemas.microsoft.com/office/drawing/2014/main" id="{231B0161-1DCF-454C-9892-3D058F44088C}"/>
            </a:ext>
          </a:extLst>
        </xdr:cNvPr>
        <xdr:cNvSpPr txBox="1"/>
      </xdr:nvSpPr>
      <xdr:spPr>
        <a:xfrm>
          <a:off x="0" y="4071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1" name="ZoneTexte 10">
          <a:extLst>
            <a:ext uri="{FF2B5EF4-FFF2-40B4-BE49-F238E27FC236}">
              <a16:creationId xmlns:a16="http://schemas.microsoft.com/office/drawing/2014/main" id="{5FF869C2-49B6-4541-AC6B-6462C856B735}"/>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2" name="ZoneTexte 11">
          <a:extLst>
            <a:ext uri="{FF2B5EF4-FFF2-40B4-BE49-F238E27FC236}">
              <a16:creationId xmlns:a16="http://schemas.microsoft.com/office/drawing/2014/main" id="{8CADCB5F-D58D-4D64-B9FA-26A81335E9F7}"/>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3" name="ZoneTexte 12">
          <a:extLst>
            <a:ext uri="{FF2B5EF4-FFF2-40B4-BE49-F238E27FC236}">
              <a16:creationId xmlns:a16="http://schemas.microsoft.com/office/drawing/2014/main" id="{6B920BC7-FD2C-4ACD-9648-7F76883F705A}"/>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4" name="ZoneTexte 13">
          <a:extLst>
            <a:ext uri="{FF2B5EF4-FFF2-40B4-BE49-F238E27FC236}">
              <a16:creationId xmlns:a16="http://schemas.microsoft.com/office/drawing/2014/main" id="{CB11513D-3C76-4849-8260-5DE5C9C849A5}"/>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5" name="ZoneTexte 14">
          <a:extLst>
            <a:ext uri="{FF2B5EF4-FFF2-40B4-BE49-F238E27FC236}">
              <a16:creationId xmlns:a16="http://schemas.microsoft.com/office/drawing/2014/main" id="{4B94800E-B193-4C1D-BF56-BDB673B797E4}"/>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6" name="ZoneTexte 15">
          <a:extLst>
            <a:ext uri="{FF2B5EF4-FFF2-40B4-BE49-F238E27FC236}">
              <a16:creationId xmlns:a16="http://schemas.microsoft.com/office/drawing/2014/main" id="{805F4A27-1590-4C28-8F74-502B7D551B24}"/>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7" name="ZoneTexte 16">
          <a:extLst>
            <a:ext uri="{FF2B5EF4-FFF2-40B4-BE49-F238E27FC236}">
              <a16:creationId xmlns:a16="http://schemas.microsoft.com/office/drawing/2014/main" id="{02AC59CD-6428-4BAD-8DB0-A60949EE2FA2}"/>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18" name="ZoneTexte 17">
          <a:extLst>
            <a:ext uri="{FF2B5EF4-FFF2-40B4-BE49-F238E27FC236}">
              <a16:creationId xmlns:a16="http://schemas.microsoft.com/office/drawing/2014/main" id="{E39B75C7-B7DC-4F4C-971A-BBF6B69E121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17</xdr:row>
      <xdr:rowOff>128587</xdr:rowOff>
    </xdr:from>
    <xdr:ext cx="65" cy="172227"/>
    <xdr:sp macro="" textlink="">
      <xdr:nvSpPr>
        <xdr:cNvPr id="19" name="ZoneTexte 18">
          <a:extLst>
            <a:ext uri="{FF2B5EF4-FFF2-40B4-BE49-F238E27FC236}">
              <a16:creationId xmlns:a16="http://schemas.microsoft.com/office/drawing/2014/main" id="{F45B3CA0-004B-45B6-ACDD-53BDED1C5DEC}"/>
            </a:ext>
          </a:extLst>
        </xdr:cNvPr>
        <xdr:cNvSpPr txBox="1"/>
      </xdr:nvSpPr>
      <xdr:spPr>
        <a:xfrm>
          <a:off x="0" y="43195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0" name="ZoneTexte 19">
          <a:extLst>
            <a:ext uri="{FF2B5EF4-FFF2-40B4-BE49-F238E27FC236}">
              <a16:creationId xmlns:a16="http://schemas.microsoft.com/office/drawing/2014/main" id="{DD78964E-CFF2-4492-BBE4-96942D9C6EFB}"/>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1" name="ZoneTexte 20">
          <a:extLst>
            <a:ext uri="{FF2B5EF4-FFF2-40B4-BE49-F238E27FC236}">
              <a16:creationId xmlns:a16="http://schemas.microsoft.com/office/drawing/2014/main" id="{FFBB18C5-30B1-47E0-BD79-554E9FFE3146}"/>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2" name="ZoneTexte 21">
          <a:extLst>
            <a:ext uri="{FF2B5EF4-FFF2-40B4-BE49-F238E27FC236}">
              <a16:creationId xmlns:a16="http://schemas.microsoft.com/office/drawing/2014/main" id="{AA86F8D7-8094-4E99-BD1F-1D508F56BA4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3" name="ZoneTexte 22">
          <a:extLst>
            <a:ext uri="{FF2B5EF4-FFF2-40B4-BE49-F238E27FC236}">
              <a16:creationId xmlns:a16="http://schemas.microsoft.com/office/drawing/2014/main" id="{63DB0AE2-39D8-4821-9E62-7A11CB1336F5}"/>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4" name="ZoneTexte 23">
          <a:extLst>
            <a:ext uri="{FF2B5EF4-FFF2-40B4-BE49-F238E27FC236}">
              <a16:creationId xmlns:a16="http://schemas.microsoft.com/office/drawing/2014/main" id="{F639D3E2-1FD7-43EB-B825-D025174D1C43}"/>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5" name="ZoneTexte 24">
          <a:extLst>
            <a:ext uri="{FF2B5EF4-FFF2-40B4-BE49-F238E27FC236}">
              <a16:creationId xmlns:a16="http://schemas.microsoft.com/office/drawing/2014/main" id="{E03DE0EA-2F7D-4835-8D79-056CCE6FECBC}"/>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6" name="ZoneTexte 25">
          <a:extLst>
            <a:ext uri="{FF2B5EF4-FFF2-40B4-BE49-F238E27FC236}">
              <a16:creationId xmlns:a16="http://schemas.microsoft.com/office/drawing/2014/main" id="{4681AFBE-DD58-49DC-ABA5-E59385A5E7BE}"/>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7" name="ZoneTexte 26">
          <a:extLst>
            <a:ext uri="{FF2B5EF4-FFF2-40B4-BE49-F238E27FC236}">
              <a16:creationId xmlns:a16="http://schemas.microsoft.com/office/drawing/2014/main" id="{4445A4CA-028A-41A7-97D6-2D1826ADFE36}"/>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18</xdr:row>
      <xdr:rowOff>128587</xdr:rowOff>
    </xdr:from>
    <xdr:ext cx="65" cy="172227"/>
    <xdr:sp macro="" textlink="">
      <xdr:nvSpPr>
        <xdr:cNvPr id="28" name="ZoneTexte 27">
          <a:extLst>
            <a:ext uri="{FF2B5EF4-FFF2-40B4-BE49-F238E27FC236}">
              <a16:creationId xmlns:a16="http://schemas.microsoft.com/office/drawing/2014/main" id="{EFC597C6-7DD5-466E-A455-2DA00575E482}"/>
            </a:ext>
          </a:extLst>
        </xdr:cNvPr>
        <xdr:cNvSpPr txBox="1"/>
      </xdr:nvSpPr>
      <xdr:spPr>
        <a:xfrm>
          <a:off x="0" y="4567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29" name="ZoneTexte 28">
          <a:extLst>
            <a:ext uri="{FF2B5EF4-FFF2-40B4-BE49-F238E27FC236}">
              <a16:creationId xmlns:a16="http://schemas.microsoft.com/office/drawing/2014/main" id="{271AAD96-044F-4C88-8043-568A4C350482}"/>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0" name="ZoneTexte 29">
          <a:extLst>
            <a:ext uri="{FF2B5EF4-FFF2-40B4-BE49-F238E27FC236}">
              <a16:creationId xmlns:a16="http://schemas.microsoft.com/office/drawing/2014/main" id="{E6D98792-43B2-4F94-8A9B-1652F27B71D7}"/>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1" name="ZoneTexte 30">
          <a:extLst>
            <a:ext uri="{FF2B5EF4-FFF2-40B4-BE49-F238E27FC236}">
              <a16:creationId xmlns:a16="http://schemas.microsoft.com/office/drawing/2014/main" id="{B01B3E16-96E3-4BC8-9666-7F2977E4CA22}"/>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2" name="ZoneTexte 31">
          <a:extLst>
            <a:ext uri="{FF2B5EF4-FFF2-40B4-BE49-F238E27FC236}">
              <a16:creationId xmlns:a16="http://schemas.microsoft.com/office/drawing/2014/main" id="{622D1C59-8627-4EDD-8844-DB67DC266563}"/>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3" name="ZoneTexte 32">
          <a:extLst>
            <a:ext uri="{FF2B5EF4-FFF2-40B4-BE49-F238E27FC236}">
              <a16:creationId xmlns:a16="http://schemas.microsoft.com/office/drawing/2014/main" id="{5083AF3D-ED45-4948-9624-92C128630EFE}"/>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4" name="ZoneTexte 33">
          <a:extLst>
            <a:ext uri="{FF2B5EF4-FFF2-40B4-BE49-F238E27FC236}">
              <a16:creationId xmlns:a16="http://schemas.microsoft.com/office/drawing/2014/main" id="{76784231-73B0-4363-B53B-D215008A64A3}"/>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5" name="ZoneTexte 34">
          <a:extLst>
            <a:ext uri="{FF2B5EF4-FFF2-40B4-BE49-F238E27FC236}">
              <a16:creationId xmlns:a16="http://schemas.microsoft.com/office/drawing/2014/main" id="{C936149D-B2C9-414A-A75B-D466E8D20BA7}"/>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6" name="ZoneTexte 35">
          <a:extLst>
            <a:ext uri="{FF2B5EF4-FFF2-40B4-BE49-F238E27FC236}">
              <a16:creationId xmlns:a16="http://schemas.microsoft.com/office/drawing/2014/main" id="{8E9F6B2F-47A3-49E0-99C4-572C7E232375}"/>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19</xdr:row>
      <xdr:rowOff>128587</xdr:rowOff>
    </xdr:from>
    <xdr:ext cx="65" cy="172227"/>
    <xdr:sp macro="" textlink="">
      <xdr:nvSpPr>
        <xdr:cNvPr id="37" name="ZoneTexte 36">
          <a:extLst>
            <a:ext uri="{FF2B5EF4-FFF2-40B4-BE49-F238E27FC236}">
              <a16:creationId xmlns:a16="http://schemas.microsoft.com/office/drawing/2014/main" id="{D24BC59B-6579-48F6-810D-761B78592E33}"/>
            </a:ext>
          </a:extLst>
        </xdr:cNvPr>
        <xdr:cNvSpPr txBox="1"/>
      </xdr:nvSpPr>
      <xdr:spPr>
        <a:xfrm>
          <a:off x="0" y="4814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8" name="ZoneTexte 37">
          <a:extLst>
            <a:ext uri="{FF2B5EF4-FFF2-40B4-BE49-F238E27FC236}">
              <a16:creationId xmlns:a16="http://schemas.microsoft.com/office/drawing/2014/main" id="{142A4F21-8AD0-48B0-A721-8E6A6BF7F983}"/>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39" name="ZoneTexte 38">
          <a:extLst>
            <a:ext uri="{FF2B5EF4-FFF2-40B4-BE49-F238E27FC236}">
              <a16:creationId xmlns:a16="http://schemas.microsoft.com/office/drawing/2014/main" id="{53ACFE1F-DA60-404A-9538-30254C341CC7}"/>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0" name="ZoneTexte 39">
          <a:extLst>
            <a:ext uri="{FF2B5EF4-FFF2-40B4-BE49-F238E27FC236}">
              <a16:creationId xmlns:a16="http://schemas.microsoft.com/office/drawing/2014/main" id="{AD3AFC2D-D2CD-435B-8DDA-25C92BC0BF61}"/>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1" name="ZoneTexte 40">
          <a:extLst>
            <a:ext uri="{FF2B5EF4-FFF2-40B4-BE49-F238E27FC236}">
              <a16:creationId xmlns:a16="http://schemas.microsoft.com/office/drawing/2014/main" id="{7870ED81-BE98-4118-885E-885AC90A3530}"/>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2" name="ZoneTexte 41">
          <a:extLst>
            <a:ext uri="{FF2B5EF4-FFF2-40B4-BE49-F238E27FC236}">
              <a16:creationId xmlns:a16="http://schemas.microsoft.com/office/drawing/2014/main" id="{AD4232A0-2FB6-4865-9F56-72CD3F8388A4}"/>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3" name="ZoneTexte 42">
          <a:extLst>
            <a:ext uri="{FF2B5EF4-FFF2-40B4-BE49-F238E27FC236}">
              <a16:creationId xmlns:a16="http://schemas.microsoft.com/office/drawing/2014/main" id="{D6F42105-E882-468B-AE28-0E3315D04D10}"/>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4" name="ZoneTexte 43">
          <a:extLst>
            <a:ext uri="{FF2B5EF4-FFF2-40B4-BE49-F238E27FC236}">
              <a16:creationId xmlns:a16="http://schemas.microsoft.com/office/drawing/2014/main" id="{8344CBE8-7767-4531-8A7F-A3FF3241B92C}"/>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5" name="ZoneTexte 44">
          <a:extLst>
            <a:ext uri="{FF2B5EF4-FFF2-40B4-BE49-F238E27FC236}">
              <a16:creationId xmlns:a16="http://schemas.microsoft.com/office/drawing/2014/main" id="{2B6D76E7-D88D-40B7-9E2B-3CDCFEC8DC3B}"/>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20</xdr:row>
      <xdr:rowOff>128587</xdr:rowOff>
    </xdr:from>
    <xdr:ext cx="65" cy="172227"/>
    <xdr:sp macro="" textlink="">
      <xdr:nvSpPr>
        <xdr:cNvPr id="46" name="ZoneTexte 45">
          <a:extLst>
            <a:ext uri="{FF2B5EF4-FFF2-40B4-BE49-F238E27FC236}">
              <a16:creationId xmlns:a16="http://schemas.microsoft.com/office/drawing/2014/main" id="{050E875D-7C50-43C8-9526-82F8D959CBB3}"/>
            </a:ext>
          </a:extLst>
        </xdr:cNvPr>
        <xdr:cNvSpPr txBox="1"/>
      </xdr:nvSpPr>
      <xdr:spPr>
        <a:xfrm>
          <a:off x="0" y="50625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7" name="ZoneTexte 46">
          <a:extLst>
            <a:ext uri="{FF2B5EF4-FFF2-40B4-BE49-F238E27FC236}">
              <a16:creationId xmlns:a16="http://schemas.microsoft.com/office/drawing/2014/main" id="{3AB7C5E2-0012-4236-AA2B-6AB472C1770B}"/>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8" name="ZoneTexte 47">
          <a:extLst>
            <a:ext uri="{FF2B5EF4-FFF2-40B4-BE49-F238E27FC236}">
              <a16:creationId xmlns:a16="http://schemas.microsoft.com/office/drawing/2014/main" id="{1B7B8C67-8872-4A2A-ABBC-01279D143E97}"/>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49" name="ZoneTexte 48">
          <a:extLst>
            <a:ext uri="{FF2B5EF4-FFF2-40B4-BE49-F238E27FC236}">
              <a16:creationId xmlns:a16="http://schemas.microsoft.com/office/drawing/2014/main" id="{6CDA07DA-29A9-4ABC-A840-C7C3E67F8859}"/>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0" name="ZoneTexte 49">
          <a:extLst>
            <a:ext uri="{FF2B5EF4-FFF2-40B4-BE49-F238E27FC236}">
              <a16:creationId xmlns:a16="http://schemas.microsoft.com/office/drawing/2014/main" id="{70B12C64-C8A3-428A-A8C0-D8645B3CE467}"/>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1" name="ZoneTexte 50">
          <a:extLst>
            <a:ext uri="{FF2B5EF4-FFF2-40B4-BE49-F238E27FC236}">
              <a16:creationId xmlns:a16="http://schemas.microsoft.com/office/drawing/2014/main" id="{4520AA8D-AB13-452F-867E-7090734D475D}"/>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2" name="ZoneTexte 51">
          <a:extLst>
            <a:ext uri="{FF2B5EF4-FFF2-40B4-BE49-F238E27FC236}">
              <a16:creationId xmlns:a16="http://schemas.microsoft.com/office/drawing/2014/main" id="{E348DAD3-66C0-48EF-82A9-3F81BF84C9CB}"/>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3" name="ZoneTexte 52">
          <a:extLst>
            <a:ext uri="{FF2B5EF4-FFF2-40B4-BE49-F238E27FC236}">
              <a16:creationId xmlns:a16="http://schemas.microsoft.com/office/drawing/2014/main" id="{7B7A3FD9-587F-489C-AA00-A351262C2689}"/>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4" name="ZoneTexte 53">
          <a:extLst>
            <a:ext uri="{FF2B5EF4-FFF2-40B4-BE49-F238E27FC236}">
              <a16:creationId xmlns:a16="http://schemas.microsoft.com/office/drawing/2014/main" id="{A529B106-C90E-48DC-AC78-AAF91D96B1EF}"/>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21</xdr:row>
      <xdr:rowOff>128587</xdr:rowOff>
    </xdr:from>
    <xdr:ext cx="65" cy="172227"/>
    <xdr:sp macro="" textlink="">
      <xdr:nvSpPr>
        <xdr:cNvPr id="55" name="ZoneTexte 54">
          <a:extLst>
            <a:ext uri="{FF2B5EF4-FFF2-40B4-BE49-F238E27FC236}">
              <a16:creationId xmlns:a16="http://schemas.microsoft.com/office/drawing/2014/main" id="{B2BB17AE-9058-4832-A1B4-848DD1E8CC86}"/>
            </a:ext>
          </a:extLst>
        </xdr:cNvPr>
        <xdr:cNvSpPr txBox="1"/>
      </xdr:nvSpPr>
      <xdr:spPr>
        <a:xfrm>
          <a:off x="0" y="5310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6" name="ZoneTexte 55">
          <a:extLst>
            <a:ext uri="{FF2B5EF4-FFF2-40B4-BE49-F238E27FC236}">
              <a16:creationId xmlns:a16="http://schemas.microsoft.com/office/drawing/2014/main" id="{CF02D0D4-463F-457C-8A0A-83571C6486A0}"/>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7" name="ZoneTexte 56">
          <a:extLst>
            <a:ext uri="{FF2B5EF4-FFF2-40B4-BE49-F238E27FC236}">
              <a16:creationId xmlns:a16="http://schemas.microsoft.com/office/drawing/2014/main" id="{BD433D6F-B316-4BB5-BA4D-030A64DB2508}"/>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8" name="ZoneTexte 57">
          <a:extLst>
            <a:ext uri="{FF2B5EF4-FFF2-40B4-BE49-F238E27FC236}">
              <a16:creationId xmlns:a16="http://schemas.microsoft.com/office/drawing/2014/main" id="{E1D09477-991E-41B6-983E-43B6141FE51D}"/>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59" name="ZoneTexte 58">
          <a:extLst>
            <a:ext uri="{FF2B5EF4-FFF2-40B4-BE49-F238E27FC236}">
              <a16:creationId xmlns:a16="http://schemas.microsoft.com/office/drawing/2014/main" id="{713D85C2-4882-4B92-9CC4-C2548CD12BE9}"/>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0" name="ZoneTexte 59">
          <a:extLst>
            <a:ext uri="{FF2B5EF4-FFF2-40B4-BE49-F238E27FC236}">
              <a16:creationId xmlns:a16="http://schemas.microsoft.com/office/drawing/2014/main" id="{C9D143B6-8399-484E-8FDD-A4E03CDE8E30}"/>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1" name="ZoneTexte 60">
          <a:extLst>
            <a:ext uri="{FF2B5EF4-FFF2-40B4-BE49-F238E27FC236}">
              <a16:creationId xmlns:a16="http://schemas.microsoft.com/office/drawing/2014/main" id="{B9F4358B-B59F-441F-9D5A-3E7ECF9E6F1A}"/>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2" name="ZoneTexte 61">
          <a:extLst>
            <a:ext uri="{FF2B5EF4-FFF2-40B4-BE49-F238E27FC236}">
              <a16:creationId xmlns:a16="http://schemas.microsoft.com/office/drawing/2014/main" id="{98AFFE89-B73E-42AE-A969-EC1C8451DED7}"/>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3" name="ZoneTexte 62">
          <a:extLst>
            <a:ext uri="{FF2B5EF4-FFF2-40B4-BE49-F238E27FC236}">
              <a16:creationId xmlns:a16="http://schemas.microsoft.com/office/drawing/2014/main" id="{D8860C60-5464-4221-BA30-1DFACC07A438}"/>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22</xdr:row>
      <xdr:rowOff>128587</xdr:rowOff>
    </xdr:from>
    <xdr:ext cx="65" cy="172227"/>
    <xdr:sp macro="" textlink="">
      <xdr:nvSpPr>
        <xdr:cNvPr id="64" name="ZoneTexte 63">
          <a:extLst>
            <a:ext uri="{FF2B5EF4-FFF2-40B4-BE49-F238E27FC236}">
              <a16:creationId xmlns:a16="http://schemas.microsoft.com/office/drawing/2014/main" id="{62E5A7F5-79D6-41DD-998B-50825BE3CAE9}"/>
            </a:ext>
          </a:extLst>
        </xdr:cNvPr>
        <xdr:cNvSpPr txBox="1"/>
      </xdr:nvSpPr>
      <xdr:spPr>
        <a:xfrm>
          <a:off x="0" y="55578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5" name="ZoneTexte 64">
          <a:extLst>
            <a:ext uri="{FF2B5EF4-FFF2-40B4-BE49-F238E27FC236}">
              <a16:creationId xmlns:a16="http://schemas.microsoft.com/office/drawing/2014/main" id="{A9569A8A-6DA6-455C-97FC-552ED09D14AF}"/>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6" name="ZoneTexte 65">
          <a:extLst>
            <a:ext uri="{FF2B5EF4-FFF2-40B4-BE49-F238E27FC236}">
              <a16:creationId xmlns:a16="http://schemas.microsoft.com/office/drawing/2014/main" id="{3E8C9123-9307-4141-AF98-0043476F14CA}"/>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7" name="ZoneTexte 66">
          <a:extLst>
            <a:ext uri="{FF2B5EF4-FFF2-40B4-BE49-F238E27FC236}">
              <a16:creationId xmlns:a16="http://schemas.microsoft.com/office/drawing/2014/main" id="{82C459D2-237F-405D-87F9-6505A7B1F3F7}"/>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8" name="ZoneTexte 67">
          <a:extLst>
            <a:ext uri="{FF2B5EF4-FFF2-40B4-BE49-F238E27FC236}">
              <a16:creationId xmlns:a16="http://schemas.microsoft.com/office/drawing/2014/main" id="{06C5F09F-AF4B-431F-B843-3711E1BFAB2C}"/>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69" name="ZoneTexte 68">
          <a:extLst>
            <a:ext uri="{FF2B5EF4-FFF2-40B4-BE49-F238E27FC236}">
              <a16:creationId xmlns:a16="http://schemas.microsoft.com/office/drawing/2014/main" id="{A9118EA3-D189-4ACB-8812-66F2408C64FD}"/>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0" name="ZoneTexte 69">
          <a:extLst>
            <a:ext uri="{FF2B5EF4-FFF2-40B4-BE49-F238E27FC236}">
              <a16:creationId xmlns:a16="http://schemas.microsoft.com/office/drawing/2014/main" id="{333742A4-9BC4-4308-B447-F5D5DA273915}"/>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1" name="ZoneTexte 70">
          <a:extLst>
            <a:ext uri="{FF2B5EF4-FFF2-40B4-BE49-F238E27FC236}">
              <a16:creationId xmlns:a16="http://schemas.microsoft.com/office/drawing/2014/main" id="{7902483C-EFF4-4BCF-97AB-DC8E59327BD4}"/>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2" name="ZoneTexte 71">
          <a:extLst>
            <a:ext uri="{FF2B5EF4-FFF2-40B4-BE49-F238E27FC236}">
              <a16:creationId xmlns:a16="http://schemas.microsoft.com/office/drawing/2014/main" id="{34F5D8C2-4BBD-4CA0-8259-7C71062A1B94}"/>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23</xdr:row>
      <xdr:rowOff>128587</xdr:rowOff>
    </xdr:from>
    <xdr:ext cx="65" cy="172227"/>
    <xdr:sp macro="" textlink="">
      <xdr:nvSpPr>
        <xdr:cNvPr id="73" name="ZoneTexte 72">
          <a:extLst>
            <a:ext uri="{FF2B5EF4-FFF2-40B4-BE49-F238E27FC236}">
              <a16:creationId xmlns:a16="http://schemas.microsoft.com/office/drawing/2014/main" id="{AED7F24A-C2D1-448B-8B7D-958233E2A58F}"/>
            </a:ext>
          </a:extLst>
        </xdr:cNvPr>
        <xdr:cNvSpPr txBox="1"/>
      </xdr:nvSpPr>
      <xdr:spPr>
        <a:xfrm>
          <a:off x="0" y="580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4" name="ZoneTexte 73">
          <a:extLst>
            <a:ext uri="{FF2B5EF4-FFF2-40B4-BE49-F238E27FC236}">
              <a16:creationId xmlns:a16="http://schemas.microsoft.com/office/drawing/2014/main" id="{AA1008B8-7CB3-45EE-ABE0-CD4967F723BA}"/>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5" name="ZoneTexte 74">
          <a:extLst>
            <a:ext uri="{FF2B5EF4-FFF2-40B4-BE49-F238E27FC236}">
              <a16:creationId xmlns:a16="http://schemas.microsoft.com/office/drawing/2014/main" id="{2451AB20-E5D6-4910-89DC-6222968DA477}"/>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6" name="ZoneTexte 75">
          <a:extLst>
            <a:ext uri="{FF2B5EF4-FFF2-40B4-BE49-F238E27FC236}">
              <a16:creationId xmlns:a16="http://schemas.microsoft.com/office/drawing/2014/main" id="{435E76F9-FC20-4F04-8C55-C2CE588408B1}"/>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7" name="ZoneTexte 76">
          <a:extLst>
            <a:ext uri="{FF2B5EF4-FFF2-40B4-BE49-F238E27FC236}">
              <a16:creationId xmlns:a16="http://schemas.microsoft.com/office/drawing/2014/main" id="{D9280EE3-24BF-4C4A-9609-6CB825F1ED44}"/>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78" name="ZoneTexte 77">
          <a:extLst>
            <a:ext uri="{FF2B5EF4-FFF2-40B4-BE49-F238E27FC236}">
              <a16:creationId xmlns:a16="http://schemas.microsoft.com/office/drawing/2014/main" id="{94928CE0-A6F2-4F66-9F2A-8CF93362BCEB}"/>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79" name="ZoneTexte 78">
          <a:extLst>
            <a:ext uri="{FF2B5EF4-FFF2-40B4-BE49-F238E27FC236}">
              <a16:creationId xmlns:a16="http://schemas.microsoft.com/office/drawing/2014/main" id="{906A23E3-E441-4F4C-908E-34FBF9EE0C1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0" name="ZoneTexte 79">
          <a:extLst>
            <a:ext uri="{FF2B5EF4-FFF2-40B4-BE49-F238E27FC236}">
              <a16:creationId xmlns:a16="http://schemas.microsoft.com/office/drawing/2014/main" id="{20882951-EABF-4F8D-BC20-64F32B0B4222}"/>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1" name="ZoneTexte 80">
          <a:extLst>
            <a:ext uri="{FF2B5EF4-FFF2-40B4-BE49-F238E27FC236}">
              <a16:creationId xmlns:a16="http://schemas.microsoft.com/office/drawing/2014/main" id="{F927ABC6-E8A5-4F81-ABE6-459ADB7B3184}"/>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24</xdr:row>
      <xdr:rowOff>128587</xdr:rowOff>
    </xdr:from>
    <xdr:ext cx="65" cy="172227"/>
    <xdr:sp macro="" textlink="">
      <xdr:nvSpPr>
        <xdr:cNvPr id="82" name="ZoneTexte 81">
          <a:extLst>
            <a:ext uri="{FF2B5EF4-FFF2-40B4-BE49-F238E27FC236}">
              <a16:creationId xmlns:a16="http://schemas.microsoft.com/office/drawing/2014/main" id="{EE056496-B6A0-4391-9EC8-90EBF8DF1C48}"/>
            </a:ext>
          </a:extLst>
        </xdr:cNvPr>
        <xdr:cNvSpPr txBox="1"/>
      </xdr:nvSpPr>
      <xdr:spPr>
        <a:xfrm>
          <a:off x="0" y="60531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3" name="ZoneTexte 82">
          <a:extLst>
            <a:ext uri="{FF2B5EF4-FFF2-40B4-BE49-F238E27FC236}">
              <a16:creationId xmlns:a16="http://schemas.microsoft.com/office/drawing/2014/main" id="{1514BE7A-FCD0-4069-A35B-B53285106805}"/>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4" name="ZoneTexte 83">
          <a:extLst>
            <a:ext uri="{FF2B5EF4-FFF2-40B4-BE49-F238E27FC236}">
              <a16:creationId xmlns:a16="http://schemas.microsoft.com/office/drawing/2014/main" id="{5D5A776B-CABC-49C6-B7FC-BB61B7CE413D}"/>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5" name="ZoneTexte 84">
          <a:extLst>
            <a:ext uri="{FF2B5EF4-FFF2-40B4-BE49-F238E27FC236}">
              <a16:creationId xmlns:a16="http://schemas.microsoft.com/office/drawing/2014/main" id="{BE7DA509-CA9F-4C66-8CDC-C27BA8E2C0CB}"/>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6" name="ZoneTexte 85">
          <a:extLst>
            <a:ext uri="{FF2B5EF4-FFF2-40B4-BE49-F238E27FC236}">
              <a16:creationId xmlns:a16="http://schemas.microsoft.com/office/drawing/2014/main" id="{0D2CB518-3C3D-40BA-B606-4D1DA2BE3E27}"/>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7" name="ZoneTexte 86">
          <a:extLst>
            <a:ext uri="{FF2B5EF4-FFF2-40B4-BE49-F238E27FC236}">
              <a16:creationId xmlns:a16="http://schemas.microsoft.com/office/drawing/2014/main" id="{2B1E46E0-3AB7-4A72-93A3-CAB8F269B804}"/>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88" name="ZoneTexte 87">
          <a:extLst>
            <a:ext uri="{FF2B5EF4-FFF2-40B4-BE49-F238E27FC236}">
              <a16:creationId xmlns:a16="http://schemas.microsoft.com/office/drawing/2014/main" id="{93650EE4-16FD-438D-8716-C69A5CCF96CE}"/>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89" name="ZoneTexte 88">
          <a:extLst>
            <a:ext uri="{FF2B5EF4-FFF2-40B4-BE49-F238E27FC236}">
              <a16:creationId xmlns:a16="http://schemas.microsoft.com/office/drawing/2014/main" id="{E8D52268-8E94-4880-A9D1-668D9C30F5C0}"/>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0" name="ZoneTexte 89">
          <a:extLst>
            <a:ext uri="{FF2B5EF4-FFF2-40B4-BE49-F238E27FC236}">
              <a16:creationId xmlns:a16="http://schemas.microsoft.com/office/drawing/2014/main" id="{A9D15652-9118-4715-A682-7E275A88465B}"/>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25</xdr:row>
      <xdr:rowOff>128587</xdr:rowOff>
    </xdr:from>
    <xdr:ext cx="65" cy="172227"/>
    <xdr:sp macro="" textlink="">
      <xdr:nvSpPr>
        <xdr:cNvPr id="91" name="ZoneTexte 90">
          <a:extLst>
            <a:ext uri="{FF2B5EF4-FFF2-40B4-BE49-F238E27FC236}">
              <a16:creationId xmlns:a16="http://schemas.microsoft.com/office/drawing/2014/main" id="{967D682F-4341-4768-8751-CCA6A8B304FC}"/>
            </a:ext>
          </a:extLst>
        </xdr:cNvPr>
        <xdr:cNvSpPr txBox="1"/>
      </xdr:nvSpPr>
      <xdr:spPr>
        <a:xfrm>
          <a:off x="0"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2" name="ZoneTexte 91">
          <a:extLst>
            <a:ext uri="{FF2B5EF4-FFF2-40B4-BE49-F238E27FC236}">
              <a16:creationId xmlns:a16="http://schemas.microsoft.com/office/drawing/2014/main" id="{5F14373B-7086-4F65-BD8C-D0062AA27D36}"/>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3" name="ZoneTexte 92">
          <a:extLst>
            <a:ext uri="{FF2B5EF4-FFF2-40B4-BE49-F238E27FC236}">
              <a16:creationId xmlns:a16="http://schemas.microsoft.com/office/drawing/2014/main" id="{B3A647D8-28B0-4758-B37C-C99A3BEB74C6}"/>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4" name="ZoneTexte 93">
          <a:extLst>
            <a:ext uri="{FF2B5EF4-FFF2-40B4-BE49-F238E27FC236}">
              <a16:creationId xmlns:a16="http://schemas.microsoft.com/office/drawing/2014/main" id="{EBDA5C58-A88A-4BFE-84E7-6B103730DB27}"/>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5" name="ZoneTexte 94">
          <a:extLst>
            <a:ext uri="{FF2B5EF4-FFF2-40B4-BE49-F238E27FC236}">
              <a16:creationId xmlns:a16="http://schemas.microsoft.com/office/drawing/2014/main" id="{64C2C6C4-284A-4B5A-9C45-FBC10DE2F6DA}"/>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6" name="ZoneTexte 95">
          <a:extLst>
            <a:ext uri="{FF2B5EF4-FFF2-40B4-BE49-F238E27FC236}">
              <a16:creationId xmlns:a16="http://schemas.microsoft.com/office/drawing/2014/main" id="{B78B135A-07DF-4722-A1D1-A200E8296D2B}"/>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7" name="ZoneTexte 96">
          <a:extLst>
            <a:ext uri="{FF2B5EF4-FFF2-40B4-BE49-F238E27FC236}">
              <a16:creationId xmlns:a16="http://schemas.microsoft.com/office/drawing/2014/main" id="{609460B8-B718-4FA3-811B-8AD17FC96F8E}"/>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98" name="ZoneTexte 97">
          <a:extLst>
            <a:ext uri="{FF2B5EF4-FFF2-40B4-BE49-F238E27FC236}">
              <a16:creationId xmlns:a16="http://schemas.microsoft.com/office/drawing/2014/main" id="{137F0AB2-058D-4BC4-8EE5-BF66E4ABCECA}"/>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99" name="ZoneTexte 98">
          <a:extLst>
            <a:ext uri="{FF2B5EF4-FFF2-40B4-BE49-F238E27FC236}">
              <a16:creationId xmlns:a16="http://schemas.microsoft.com/office/drawing/2014/main" id="{76690D52-21E3-4EA3-A35E-86E3366764A7}"/>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26</xdr:row>
      <xdr:rowOff>128587</xdr:rowOff>
    </xdr:from>
    <xdr:ext cx="65" cy="172227"/>
    <xdr:sp macro="" textlink="">
      <xdr:nvSpPr>
        <xdr:cNvPr id="100" name="ZoneTexte 99">
          <a:extLst>
            <a:ext uri="{FF2B5EF4-FFF2-40B4-BE49-F238E27FC236}">
              <a16:creationId xmlns:a16="http://schemas.microsoft.com/office/drawing/2014/main" id="{A4D83069-855C-4119-AAA6-2DE80EF1CCE3}"/>
            </a:ext>
          </a:extLst>
        </xdr:cNvPr>
        <xdr:cNvSpPr txBox="1"/>
      </xdr:nvSpPr>
      <xdr:spPr>
        <a:xfrm>
          <a:off x="0" y="6548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1" name="ZoneTexte 100">
          <a:extLst>
            <a:ext uri="{FF2B5EF4-FFF2-40B4-BE49-F238E27FC236}">
              <a16:creationId xmlns:a16="http://schemas.microsoft.com/office/drawing/2014/main" id="{9EE7186A-DF35-4EDD-8DE3-E9AE8A54A0A3}"/>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2" name="ZoneTexte 101">
          <a:extLst>
            <a:ext uri="{FF2B5EF4-FFF2-40B4-BE49-F238E27FC236}">
              <a16:creationId xmlns:a16="http://schemas.microsoft.com/office/drawing/2014/main" id="{9AA0DB85-A770-4AD6-8947-B13417E21BCD}"/>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3" name="ZoneTexte 102">
          <a:extLst>
            <a:ext uri="{FF2B5EF4-FFF2-40B4-BE49-F238E27FC236}">
              <a16:creationId xmlns:a16="http://schemas.microsoft.com/office/drawing/2014/main" id="{C85309BC-83D4-4A49-ABD7-B9923F821130}"/>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4" name="ZoneTexte 103">
          <a:extLst>
            <a:ext uri="{FF2B5EF4-FFF2-40B4-BE49-F238E27FC236}">
              <a16:creationId xmlns:a16="http://schemas.microsoft.com/office/drawing/2014/main" id="{782B19B5-CC71-4EC9-9CDD-0C7205EC4C37}"/>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5" name="ZoneTexte 104">
          <a:extLst>
            <a:ext uri="{FF2B5EF4-FFF2-40B4-BE49-F238E27FC236}">
              <a16:creationId xmlns:a16="http://schemas.microsoft.com/office/drawing/2014/main" id="{61F63A65-611D-464D-B0DB-7A452E8B439A}"/>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6" name="ZoneTexte 105">
          <a:extLst>
            <a:ext uri="{FF2B5EF4-FFF2-40B4-BE49-F238E27FC236}">
              <a16:creationId xmlns:a16="http://schemas.microsoft.com/office/drawing/2014/main" id="{73D1F9E0-95BC-4605-BFBF-E3153142FA07}"/>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7" name="ZoneTexte 106">
          <a:extLst>
            <a:ext uri="{FF2B5EF4-FFF2-40B4-BE49-F238E27FC236}">
              <a16:creationId xmlns:a16="http://schemas.microsoft.com/office/drawing/2014/main" id="{6D507D08-666E-4180-A7E5-95073D72CC79}"/>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08" name="ZoneTexte 107">
          <a:extLst>
            <a:ext uri="{FF2B5EF4-FFF2-40B4-BE49-F238E27FC236}">
              <a16:creationId xmlns:a16="http://schemas.microsoft.com/office/drawing/2014/main" id="{5C64217C-B886-4285-8D46-BFBB85F5771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27</xdr:row>
      <xdr:rowOff>128587</xdr:rowOff>
    </xdr:from>
    <xdr:ext cx="65" cy="172227"/>
    <xdr:sp macro="" textlink="">
      <xdr:nvSpPr>
        <xdr:cNvPr id="109" name="ZoneTexte 108">
          <a:extLst>
            <a:ext uri="{FF2B5EF4-FFF2-40B4-BE49-F238E27FC236}">
              <a16:creationId xmlns:a16="http://schemas.microsoft.com/office/drawing/2014/main" id="{E5116099-2437-4E32-89EC-5BC59F6BFD6B}"/>
            </a:ext>
          </a:extLst>
        </xdr:cNvPr>
        <xdr:cNvSpPr txBox="1"/>
      </xdr:nvSpPr>
      <xdr:spPr>
        <a:xfrm>
          <a:off x="0" y="6796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0" name="ZoneTexte 109">
          <a:extLst>
            <a:ext uri="{FF2B5EF4-FFF2-40B4-BE49-F238E27FC236}">
              <a16:creationId xmlns:a16="http://schemas.microsoft.com/office/drawing/2014/main" id="{3C329D9B-2126-4594-98CA-479AB66C726F}"/>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1" name="ZoneTexte 110">
          <a:extLst>
            <a:ext uri="{FF2B5EF4-FFF2-40B4-BE49-F238E27FC236}">
              <a16:creationId xmlns:a16="http://schemas.microsoft.com/office/drawing/2014/main" id="{18A9054B-6C5D-489F-8854-DFA10CF7AE2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2" name="ZoneTexte 111">
          <a:extLst>
            <a:ext uri="{FF2B5EF4-FFF2-40B4-BE49-F238E27FC236}">
              <a16:creationId xmlns:a16="http://schemas.microsoft.com/office/drawing/2014/main" id="{D70F6353-F4BF-4D43-910A-D4158358D5D9}"/>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3" name="ZoneTexte 112">
          <a:extLst>
            <a:ext uri="{FF2B5EF4-FFF2-40B4-BE49-F238E27FC236}">
              <a16:creationId xmlns:a16="http://schemas.microsoft.com/office/drawing/2014/main" id="{0C6212D9-EC04-4871-8F04-61CDB1240037}"/>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4" name="ZoneTexte 113">
          <a:extLst>
            <a:ext uri="{FF2B5EF4-FFF2-40B4-BE49-F238E27FC236}">
              <a16:creationId xmlns:a16="http://schemas.microsoft.com/office/drawing/2014/main" id="{F8A2A61B-F565-4C98-A03D-8B3D67786FAD}"/>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5" name="ZoneTexte 114">
          <a:extLst>
            <a:ext uri="{FF2B5EF4-FFF2-40B4-BE49-F238E27FC236}">
              <a16:creationId xmlns:a16="http://schemas.microsoft.com/office/drawing/2014/main" id="{90ACDB66-39F0-4B03-B011-462C72076448}"/>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6" name="ZoneTexte 115">
          <a:extLst>
            <a:ext uri="{FF2B5EF4-FFF2-40B4-BE49-F238E27FC236}">
              <a16:creationId xmlns:a16="http://schemas.microsoft.com/office/drawing/2014/main" id="{50B96473-266B-49B2-A799-8CD350418E24}"/>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7" name="ZoneTexte 116">
          <a:extLst>
            <a:ext uri="{FF2B5EF4-FFF2-40B4-BE49-F238E27FC236}">
              <a16:creationId xmlns:a16="http://schemas.microsoft.com/office/drawing/2014/main" id="{39AA26C8-1892-4F97-8703-0CDBEE69C0E8}"/>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28</xdr:row>
      <xdr:rowOff>128587</xdr:rowOff>
    </xdr:from>
    <xdr:ext cx="65" cy="172227"/>
    <xdr:sp macro="" textlink="">
      <xdr:nvSpPr>
        <xdr:cNvPr id="118" name="ZoneTexte 117">
          <a:extLst>
            <a:ext uri="{FF2B5EF4-FFF2-40B4-BE49-F238E27FC236}">
              <a16:creationId xmlns:a16="http://schemas.microsoft.com/office/drawing/2014/main" id="{E1B0E3C9-D3E6-4F6A-A739-3A0C74F2C5E6}"/>
            </a:ext>
          </a:extLst>
        </xdr:cNvPr>
        <xdr:cNvSpPr txBox="1"/>
      </xdr:nvSpPr>
      <xdr:spPr>
        <a:xfrm>
          <a:off x="0" y="70437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19" name="ZoneTexte 118">
          <a:extLst>
            <a:ext uri="{FF2B5EF4-FFF2-40B4-BE49-F238E27FC236}">
              <a16:creationId xmlns:a16="http://schemas.microsoft.com/office/drawing/2014/main" id="{CCEA1B64-3975-45A5-B327-6807495EFE21}"/>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0" name="ZoneTexte 119">
          <a:extLst>
            <a:ext uri="{FF2B5EF4-FFF2-40B4-BE49-F238E27FC236}">
              <a16:creationId xmlns:a16="http://schemas.microsoft.com/office/drawing/2014/main" id="{560D36EB-40D1-4B14-A779-6D1F3BF51B68}"/>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1" name="ZoneTexte 120">
          <a:extLst>
            <a:ext uri="{FF2B5EF4-FFF2-40B4-BE49-F238E27FC236}">
              <a16:creationId xmlns:a16="http://schemas.microsoft.com/office/drawing/2014/main" id="{73D844FF-106D-47AB-908F-FF121FC21E97}"/>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2" name="ZoneTexte 121">
          <a:extLst>
            <a:ext uri="{FF2B5EF4-FFF2-40B4-BE49-F238E27FC236}">
              <a16:creationId xmlns:a16="http://schemas.microsoft.com/office/drawing/2014/main" id="{C019344A-276E-4756-9619-6CCEDB402852}"/>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3" name="ZoneTexte 122">
          <a:extLst>
            <a:ext uri="{FF2B5EF4-FFF2-40B4-BE49-F238E27FC236}">
              <a16:creationId xmlns:a16="http://schemas.microsoft.com/office/drawing/2014/main" id="{7E239604-1E10-44F8-A273-6FE04016750C}"/>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4" name="ZoneTexte 123">
          <a:extLst>
            <a:ext uri="{FF2B5EF4-FFF2-40B4-BE49-F238E27FC236}">
              <a16:creationId xmlns:a16="http://schemas.microsoft.com/office/drawing/2014/main" id="{9E9A4CF5-DED6-4D78-8819-E5B3B04A01BE}"/>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5" name="ZoneTexte 124">
          <a:extLst>
            <a:ext uri="{FF2B5EF4-FFF2-40B4-BE49-F238E27FC236}">
              <a16:creationId xmlns:a16="http://schemas.microsoft.com/office/drawing/2014/main" id="{F82C606B-1CFD-4558-938D-CEC68C2D098D}"/>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6" name="ZoneTexte 125">
          <a:extLst>
            <a:ext uri="{FF2B5EF4-FFF2-40B4-BE49-F238E27FC236}">
              <a16:creationId xmlns:a16="http://schemas.microsoft.com/office/drawing/2014/main" id="{D6A5E46B-3C80-4787-8AE3-1AB5593E6BB7}"/>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29</xdr:row>
      <xdr:rowOff>128587</xdr:rowOff>
    </xdr:from>
    <xdr:ext cx="65" cy="172227"/>
    <xdr:sp macro="" textlink="">
      <xdr:nvSpPr>
        <xdr:cNvPr id="127" name="ZoneTexte 126">
          <a:extLst>
            <a:ext uri="{FF2B5EF4-FFF2-40B4-BE49-F238E27FC236}">
              <a16:creationId xmlns:a16="http://schemas.microsoft.com/office/drawing/2014/main" id="{69BB1CC7-3A62-474B-B026-98BD31E6BC78}"/>
            </a:ext>
          </a:extLst>
        </xdr:cNvPr>
        <xdr:cNvSpPr txBox="1"/>
      </xdr:nvSpPr>
      <xdr:spPr>
        <a:xfrm>
          <a:off x="0" y="7291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8" name="ZoneTexte 127">
          <a:extLst>
            <a:ext uri="{FF2B5EF4-FFF2-40B4-BE49-F238E27FC236}">
              <a16:creationId xmlns:a16="http://schemas.microsoft.com/office/drawing/2014/main" id="{DE6EFBB5-0699-4FC0-AC2B-BADE281B73E4}"/>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29" name="ZoneTexte 128">
          <a:extLst>
            <a:ext uri="{FF2B5EF4-FFF2-40B4-BE49-F238E27FC236}">
              <a16:creationId xmlns:a16="http://schemas.microsoft.com/office/drawing/2014/main" id="{4C560AB1-9628-4E6C-81D4-5A5746F61808}"/>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0" name="ZoneTexte 129">
          <a:extLst>
            <a:ext uri="{FF2B5EF4-FFF2-40B4-BE49-F238E27FC236}">
              <a16:creationId xmlns:a16="http://schemas.microsoft.com/office/drawing/2014/main" id="{243CFC28-1416-4EE2-A5D1-B64A518E6C0B}"/>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1" name="ZoneTexte 130">
          <a:extLst>
            <a:ext uri="{FF2B5EF4-FFF2-40B4-BE49-F238E27FC236}">
              <a16:creationId xmlns:a16="http://schemas.microsoft.com/office/drawing/2014/main" id="{A0FB41F4-C213-4003-BC9B-C3ED61B7E8CF}"/>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2" name="ZoneTexte 131">
          <a:extLst>
            <a:ext uri="{FF2B5EF4-FFF2-40B4-BE49-F238E27FC236}">
              <a16:creationId xmlns:a16="http://schemas.microsoft.com/office/drawing/2014/main" id="{7A817C79-00E4-44DC-870D-82CD2F5AF58C}"/>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3" name="ZoneTexte 132">
          <a:extLst>
            <a:ext uri="{FF2B5EF4-FFF2-40B4-BE49-F238E27FC236}">
              <a16:creationId xmlns:a16="http://schemas.microsoft.com/office/drawing/2014/main" id="{2662F55F-FE68-46C1-A0A1-F4E1D9C1BA56}"/>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4" name="ZoneTexte 133">
          <a:extLst>
            <a:ext uri="{FF2B5EF4-FFF2-40B4-BE49-F238E27FC236}">
              <a16:creationId xmlns:a16="http://schemas.microsoft.com/office/drawing/2014/main" id="{0078E227-2FA0-422A-A370-FB59640F75AD}"/>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5" name="ZoneTexte 134">
          <a:extLst>
            <a:ext uri="{FF2B5EF4-FFF2-40B4-BE49-F238E27FC236}">
              <a16:creationId xmlns:a16="http://schemas.microsoft.com/office/drawing/2014/main" id="{8373B6ED-CC18-4629-88D0-49D09105BAD4}"/>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30</xdr:row>
      <xdr:rowOff>128587</xdr:rowOff>
    </xdr:from>
    <xdr:ext cx="65" cy="172227"/>
    <xdr:sp macro="" textlink="">
      <xdr:nvSpPr>
        <xdr:cNvPr id="136" name="ZoneTexte 135">
          <a:extLst>
            <a:ext uri="{FF2B5EF4-FFF2-40B4-BE49-F238E27FC236}">
              <a16:creationId xmlns:a16="http://schemas.microsoft.com/office/drawing/2014/main" id="{1DE0C967-A24B-4825-BE4F-CFEDC0CAC6F6}"/>
            </a:ext>
          </a:extLst>
        </xdr:cNvPr>
        <xdr:cNvSpPr txBox="1"/>
      </xdr:nvSpPr>
      <xdr:spPr>
        <a:xfrm>
          <a:off x="0" y="75390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7" name="ZoneTexte 136">
          <a:extLst>
            <a:ext uri="{FF2B5EF4-FFF2-40B4-BE49-F238E27FC236}">
              <a16:creationId xmlns:a16="http://schemas.microsoft.com/office/drawing/2014/main" id="{C5FA2086-2E0B-4AC5-AC6A-38009A1A098C}"/>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8" name="ZoneTexte 137">
          <a:extLst>
            <a:ext uri="{FF2B5EF4-FFF2-40B4-BE49-F238E27FC236}">
              <a16:creationId xmlns:a16="http://schemas.microsoft.com/office/drawing/2014/main" id="{47680306-9C06-4FF3-9E10-A5DE8C96B70D}"/>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39" name="ZoneTexte 138">
          <a:extLst>
            <a:ext uri="{FF2B5EF4-FFF2-40B4-BE49-F238E27FC236}">
              <a16:creationId xmlns:a16="http://schemas.microsoft.com/office/drawing/2014/main" id="{72A63E90-B7E7-404C-A101-77D904550221}"/>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0" name="ZoneTexte 139">
          <a:extLst>
            <a:ext uri="{FF2B5EF4-FFF2-40B4-BE49-F238E27FC236}">
              <a16:creationId xmlns:a16="http://schemas.microsoft.com/office/drawing/2014/main" id="{1954C875-FC04-4BBC-8A3A-FA8EE2684E94}"/>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1" name="ZoneTexte 140">
          <a:extLst>
            <a:ext uri="{FF2B5EF4-FFF2-40B4-BE49-F238E27FC236}">
              <a16:creationId xmlns:a16="http://schemas.microsoft.com/office/drawing/2014/main" id="{68DB2ECD-737A-4ED5-82C7-C7591BCF9F2E}"/>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2" name="ZoneTexte 141">
          <a:extLst>
            <a:ext uri="{FF2B5EF4-FFF2-40B4-BE49-F238E27FC236}">
              <a16:creationId xmlns:a16="http://schemas.microsoft.com/office/drawing/2014/main" id="{8E97EB89-D207-4971-BF24-CBD8AA605BC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3" name="ZoneTexte 142">
          <a:extLst>
            <a:ext uri="{FF2B5EF4-FFF2-40B4-BE49-F238E27FC236}">
              <a16:creationId xmlns:a16="http://schemas.microsoft.com/office/drawing/2014/main" id="{B4A7F283-6483-4203-9A7F-18E807A34A72}"/>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4" name="ZoneTexte 143">
          <a:extLst>
            <a:ext uri="{FF2B5EF4-FFF2-40B4-BE49-F238E27FC236}">
              <a16:creationId xmlns:a16="http://schemas.microsoft.com/office/drawing/2014/main" id="{443B238E-02FF-4480-B43C-09F049D13B32}"/>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31</xdr:row>
      <xdr:rowOff>128587</xdr:rowOff>
    </xdr:from>
    <xdr:ext cx="65" cy="172227"/>
    <xdr:sp macro="" textlink="">
      <xdr:nvSpPr>
        <xdr:cNvPr id="145" name="ZoneTexte 144">
          <a:extLst>
            <a:ext uri="{FF2B5EF4-FFF2-40B4-BE49-F238E27FC236}">
              <a16:creationId xmlns:a16="http://schemas.microsoft.com/office/drawing/2014/main" id="{E0D6AFF3-4693-4D2F-82DA-BBD2C3D42378}"/>
            </a:ext>
          </a:extLst>
        </xdr:cNvPr>
        <xdr:cNvSpPr txBox="1"/>
      </xdr:nvSpPr>
      <xdr:spPr>
        <a:xfrm>
          <a:off x="0" y="77866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6" name="ZoneTexte 145">
          <a:extLst>
            <a:ext uri="{FF2B5EF4-FFF2-40B4-BE49-F238E27FC236}">
              <a16:creationId xmlns:a16="http://schemas.microsoft.com/office/drawing/2014/main" id="{B86D3DE1-C84A-410E-BD46-9333D5D04CF2}"/>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7" name="ZoneTexte 146">
          <a:extLst>
            <a:ext uri="{FF2B5EF4-FFF2-40B4-BE49-F238E27FC236}">
              <a16:creationId xmlns:a16="http://schemas.microsoft.com/office/drawing/2014/main" id="{883962F7-3DB9-442B-B0D0-5F7FE60802F3}"/>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8" name="ZoneTexte 147">
          <a:extLst>
            <a:ext uri="{FF2B5EF4-FFF2-40B4-BE49-F238E27FC236}">
              <a16:creationId xmlns:a16="http://schemas.microsoft.com/office/drawing/2014/main" id="{93E6E068-2783-4139-94F1-C5E94F6B5992}"/>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49" name="ZoneTexte 148">
          <a:extLst>
            <a:ext uri="{FF2B5EF4-FFF2-40B4-BE49-F238E27FC236}">
              <a16:creationId xmlns:a16="http://schemas.microsoft.com/office/drawing/2014/main" id="{A5F4E76B-F776-40FD-8E03-19932657BA1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0" name="ZoneTexte 149">
          <a:extLst>
            <a:ext uri="{FF2B5EF4-FFF2-40B4-BE49-F238E27FC236}">
              <a16:creationId xmlns:a16="http://schemas.microsoft.com/office/drawing/2014/main" id="{3454C9D7-6CEE-4BD4-BF2F-103B1331FE53}"/>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1" name="ZoneTexte 150">
          <a:extLst>
            <a:ext uri="{FF2B5EF4-FFF2-40B4-BE49-F238E27FC236}">
              <a16:creationId xmlns:a16="http://schemas.microsoft.com/office/drawing/2014/main" id="{06407338-18CB-404D-8185-F7C81F04DE63}"/>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2" name="ZoneTexte 151">
          <a:extLst>
            <a:ext uri="{FF2B5EF4-FFF2-40B4-BE49-F238E27FC236}">
              <a16:creationId xmlns:a16="http://schemas.microsoft.com/office/drawing/2014/main" id="{31417D66-4FD0-4AD7-9B60-CF125DAB605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3" name="ZoneTexte 152">
          <a:extLst>
            <a:ext uri="{FF2B5EF4-FFF2-40B4-BE49-F238E27FC236}">
              <a16:creationId xmlns:a16="http://schemas.microsoft.com/office/drawing/2014/main" id="{6CA29AB7-7A03-4CAD-96C6-0BC352DACF08}"/>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4" name="ZoneTexte 153">
          <a:extLst>
            <a:ext uri="{FF2B5EF4-FFF2-40B4-BE49-F238E27FC236}">
              <a16:creationId xmlns:a16="http://schemas.microsoft.com/office/drawing/2014/main" id="{F7EFC003-D544-41D0-ABEA-ECF7D0ADD3B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5" name="ZoneTexte 154">
          <a:extLst>
            <a:ext uri="{FF2B5EF4-FFF2-40B4-BE49-F238E27FC236}">
              <a16:creationId xmlns:a16="http://schemas.microsoft.com/office/drawing/2014/main" id="{D6F4173C-CDA5-41F3-B1B3-588F8AA279B7}"/>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6" name="ZoneTexte 155">
          <a:extLst>
            <a:ext uri="{FF2B5EF4-FFF2-40B4-BE49-F238E27FC236}">
              <a16:creationId xmlns:a16="http://schemas.microsoft.com/office/drawing/2014/main" id="{EEAD5E7A-6ED9-4E9B-92F1-AFEBFD20399B}"/>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7" name="ZoneTexte 156">
          <a:extLst>
            <a:ext uri="{FF2B5EF4-FFF2-40B4-BE49-F238E27FC236}">
              <a16:creationId xmlns:a16="http://schemas.microsoft.com/office/drawing/2014/main" id="{AF38487B-06F4-4F81-B480-8D61DE971085}"/>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8" name="ZoneTexte 157">
          <a:extLst>
            <a:ext uri="{FF2B5EF4-FFF2-40B4-BE49-F238E27FC236}">
              <a16:creationId xmlns:a16="http://schemas.microsoft.com/office/drawing/2014/main" id="{B0DAE84E-4929-44CD-907F-171F1204EDAC}"/>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59" name="ZoneTexte 158">
          <a:extLst>
            <a:ext uri="{FF2B5EF4-FFF2-40B4-BE49-F238E27FC236}">
              <a16:creationId xmlns:a16="http://schemas.microsoft.com/office/drawing/2014/main" id="{5773C875-FCAA-48C3-BA7E-D26797F69B9D}"/>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0" name="ZoneTexte 159">
          <a:extLst>
            <a:ext uri="{FF2B5EF4-FFF2-40B4-BE49-F238E27FC236}">
              <a16:creationId xmlns:a16="http://schemas.microsoft.com/office/drawing/2014/main" id="{FB21053D-1BA8-4825-8454-82A861889E02}"/>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1" name="ZoneTexte 160">
          <a:extLst>
            <a:ext uri="{FF2B5EF4-FFF2-40B4-BE49-F238E27FC236}">
              <a16:creationId xmlns:a16="http://schemas.microsoft.com/office/drawing/2014/main" id="{562C4B40-D9DF-480B-BF90-276FE48245EB}"/>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2" name="ZoneTexte 161">
          <a:extLst>
            <a:ext uri="{FF2B5EF4-FFF2-40B4-BE49-F238E27FC236}">
              <a16:creationId xmlns:a16="http://schemas.microsoft.com/office/drawing/2014/main" id="{44D3E07C-C2FC-4E6E-82BA-DAF1987363EC}"/>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3" name="ZoneTexte 162">
          <a:extLst>
            <a:ext uri="{FF2B5EF4-FFF2-40B4-BE49-F238E27FC236}">
              <a16:creationId xmlns:a16="http://schemas.microsoft.com/office/drawing/2014/main" id="{44A02CA5-F4CF-446C-AC83-D18B428A5010}"/>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4" name="ZoneTexte 163">
          <a:extLst>
            <a:ext uri="{FF2B5EF4-FFF2-40B4-BE49-F238E27FC236}">
              <a16:creationId xmlns:a16="http://schemas.microsoft.com/office/drawing/2014/main" id="{DB47F806-486E-41D0-8564-99D8B78B6724}"/>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5" name="ZoneTexte 164">
          <a:extLst>
            <a:ext uri="{FF2B5EF4-FFF2-40B4-BE49-F238E27FC236}">
              <a16:creationId xmlns:a16="http://schemas.microsoft.com/office/drawing/2014/main" id="{379FB15A-1321-4C7E-B8F0-5A484D62BA7A}"/>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6" name="ZoneTexte 165">
          <a:extLst>
            <a:ext uri="{FF2B5EF4-FFF2-40B4-BE49-F238E27FC236}">
              <a16:creationId xmlns:a16="http://schemas.microsoft.com/office/drawing/2014/main" id="{F59B18B5-A9F3-4F91-8906-C448624180A6}"/>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7" name="ZoneTexte 166">
          <a:extLst>
            <a:ext uri="{FF2B5EF4-FFF2-40B4-BE49-F238E27FC236}">
              <a16:creationId xmlns:a16="http://schemas.microsoft.com/office/drawing/2014/main" id="{C2B88302-B1C0-4622-89B5-03B1FA1D4961}"/>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0</xdr:col>
      <xdr:colOff>0</xdr:colOff>
      <xdr:row>32</xdr:row>
      <xdr:rowOff>0</xdr:rowOff>
    </xdr:from>
    <xdr:ext cx="65" cy="172227"/>
    <xdr:sp macro="" textlink="">
      <xdr:nvSpPr>
        <xdr:cNvPr id="168" name="ZoneTexte 167">
          <a:extLst>
            <a:ext uri="{FF2B5EF4-FFF2-40B4-BE49-F238E27FC236}">
              <a16:creationId xmlns:a16="http://schemas.microsoft.com/office/drawing/2014/main" id="{094A8BA9-7173-4DB8-8508-64CEE016284F}"/>
            </a:ext>
          </a:extLst>
        </xdr:cNvPr>
        <xdr:cNvSpPr txBox="1"/>
      </xdr:nvSpPr>
      <xdr:spPr>
        <a:xfrm>
          <a:off x="0" y="790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FR" sz="1100"/>
        </a:p>
      </xdr:txBody>
    </xdr:sp>
    <xdr:clientData/>
  </xdr:oneCellAnchor>
  <xdr:oneCellAnchor>
    <xdr:from>
      <xdr:col>7</xdr:col>
      <xdr:colOff>285750</xdr:colOff>
      <xdr:row>26</xdr:row>
      <xdr:rowOff>57150</xdr:rowOff>
    </xdr:from>
    <xdr:ext cx="2565758" cy="228628"/>
    <xdr:pic>
      <xdr:nvPicPr>
        <xdr:cNvPr id="169" name="Image 168">
          <a:extLst>
            <a:ext uri="{FF2B5EF4-FFF2-40B4-BE49-F238E27FC236}">
              <a16:creationId xmlns:a16="http://schemas.microsoft.com/office/drawing/2014/main" id="{89707A0D-8C04-4A69-AEDB-BF4A946A8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92175" y="6477000"/>
          <a:ext cx="2565758" cy="228628"/>
        </a:xfrm>
        <a:prstGeom prst="rect">
          <a:avLst/>
        </a:prstGeom>
      </xdr:spPr>
    </xdr:pic>
    <xdr:clientData/>
  </xdr:oneCellAnchor>
  <xdr:oneCellAnchor>
    <xdr:from>
      <xdr:col>9</xdr:col>
      <xdr:colOff>349249</xdr:colOff>
      <xdr:row>27</xdr:row>
      <xdr:rowOff>82549</xdr:rowOff>
    </xdr:from>
    <xdr:ext cx="2000251" cy="1070723"/>
    <xdr:pic>
      <xdr:nvPicPr>
        <xdr:cNvPr id="170" name="Image 169">
          <a:extLst>
            <a:ext uri="{FF2B5EF4-FFF2-40B4-BE49-F238E27FC236}">
              <a16:creationId xmlns:a16="http://schemas.microsoft.com/office/drawing/2014/main" id="{9275DFCF-DC02-455D-BBE4-7ED6F6CE52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65424" y="6750049"/>
          <a:ext cx="2000251" cy="1070723"/>
        </a:xfrm>
        <a:prstGeom prst="rect">
          <a:avLst/>
        </a:prstGeom>
      </xdr:spPr>
    </xdr:pic>
    <xdr:clientData/>
  </xdr:oneCellAnchor>
  <xdr:oneCellAnchor>
    <xdr:from>
      <xdr:col>13</xdr:col>
      <xdr:colOff>196849</xdr:colOff>
      <xdr:row>26</xdr:row>
      <xdr:rowOff>215899</xdr:rowOff>
    </xdr:from>
    <xdr:ext cx="5924551" cy="1841501"/>
    <xdr:pic>
      <xdr:nvPicPr>
        <xdr:cNvPr id="171" name="Image 170">
          <a:extLst>
            <a:ext uri="{FF2B5EF4-FFF2-40B4-BE49-F238E27FC236}">
              <a16:creationId xmlns:a16="http://schemas.microsoft.com/office/drawing/2014/main" id="{44F32AE5-9E0F-43B8-AF8B-4D1E955E4C7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04024" y="6635749"/>
          <a:ext cx="5924551" cy="1841501"/>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AE20BE14-8CBE-4EE6-BE4F-48329592FB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2C1D7CC0-82B3-45A2-8866-761CC04D6E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89DCDC47-2958-4613-96D7-BE9BA03C2FD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BF58BB01-14EE-4776-AFE0-3EEDAE3CC5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748B1952-47AE-478C-AA9E-570A8A79726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55B29C7F-EC8D-439D-91AD-125B1D718F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3D291574-C2D4-4288-BB32-745E79D1D2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F4C1A827-A89A-4888-80DB-DBFD5A1537C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2332166F-9F9B-4A70-A1D1-730AD45989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DC47F4EE-F989-4B30-BF21-6AF9C8A9645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E89D5D8A-2AA8-4163-9A9E-E52A27A1BB8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2E368168-FDBF-44CE-8A65-D3F834D36A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CAAF6C0B-B33F-4327-BE15-B6237F6CF9C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F98AC12E-0AF5-46C4-AD93-302AD27560C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83E23E54-4FE1-4274-8461-96A60203DA6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E0FE475E-54DF-4A43-8F92-62249F1B1CE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DC7B1ED6-502F-4FDE-8C59-FCD2FE1F2B6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4AA277E4-1DFF-4D8F-B4FC-068D89F1395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EBDEB010-D4AA-4DDE-8B26-56AB4056AE0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5653996A-C713-465F-AE2F-4410A87AD91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814E682D-56EE-4E29-A179-F3D276C8361B}"/>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4860513-9840-4F11-ABA0-76CDFF8A9B5F}"/>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9180D7F5-9D7C-4952-87FD-2402F6C93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310F69B6-B718-49EC-A038-2ED5FE12C4F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D3D796BA-E670-4241-965B-AFE067E088A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0A820112-6340-4B01-BB8F-0C9D618A383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80ADD6E5-8F06-4BE8-B93E-589F304F2B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A2901631-1D78-472A-8F4B-C5A4EE434AC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FA88B9C8-95F8-478A-BDD4-90A0D2E7DD8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B891373A-1E19-42E6-9233-20B745574AB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9DA2569D-E74B-4440-91DC-B8AB9FABF9CF}"/>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AF39877B-2E81-42DC-98E9-EDB68660A91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DB4101E0-B8E2-43A1-B33A-B5C4BB49928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4684AC6D-E641-4064-A8AB-54208269EE0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00DA2DB1-D10F-4CC7-ABEE-82EA84E43C21}"/>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1B70C7D7-3AFA-4EF6-A482-4EDB53279AE9}"/>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35023BBE-35F5-403F-81E0-C234FF2E8F8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112CD08A-42E6-4B1C-888A-48F5EE748D2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83BCE309-775D-4D3A-9953-A28C8DE6AB1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C8696C65-7F2E-4DFB-892F-5CD7635B17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C9338C98-9C2F-4A68-B776-B06F2CD185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239D0F60-8EC6-459D-827C-6F12BFEF70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E0BA841C-10F8-4193-85B9-1B0845AB6D4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7A71A5C1-E366-4B05-A86E-EC23D3DD4D9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BA050F65-38E8-4F8C-8916-1C373DD7C38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40006702-E993-40C4-8235-AE5E7679BF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26D59D31-4789-4CE2-9A11-EA3AB3C6A99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18607BF6-C936-41BE-9859-D028AEB8CCC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BE32681F-FBE8-4636-8D73-DA24DAD3938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371475</xdr:colOff>
      <xdr:row>27</xdr:row>
      <xdr:rowOff>171450</xdr:rowOff>
    </xdr:from>
    <xdr:ext cx="3476625" cy="1924050"/>
    <xdr:pic>
      <xdr:nvPicPr>
        <xdr:cNvPr id="2" name="Picture 3" descr="http://www.educastream.com/IMG/Image/volumes21a.png">
          <a:extLst>
            <a:ext uri="{FF2B5EF4-FFF2-40B4-BE49-F238E27FC236}">
              <a16:creationId xmlns:a16="http://schemas.microsoft.com/office/drawing/2014/main" id="{80FD3F34-45B1-408A-8838-7BC558EE7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596265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13</xdr:col>
      <xdr:colOff>66675</xdr:colOff>
      <xdr:row>144</xdr:row>
      <xdr:rowOff>47625</xdr:rowOff>
    </xdr:from>
    <xdr:ext cx="3362325" cy="1562100"/>
    <xdr:pic>
      <xdr:nvPicPr>
        <xdr:cNvPr id="2" name="Image 1" descr="Résultats de pourcentage dans la colonne D">
          <a:extLst>
            <a:ext uri="{FF2B5EF4-FFF2-40B4-BE49-F238E27FC236}">
              <a16:creationId xmlns:a16="http://schemas.microsoft.com/office/drawing/2014/main" id="{4AC2DA1D-E9DD-4DC6-B522-17B8E4847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143637000"/>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123825</xdr:rowOff>
    </xdr:from>
    <xdr:ext cx="8316486" cy="1876687"/>
    <xdr:pic>
      <xdr:nvPicPr>
        <xdr:cNvPr id="3" name="Image 2">
          <a:extLst>
            <a:ext uri="{FF2B5EF4-FFF2-40B4-BE49-F238E27FC236}">
              <a16:creationId xmlns:a16="http://schemas.microsoft.com/office/drawing/2014/main" id="{4D5A64C6-D468-4B89-B74B-13E9958D19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5" y="129759075"/>
          <a:ext cx="8316486" cy="187668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absolute">
    <xdr:from>
      <xdr:col>2</xdr:col>
      <xdr:colOff>95250</xdr:colOff>
      <xdr:row>11</xdr:row>
      <xdr:rowOff>86614</xdr:rowOff>
    </xdr:from>
    <xdr:to>
      <xdr:col>5</xdr:col>
      <xdr:colOff>28575</xdr:colOff>
      <xdr:row>20</xdr:row>
      <xdr:rowOff>104770</xdr:rowOff>
    </xdr:to>
    <xdr:grpSp>
      <xdr:nvGrpSpPr>
        <xdr:cNvPr id="2" name="BON À SAVOIR" descr="GOOD TO KNOW&#10;Excel keeps dates and times based on the number of days starting from January 1, 1900. Times are kept in fractional portions of a day based on minutes.&#10;&#10;So 01/01/2017 12:30 PM is actually stored as 42736.5208.&#10;&#10;">
          <a:extLst>
            <a:ext uri="{FF2B5EF4-FFF2-40B4-BE49-F238E27FC236}">
              <a16:creationId xmlns:a16="http://schemas.microsoft.com/office/drawing/2014/main" id="{409A0782-674E-47F8-A389-CED5590050F7}"/>
            </a:ext>
          </a:extLst>
        </xdr:cNvPr>
        <xdr:cNvGrpSpPr/>
      </xdr:nvGrpSpPr>
      <xdr:grpSpPr>
        <a:xfrm>
          <a:off x="6467475" y="3048889"/>
          <a:ext cx="4000500" cy="1742181"/>
          <a:chOff x="6778625" y="15414989"/>
          <a:chExt cx="3813528" cy="1673387"/>
        </a:xfrm>
      </xdr:grpSpPr>
      <xdr:sp macro="" textlink="">
        <xdr:nvSpPr>
          <xdr:cNvPr id="3" name="Étape" descr="GOOD TO KNOW&#10;Excel keeps dates and times based on the number of days starting from January 1, 1900. Times are kept in fractional portions of a day based on minutes. So 01/01/2017 12:30 PM is actually stored as 42736.5208. If the Time or Date show up as numbers like that, then you can press Ctrl+1 &gt; Number &gt; select a Date or Time format. &#10;&#10;">
            <a:extLst>
              <a:ext uri="{FF2B5EF4-FFF2-40B4-BE49-F238E27FC236}">
                <a16:creationId xmlns:a16="http://schemas.microsoft.com/office/drawing/2014/main" id="{C43A1249-CD58-463C-8D88-54416BC772C9}"/>
              </a:ext>
            </a:extLst>
          </xdr:cNvPr>
          <xdr:cNvSpPr txBox="1"/>
        </xdr:nvSpPr>
        <xdr:spPr>
          <a:xfrm>
            <a:off x="7042958" y="15665450"/>
            <a:ext cx="3549195" cy="1422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Pour représenter les dates, Excel compte le nombre de jours écoulés depuis le 1er janvier 1900. Les heures sont exprimées en fractions de journée basées sur le nombre de minutes. Par exemple, 01/01/2017 12:30 est représenté sous la forme suivante : 42736.5208. Si l’heure ou la date apparaissent sous cette forme, vous pouvez appuyer sur </a:t>
            </a:r>
            <a:r>
              <a:rPr lang="fr" sz="1100" b="1" i="0" kern="1200" baseline="0">
                <a:solidFill>
                  <a:schemeClr val="dk1"/>
                </a:solidFill>
                <a:effectLst/>
                <a:latin typeface="+mn-lt"/>
                <a:ea typeface="+mn-ea"/>
                <a:cs typeface="+mn-cs"/>
              </a:rPr>
              <a:t>Ctrl+1</a:t>
            </a:r>
            <a:r>
              <a:rPr lang="fr" sz="1100" b="0" i="0" kern="1200" baseline="0">
                <a:solidFill>
                  <a:schemeClr val="dk1"/>
                </a:solidFill>
                <a:effectLst/>
                <a:latin typeface="+mn-lt"/>
                <a:ea typeface="+mn-ea"/>
                <a:cs typeface="+mn-cs"/>
              </a:rPr>
              <a:t> &gt; </a:t>
            </a:r>
            <a:r>
              <a:rPr lang="fr" sz="1100" b="1" i="0" kern="1200" baseline="0">
                <a:solidFill>
                  <a:schemeClr val="dk1"/>
                </a:solidFill>
                <a:effectLst/>
                <a:latin typeface="+mn-lt"/>
                <a:ea typeface="+mn-ea"/>
                <a:cs typeface="+mn-cs"/>
              </a:rPr>
              <a:t>Nombre</a:t>
            </a:r>
            <a:r>
              <a:rPr lang="fr" sz="1100" b="0" i="0" kern="1200" baseline="0">
                <a:solidFill>
                  <a:schemeClr val="dk1"/>
                </a:solidFill>
                <a:effectLst/>
                <a:latin typeface="+mn-lt"/>
                <a:ea typeface="+mn-ea"/>
                <a:cs typeface="+mn-cs"/>
              </a:rPr>
              <a:t> &gt; et sélectionner un format de </a:t>
            </a:r>
            <a:r>
              <a:rPr lang="fr" sz="1100" b="1" i="0" kern="1200" baseline="0">
                <a:solidFill>
                  <a:schemeClr val="dk1"/>
                </a:solidFill>
                <a:effectLst/>
                <a:latin typeface="+mn-lt"/>
                <a:ea typeface="+mn-ea"/>
                <a:cs typeface="+mn-cs"/>
              </a:rPr>
              <a:t>Date </a:t>
            </a:r>
            <a:r>
              <a:rPr lang="fr" sz="1100" b="0" i="0" kern="1200" baseline="0">
                <a:solidFill>
                  <a:schemeClr val="dk1"/>
                </a:solidFill>
                <a:effectLst/>
                <a:latin typeface="+mn-lt"/>
                <a:ea typeface="+mn-ea"/>
                <a:cs typeface="+mn-cs"/>
              </a:rPr>
              <a:t>ou d’</a:t>
            </a:r>
            <a:r>
              <a:rPr lang="fr" sz="1100" b="1" i="0" kern="1200" baseline="0">
                <a:solidFill>
                  <a:schemeClr val="dk1"/>
                </a:solidFill>
                <a:effectLst/>
                <a:latin typeface="+mn-lt"/>
                <a:ea typeface="+mn-ea"/>
                <a:cs typeface="+mn-cs"/>
              </a:rPr>
              <a:t>Heure</a:t>
            </a:r>
            <a:r>
              <a:rPr lang="fr" sz="1100" b="0" i="0" kern="1200" baseline="0">
                <a:solidFill>
                  <a:schemeClr val="dk1"/>
                </a:solidFill>
                <a:effectLst/>
                <a:latin typeface="+mn-lt"/>
                <a:ea typeface="+mn-ea"/>
                <a:cs typeface="+mn-cs"/>
              </a:rPr>
              <a:t>. </a:t>
            </a:r>
            <a:endParaRPr lang="en-US" sz="1100">
              <a:effectLst/>
              <a:latin typeface="+mn-lt"/>
            </a:endParaRPr>
          </a:p>
        </xdr:txBody>
      </xdr:sp>
      <xdr:pic>
        <xdr:nvPicPr>
          <xdr:cNvPr id="4" name="Graphisme 147" descr="Lunettes">
            <a:extLst>
              <a:ext uri="{FF2B5EF4-FFF2-40B4-BE49-F238E27FC236}">
                <a16:creationId xmlns:a16="http://schemas.microsoft.com/office/drawing/2014/main" id="{ADBAEFA0-F06E-465D-AEF6-797B563466D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78625" y="15619705"/>
            <a:ext cx="323347" cy="349115"/>
          </a:xfrm>
          <a:prstGeom prst="rect">
            <a:avLst/>
          </a:prstGeom>
        </xdr:spPr>
      </xdr:pic>
      <xdr:sp macro="" textlink="">
        <xdr:nvSpPr>
          <xdr:cNvPr id="5" name="Forme libre : forme 112" descr="Flèche">
            <a:extLst>
              <a:ext uri="{FF2B5EF4-FFF2-40B4-BE49-F238E27FC236}">
                <a16:creationId xmlns:a16="http://schemas.microsoft.com/office/drawing/2014/main" id="{9DB5076A-64AE-4191-987F-9D6E23DEED7C}"/>
              </a:ext>
            </a:extLst>
          </xdr:cNvPr>
          <xdr:cNvSpPr/>
        </xdr:nvSpPr>
        <xdr:spPr>
          <a:xfrm rot="5774257" flipV="1">
            <a:off x="8493485" y="14953166"/>
            <a:ext cx="341830" cy="1265475"/>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342900</xdr:colOff>
      <xdr:row>0</xdr:row>
      <xdr:rowOff>352424</xdr:rowOff>
    </xdr:from>
    <xdr:to>
      <xdr:col>1</xdr:col>
      <xdr:colOff>5229225</xdr:colOff>
      <xdr:row>19</xdr:row>
      <xdr:rowOff>171449</xdr:rowOff>
    </xdr:to>
    <xdr:grpSp>
      <xdr:nvGrpSpPr>
        <xdr:cNvPr id="6" name="Groupe 1">
          <a:extLst>
            <a:ext uri="{FF2B5EF4-FFF2-40B4-BE49-F238E27FC236}">
              <a16:creationId xmlns:a16="http://schemas.microsoft.com/office/drawing/2014/main" id="{7BA09B5D-50B9-452C-B3E3-A237CF154E28}"/>
            </a:ext>
          </a:extLst>
        </xdr:cNvPr>
        <xdr:cNvGrpSpPr/>
      </xdr:nvGrpSpPr>
      <xdr:grpSpPr>
        <a:xfrm>
          <a:off x="342900" y="352424"/>
          <a:ext cx="5734050" cy="4314825"/>
          <a:chOff x="342900" y="352424"/>
          <a:chExt cx="5734050" cy="4325640"/>
        </a:xfrm>
      </xdr:grpSpPr>
      <xdr:sp macro="" textlink="">
        <xdr:nvSpPr>
          <xdr:cNvPr id="7" name="txt_ArrièrePlanVisiteGuidée" descr="Arrière-plan">
            <a:extLst>
              <a:ext uri="{FF2B5EF4-FFF2-40B4-BE49-F238E27FC236}">
                <a16:creationId xmlns:a16="http://schemas.microsoft.com/office/drawing/2014/main" id="{35DBBED7-4724-4D51-B2C6-9EA20B5BA2A8}"/>
              </a:ext>
            </a:extLst>
          </xdr:cNvPr>
          <xdr:cNvSpPr/>
        </xdr:nvSpPr>
        <xdr:spPr>
          <a:xfrm>
            <a:off x="342900" y="352424"/>
            <a:ext cx="5734050" cy="432564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8" name="txt_EnTêteVisiteGuidée" descr="Fonctions de date">
            <a:extLst>
              <a:ext uri="{FF2B5EF4-FFF2-40B4-BE49-F238E27FC236}">
                <a16:creationId xmlns:a16="http://schemas.microsoft.com/office/drawing/2014/main" id="{C3159A35-F47C-4B14-9928-C206273E0C94}"/>
              </a:ext>
            </a:extLst>
          </xdr:cNvPr>
          <xdr:cNvSpPr txBox="1"/>
        </xdr:nvSpPr>
        <xdr:spPr>
          <a:xfrm>
            <a:off x="546103" y="446746"/>
            <a:ext cx="5251444"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de date</a:t>
            </a:r>
            <a:endParaRPr kumimoji="0" lang="en-US"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Courier New" panose="02070309020205020404" pitchFamily="49" charset="0"/>
            </a:endParaRPr>
          </a:p>
        </xdr:txBody>
      </xdr:sp>
      <xdr:cxnSp macro="">
        <xdr:nvCxnSpPr>
          <xdr:cNvPr id="9" name="txt_VisiteGuidéeLigne1" descr="Ligne décorative">
            <a:extLst>
              <a:ext uri="{FF2B5EF4-FFF2-40B4-BE49-F238E27FC236}">
                <a16:creationId xmlns:a16="http://schemas.microsoft.com/office/drawing/2014/main" id="{63AE89CD-930C-4846-B895-4DDD4B7F775E}"/>
              </a:ext>
            </a:extLst>
          </xdr:cNvPr>
          <xdr:cNvCxnSpPr>
            <a:cxnSpLocks/>
          </xdr:cNvCxnSpPr>
        </xdr:nvCxnSpPr>
        <xdr:spPr>
          <a:xfrm>
            <a:off x="546103" y="1012677"/>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10" name="txt_VisiteGuidéeLigne2" descr="Ligne décorative">
            <a:extLst>
              <a:ext uri="{FF2B5EF4-FFF2-40B4-BE49-F238E27FC236}">
                <a16:creationId xmlns:a16="http://schemas.microsoft.com/office/drawing/2014/main" id="{97E0AEC9-BDDF-4FAB-B1D8-B9F9B52AD031}"/>
              </a:ext>
            </a:extLst>
          </xdr:cNvPr>
          <xdr:cNvCxnSpPr>
            <a:cxnSpLocks/>
          </xdr:cNvCxnSpPr>
        </xdr:nvCxnSpPr>
        <xdr:spPr>
          <a:xfrm>
            <a:off x="546103" y="4473266"/>
            <a:ext cx="5248248"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11" name="txt_IntroVisiteGuidée" descr="Excel peut vous donner la date actuelle, telle que définie dans les paramètres régionaux de votre ordinateur. Vous pouvez également ajouter et soustraire des dates.">
            <a:extLst>
              <a:ext uri="{FF2B5EF4-FFF2-40B4-BE49-F238E27FC236}">
                <a16:creationId xmlns:a16="http://schemas.microsoft.com/office/drawing/2014/main" id="{2AD6D52C-9F40-402B-BE85-6B2FBDDBB8E1}"/>
              </a:ext>
            </a:extLst>
          </xdr:cNvPr>
          <xdr:cNvSpPr txBox="1"/>
        </xdr:nvSpPr>
        <xdr:spPr>
          <a:xfrm>
            <a:off x="581188" y="1045767"/>
            <a:ext cx="5251444" cy="481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Excel peut vous donner la date actuelle, telle que définie dans les paramètres régionaux de votre ordinateur. Vous pouvez également ajouter et soustraire des dates.</a:t>
            </a:r>
          </a:p>
        </xdr:txBody>
      </xdr:sp>
      <xdr:grpSp>
        <xdr:nvGrpSpPr>
          <xdr:cNvPr id="12" name="grp_Étape">
            <a:extLst>
              <a:ext uri="{FF2B5EF4-FFF2-40B4-BE49-F238E27FC236}">
                <a16:creationId xmlns:a16="http://schemas.microsoft.com/office/drawing/2014/main" id="{591A1059-0C3F-48AE-B25F-E39D192C0918}"/>
              </a:ext>
            </a:extLst>
          </xdr:cNvPr>
          <xdr:cNvGrpSpPr/>
        </xdr:nvGrpSpPr>
        <xdr:grpSpPr>
          <a:xfrm>
            <a:off x="561975" y="1578605"/>
            <a:ext cx="5229226" cy="893667"/>
            <a:chOff x="600549" y="7810500"/>
            <a:chExt cx="4969010" cy="902463"/>
          </a:xfrm>
        </xdr:grpSpPr>
        <xdr:sp macro="" textlink="">
          <xdr:nvSpPr>
            <xdr:cNvPr id="19" name="txt_Étape" descr="La fonction AUJOURDHUI renvoie la date du jour. Il s’agit d’une fonction dite « volatile » car elle est quotidiennement mise à jour. Ainsi, en rouvrant votre classeur demain, vous y verrez la date de demain. Dans la cellule D6, entrez =AUJOURDHUI().">
              <a:extLst>
                <a:ext uri="{FF2B5EF4-FFF2-40B4-BE49-F238E27FC236}">
                  <a16:creationId xmlns:a16="http://schemas.microsoft.com/office/drawing/2014/main" id="{724B07B4-C415-49A0-A244-FC32FE504A07}"/>
                </a:ext>
              </a:extLst>
            </xdr:cNvPr>
            <xdr:cNvSpPr txBox="1"/>
          </xdr:nvSpPr>
          <xdr:spPr>
            <a:xfrm>
              <a:off x="1017295" y="7852458"/>
              <a:ext cx="4552264" cy="86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La fonction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AUJOURDHUI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renvoie la date du jour. Il s’agit d’une fonction dite « volatile » car elle est quotidiennement mise à jour. Ainsi, en rouvrant votre classeur demain, vous y verrez la date de demain. Dans la cellule D6,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=AUJOURDHUI()</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20" name="shp_Étape" descr="1">
              <a:extLst>
                <a:ext uri="{FF2B5EF4-FFF2-40B4-BE49-F238E27FC236}">
                  <a16:creationId xmlns:a16="http://schemas.microsoft.com/office/drawing/2014/main" id="{D71803D3-5019-4B43-B003-A8A8F2244EA1}"/>
                </a:ext>
              </a:extLst>
            </xdr:cNvPr>
            <xdr:cNvSpPr/>
          </xdr:nvSpPr>
          <xdr:spPr>
            <a:xfrm>
              <a:off x="600549" y="7810500"/>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13" name="grp_Étape" descr="Soustraire des dates : entrez la date de votre prochain anniversaire au format JJ/MM/AA et Excel indiquera le nombre de jours restants en utilisant la formule =D7-D6.&#10;">
            <a:extLst>
              <a:ext uri="{FF2B5EF4-FFF2-40B4-BE49-F238E27FC236}">
                <a16:creationId xmlns:a16="http://schemas.microsoft.com/office/drawing/2014/main" id="{080251E9-8B79-4E5F-89F7-02836C303755}"/>
              </a:ext>
            </a:extLst>
          </xdr:cNvPr>
          <xdr:cNvGrpSpPr/>
        </xdr:nvGrpSpPr>
        <xdr:grpSpPr>
          <a:xfrm>
            <a:off x="561975" y="2533960"/>
            <a:ext cx="5200650" cy="778616"/>
            <a:chOff x="609600" y="7930789"/>
            <a:chExt cx="4950496" cy="754508"/>
          </a:xfrm>
        </xdr:grpSpPr>
        <xdr:sp macro="" textlink="">
          <xdr:nvSpPr>
            <xdr:cNvPr id="17" name="txt_Étape" descr="Soustraire des dates : entrez la date de votre prochain anniversaire au format JJ/MM/AA dans la cellule D7 et Excel indiquera le nombre de jours restants dans la cellule D8 en utilisant la formule =D7-D6.&#10;&#10;">
              <a:extLst>
                <a:ext uri="{FF2B5EF4-FFF2-40B4-BE49-F238E27FC236}">
                  <a16:creationId xmlns:a16="http://schemas.microsoft.com/office/drawing/2014/main" id="{E998424B-FA48-44C3-83BF-CD2C8CF8B41F}"/>
                </a:ext>
              </a:extLst>
            </xdr:cNvPr>
            <xdr:cNvSpPr txBox="1"/>
          </xdr:nvSpPr>
          <xdr:spPr>
            <a:xfrm>
              <a:off x="1017295" y="7972747"/>
              <a:ext cx="4542801" cy="71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Soustraire des dates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entrez la date de votre prochain anniversaire au format JJ/MM/AA dans la cellule D7 et Excel indiquera le nombre de jours restants dans la cellule D8 en utilisant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=D7-D6</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8" name="shp_Étape" descr="2">
              <a:extLst>
                <a:ext uri="{FF2B5EF4-FFF2-40B4-BE49-F238E27FC236}">
                  <a16:creationId xmlns:a16="http://schemas.microsoft.com/office/drawing/2014/main" id="{20B09455-5913-4EE2-9B71-223BA7C86963}"/>
                </a:ext>
              </a:extLst>
            </xdr:cNvPr>
            <xdr:cNvSpPr/>
          </xdr:nvSpPr>
          <xdr:spPr>
            <a:xfrm>
              <a:off x="609600" y="7930789"/>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14" name="grp_Étape">
            <a:extLst>
              <a:ext uri="{FF2B5EF4-FFF2-40B4-BE49-F238E27FC236}">
                <a16:creationId xmlns:a16="http://schemas.microsoft.com/office/drawing/2014/main" id="{1D28B32F-93C8-4F7D-A9A3-A366002CD8B0}"/>
              </a:ext>
            </a:extLst>
          </xdr:cNvPr>
          <xdr:cNvGrpSpPr/>
        </xdr:nvGrpSpPr>
        <xdr:grpSpPr>
          <a:xfrm>
            <a:off x="561977" y="3315436"/>
            <a:ext cx="5248273" cy="1314888"/>
            <a:chOff x="627640" y="8101863"/>
            <a:chExt cx="4969762" cy="1294212"/>
          </a:xfrm>
        </xdr:grpSpPr>
        <xdr:sp macro="" textlink="">
          <xdr:nvSpPr>
            <xdr:cNvPr id="15" name="txt_Étape" descr="Ajouter des dates : supposons que vous voulez connaître la date d’échéance d’une facture ou savoir quand vous devez rendre un livre à la bibliothèque. Vous pouvez ajouter des jours à une date. Dans la cellule D10, entrez un nombre de jours aléatoire. Nous avons entré la formule =D6+D10 dans la cellule D11 pour calculer la date d’échéance à partir d’aujourd'hui.">
              <a:extLst>
                <a:ext uri="{FF2B5EF4-FFF2-40B4-BE49-F238E27FC236}">
                  <a16:creationId xmlns:a16="http://schemas.microsoft.com/office/drawing/2014/main" id="{45FA3D66-F25F-41D0-BC07-51DD349DE50D}"/>
                </a:ext>
              </a:extLst>
            </xdr:cNvPr>
            <xdr:cNvSpPr txBox="1"/>
          </xdr:nvSpPr>
          <xdr:spPr>
            <a:xfrm>
              <a:off x="1017295" y="8143824"/>
              <a:ext cx="4580107" cy="1252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Ajouter des dates</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supposons que vous voulez connaître la date d’échéance d’une facture ou savoir quand vous devez rendre un livre à la bibliothèque. Vous pouvez ajouter des jours à une date. Dans la cellule D10, entrez un nombre de jours aléatoire. Nous avons entré la formule </a:t>
              </a:r>
              <a:r>
                <a:rPr lang="fr" sz="1100" b="1"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=D6+D10 </a:t>
              </a:r>
              <a:r>
                <a:rPr lang="fr"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D11 pour calculer la date d’échéance à partir d’aujourd’hui.</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16" name="shp_Étape" descr="3">
              <a:extLst>
                <a:ext uri="{FF2B5EF4-FFF2-40B4-BE49-F238E27FC236}">
                  <a16:creationId xmlns:a16="http://schemas.microsoft.com/office/drawing/2014/main" id="{C47503C1-E227-4DB0-B32A-AAF22279C777}"/>
                </a:ext>
              </a:extLst>
            </xdr:cNvPr>
            <xdr:cNvSpPr/>
          </xdr:nvSpPr>
          <xdr:spPr>
            <a:xfrm>
              <a:off x="627640" y="8101863"/>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clientData/>
  </xdr:twoCellAnchor>
  <xdr:twoCellAnchor editAs="absolute">
    <xdr:from>
      <xdr:col>0</xdr:col>
      <xdr:colOff>342900</xdr:colOff>
      <xdr:row>20</xdr:row>
      <xdr:rowOff>104775</xdr:rowOff>
    </xdr:from>
    <xdr:to>
      <xdr:col>1</xdr:col>
      <xdr:colOff>5229225</xdr:colOff>
      <xdr:row>67</xdr:row>
      <xdr:rowOff>19050</xdr:rowOff>
    </xdr:to>
    <xdr:grpSp>
      <xdr:nvGrpSpPr>
        <xdr:cNvPr id="21" name="Groupe 20">
          <a:extLst>
            <a:ext uri="{FF2B5EF4-FFF2-40B4-BE49-F238E27FC236}">
              <a16:creationId xmlns:a16="http://schemas.microsoft.com/office/drawing/2014/main" id="{D0367A1A-4B6D-4DDA-A6E2-B253273D3181}"/>
            </a:ext>
          </a:extLst>
        </xdr:cNvPr>
        <xdr:cNvGrpSpPr/>
      </xdr:nvGrpSpPr>
      <xdr:grpSpPr>
        <a:xfrm>
          <a:off x="342900" y="4791075"/>
          <a:ext cx="5734050" cy="8905875"/>
          <a:chOff x="342900" y="4248150"/>
          <a:chExt cx="5734050" cy="9157338"/>
        </a:xfrm>
      </xdr:grpSpPr>
      <xdr:grpSp>
        <xdr:nvGrpSpPr>
          <xdr:cNvPr id="22" name="Groupe 119">
            <a:extLst>
              <a:ext uri="{FF2B5EF4-FFF2-40B4-BE49-F238E27FC236}">
                <a16:creationId xmlns:a16="http://schemas.microsoft.com/office/drawing/2014/main" id="{DB182155-A67F-4760-8A91-B54AD2C03FCC}"/>
              </a:ext>
            </a:extLst>
          </xdr:cNvPr>
          <xdr:cNvGrpSpPr/>
        </xdr:nvGrpSpPr>
        <xdr:grpSpPr>
          <a:xfrm>
            <a:off x="342900" y="4248150"/>
            <a:ext cx="5734050" cy="9157338"/>
            <a:chOff x="352425" y="4591050"/>
            <a:chExt cx="5734050" cy="8780145"/>
          </a:xfrm>
        </xdr:grpSpPr>
        <xdr:sp macro="" textlink="">
          <xdr:nvSpPr>
            <xdr:cNvPr id="25" name="txt_ArrièrePlanVisiteGuidée" descr="Arrière-plan">
              <a:extLst>
                <a:ext uri="{FF2B5EF4-FFF2-40B4-BE49-F238E27FC236}">
                  <a16:creationId xmlns:a16="http://schemas.microsoft.com/office/drawing/2014/main" id="{395BFF71-D236-4951-8076-5D8BD490DDA1}"/>
                </a:ext>
              </a:extLst>
            </xdr:cNvPr>
            <xdr:cNvSpPr/>
          </xdr:nvSpPr>
          <xdr:spPr>
            <a:xfrm>
              <a:off x="352425" y="4591050"/>
              <a:ext cx="5734050" cy="8780145"/>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2200">
                <a:solidFill>
                  <a:sysClr val="windowText" lastClr="000000"/>
                </a:solidFill>
                <a:latin typeface="Segoe UI Light" panose="020B0502040204020203" pitchFamily="34" charset="0"/>
                <a:cs typeface="Segoe UI Light" panose="020B0502040204020203" pitchFamily="34" charset="0"/>
              </a:endParaRPr>
            </a:p>
          </xdr:txBody>
        </xdr:sp>
        <xdr:sp macro="" textlink="">
          <xdr:nvSpPr>
            <xdr:cNvPr id="26" name="txt_EnTêteVisiteGuidée" descr="Fonctions d’heure">
              <a:extLst>
                <a:ext uri="{FF2B5EF4-FFF2-40B4-BE49-F238E27FC236}">
                  <a16:creationId xmlns:a16="http://schemas.microsoft.com/office/drawing/2014/main" id="{08A927DE-6E4B-4A5C-9C00-071DDEB0281C}"/>
                </a:ext>
              </a:extLst>
            </xdr:cNvPr>
            <xdr:cNvSpPr txBox="1"/>
          </xdr:nvSpPr>
          <xdr:spPr>
            <a:xfrm>
              <a:off x="589309" y="4691062"/>
              <a:ext cx="5222183" cy="48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Fonctions d’heure</a:t>
              </a:r>
            </a:p>
          </xdr:txBody>
        </xdr:sp>
        <xdr:cxnSp macro="">
          <xdr:nvCxnSpPr>
            <xdr:cNvPr id="27" name="txt_VisiteGuidéeLigne1" descr="Ligne décorative">
              <a:extLst>
                <a:ext uri="{FF2B5EF4-FFF2-40B4-BE49-F238E27FC236}">
                  <a16:creationId xmlns:a16="http://schemas.microsoft.com/office/drawing/2014/main" id="{FE5C1201-115C-46D6-A392-8E8778BDA9B5}"/>
                </a:ext>
              </a:extLst>
            </xdr:cNvPr>
            <xdr:cNvCxnSpPr>
              <a:cxnSpLocks/>
            </xdr:cNvCxnSpPr>
          </xdr:nvCxnSpPr>
          <xdr:spPr>
            <a:xfrm>
              <a:off x="589309" y="5262563"/>
              <a:ext cx="5218793"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28" name="txt_VisiteGuidéeLigne2" descr="Ligne décorative">
              <a:extLst>
                <a:ext uri="{FF2B5EF4-FFF2-40B4-BE49-F238E27FC236}">
                  <a16:creationId xmlns:a16="http://schemas.microsoft.com/office/drawing/2014/main" id="{0B5A287F-BD35-46D7-B786-F17306E369A0}"/>
                </a:ext>
              </a:extLst>
            </xdr:cNvPr>
            <xdr:cNvCxnSpPr>
              <a:cxnSpLocks/>
            </xdr:cNvCxnSpPr>
          </xdr:nvCxnSpPr>
          <xdr:spPr>
            <a:xfrm>
              <a:off x="589309" y="12777748"/>
              <a:ext cx="5218793"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txt_IntroVisiteGuidée" descr="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
              <a:extLst>
                <a:ext uri="{FF2B5EF4-FFF2-40B4-BE49-F238E27FC236}">
                  <a16:creationId xmlns:a16="http://schemas.microsoft.com/office/drawing/2014/main" id="{CD8B0D1B-FF3C-4303-A259-9FE849837386}"/>
                </a:ext>
              </a:extLst>
            </xdr:cNvPr>
            <xdr:cNvSpPr txBox="1"/>
          </xdr:nvSpPr>
          <xdr:spPr>
            <a:xfrm>
              <a:off x="586111" y="5294307"/>
              <a:ext cx="5222183" cy="902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rPr>
                <a:t>Excel peut vous donner l’heure actuelle, telle que définie dans les paramètres régionaux de votre ordinateur. Vous pouvez également ajouter ou soustraire des heures. Par exemple, vous pouvez suivre le nombre d’heures de travail hebdomadaires d’un employé pour calculer son salaire et ses heures supplémentaires.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20" normalizeH="0" baseline="0">
                <a:ln>
                  <a:noFill/>
                </a:ln>
                <a:solidFill>
                  <a:schemeClr val="bg2">
                    <a:lumMod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grpSp>
          <xdr:nvGrpSpPr>
            <xdr:cNvPr id="30" name="Groupe 29">
              <a:extLst>
                <a:ext uri="{FF2B5EF4-FFF2-40B4-BE49-F238E27FC236}">
                  <a16:creationId xmlns:a16="http://schemas.microsoft.com/office/drawing/2014/main" id="{22BB60BC-FD76-4A16-9EB4-0BAAEF9455B0}"/>
                </a:ext>
              </a:extLst>
            </xdr:cNvPr>
            <xdr:cNvGrpSpPr/>
          </xdr:nvGrpSpPr>
          <xdr:grpSpPr>
            <a:xfrm>
              <a:off x="581025" y="6311988"/>
              <a:ext cx="5206583" cy="6345795"/>
              <a:chOff x="7200900" y="1358988"/>
              <a:chExt cx="5206583" cy="6345795"/>
            </a:xfrm>
          </xdr:grpSpPr>
          <xdr:grpSp>
            <xdr:nvGrpSpPr>
              <xdr:cNvPr id="31" name="grp_Étape">
                <a:extLst>
                  <a:ext uri="{FF2B5EF4-FFF2-40B4-BE49-F238E27FC236}">
                    <a16:creationId xmlns:a16="http://schemas.microsoft.com/office/drawing/2014/main" id="{4F179104-0A67-42A4-9541-79250DAA3CC5}"/>
                  </a:ext>
                </a:extLst>
              </xdr:cNvPr>
              <xdr:cNvGrpSpPr/>
            </xdr:nvGrpSpPr>
            <xdr:grpSpPr>
              <a:xfrm>
                <a:off x="7200900" y="1358988"/>
                <a:ext cx="5206583" cy="842675"/>
                <a:chOff x="495420" y="8026488"/>
                <a:chExt cx="5201275" cy="842675"/>
              </a:xfrm>
            </xdr:grpSpPr>
            <xdr:sp macro="" textlink="">
              <xdr:nvSpPr>
                <xdr:cNvPr id="53" name="txt_Étape" descr="Dans la cellule D28, entrez =MAINTENANT(). Cette fonction renvoie l’heure actuelle et se met à jour à chaque calcul d’Excel. Pour changer le format d’heure, accédez à Ctrl+1 &gt; Nombre &gt; Heure &gt; et sélectionnez le format souhaité.">
                  <a:extLst>
                    <a:ext uri="{FF2B5EF4-FFF2-40B4-BE49-F238E27FC236}">
                      <a16:creationId xmlns:a16="http://schemas.microsoft.com/office/drawing/2014/main" id="{BA55AC9A-E999-4F58-9D4E-E3250081D452}"/>
                    </a:ext>
                  </a:extLst>
                </xdr:cNvPr>
                <xdr:cNvSpPr txBox="1"/>
              </xdr:nvSpPr>
              <xdr:spPr>
                <a:xfrm>
                  <a:off x="918156" y="8068444"/>
                  <a:ext cx="4778539" cy="800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Dans la cellule D28, entrez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=MAINTENANT()</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Cette fonction renvoie l’heure actuelle et se met à jour à chaque calcul d’Excel. Pour changer le format d’heure,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Ctrl+1</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Heure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&gt; et sélectionnez le format souhaité.</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4" name="shp_Étape" descr="1">
                  <a:extLst>
                    <a:ext uri="{FF2B5EF4-FFF2-40B4-BE49-F238E27FC236}">
                      <a16:creationId xmlns:a16="http://schemas.microsoft.com/office/drawing/2014/main" id="{0D8EB495-E1C9-48D2-9101-DA125B496EF5}"/>
                    </a:ext>
                  </a:extLst>
                </xdr:cNvPr>
                <xdr:cNvSpPr/>
              </xdr:nvSpPr>
              <xdr:spPr>
                <a:xfrm>
                  <a:off x="495420" y="8026488"/>
                  <a:ext cx="372191" cy="366863"/>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1</a:t>
                  </a:r>
                </a:p>
              </xdr:txBody>
            </xdr:sp>
          </xdr:grpSp>
          <xdr:grpSp>
            <xdr:nvGrpSpPr>
              <xdr:cNvPr id="32" name="grp_Étape">
                <a:extLst>
                  <a:ext uri="{FF2B5EF4-FFF2-40B4-BE49-F238E27FC236}">
                    <a16:creationId xmlns:a16="http://schemas.microsoft.com/office/drawing/2014/main" id="{FE509E02-E1F8-4FCF-A34B-16C7CFCE645F}"/>
                  </a:ext>
                </a:extLst>
              </xdr:cNvPr>
              <xdr:cNvGrpSpPr/>
            </xdr:nvGrpSpPr>
            <xdr:grpSpPr>
              <a:xfrm>
                <a:off x="7200900" y="2267207"/>
                <a:ext cx="5159775" cy="1530847"/>
                <a:chOff x="525612" y="7824441"/>
                <a:chExt cx="5511381" cy="1465279"/>
              </a:xfrm>
            </xdr:grpSpPr>
            <xdr:sp macro="" textlink="">
              <xdr:nvSpPr>
                <xdr:cNvPr id="51" name="txt_Étape" descr="Additionner des heures : à la cellule D36, nous avons entré la formule =((D35-D32)-(D34-D33))*24, qui calcule les heures de début et de fin d’un employé, puis soustrait le temps qu’il a pris pour déjeuner. En fin de formule, *24 convertit en heures la fraction de la journée prise en compte par Excel. Toutefois, il vous faudra mettre en forme la cellule en tant que nombre. Pour ce faire, accédez à Accueil &gt; Format &gt; Cellules (Ctrl+1) &gt; Nombre &gt; Nombre &gt; 2 décimales.">
                  <a:extLst>
                    <a:ext uri="{FF2B5EF4-FFF2-40B4-BE49-F238E27FC236}">
                      <a16:creationId xmlns:a16="http://schemas.microsoft.com/office/drawing/2014/main" id="{F447829B-1DD6-4846-8F07-B5B4320FE311}"/>
                    </a:ext>
                  </a:extLst>
                </xdr:cNvPr>
                <xdr:cNvSpPr txBox="1"/>
              </xdr:nvSpPr>
              <xdr:spPr>
                <a:xfrm>
                  <a:off x="977615" y="7864387"/>
                  <a:ext cx="5059378" cy="1425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Additionner des heures</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 à la cellule D36, nous avons entré la formule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=((D35-D32)-(D34-D33))*24</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qui calcule les heures de début et de fin d’un employé, puis soustrait le temps qu’il a pris pour déjeuner. En fin de formule, *24 convertit en heures la fraction de la journée prise en compte par Excel. Mais vous allez devoir sélectionner le format Nombre pour la cellule. Pour ce faire, accédez à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Accueil</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Format de cellule </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Ctrl+1</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a:t>
                  </a:r>
                  <a:r>
                    <a:rPr lang="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Nombre</a:t>
                  </a:r>
                  <a:r>
                    <a:rPr lang="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 &gt; 2 décimales.</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2" name="shp_Étape" descr="2">
                  <a:extLst>
                    <a:ext uri="{FF2B5EF4-FFF2-40B4-BE49-F238E27FC236}">
                      <a16:creationId xmlns:a16="http://schemas.microsoft.com/office/drawing/2014/main" id="{71140C78-34AF-49E6-87F0-62C10FBBAD31}"/>
                    </a:ext>
                  </a:extLst>
                </xdr:cNvPr>
                <xdr:cNvSpPr/>
              </xdr:nvSpPr>
              <xdr:spPr>
                <a:xfrm>
                  <a:off x="525612" y="7824441"/>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2</a:t>
                  </a:r>
                </a:p>
              </xdr:txBody>
            </xdr:sp>
          </xdr:grpSp>
          <xdr:grpSp>
            <xdr:nvGrpSpPr>
              <xdr:cNvPr id="33" name="grp_Étape">
                <a:extLst>
                  <a:ext uri="{FF2B5EF4-FFF2-40B4-BE49-F238E27FC236}">
                    <a16:creationId xmlns:a16="http://schemas.microsoft.com/office/drawing/2014/main" id="{C43279C6-CEF3-4A16-B9BF-5783B65270DF}"/>
                  </a:ext>
                </a:extLst>
              </xdr:cNvPr>
              <xdr:cNvGrpSpPr/>
            </xdr:nvGrpSpPr>
            <xdr:grpSpPr>
              <a:xfrm>
                <a:off x="7200900" y="3720951"/>
                <a:ext cx="5159775" cy="1279067"/>
                <a:chOff x="525612" y="7959265"/>
                <a:chExt cx="5511381" cy="1224283"/>
              </a:xfrm>
            </xdr:grpSpPr>
            <xdr:sp macro="" textlink="">
              <xdr:nvSpPr>
                <xdr:cNvPr id="49" name="txt_Étape" descr="Si cette formule pouvait parler, elle dirait ceci : « Prendre l’Heure d’arrivée et l’Heure de départ, puis soustraire les heures de Début de déjeuner/Fin de déjeuner, et multiplier celles-ci par 24 pour convertir le temps fractionné d’Excel en heures », ou =((Heure d’arrivée-Heure de départ)-(Début du déjeuner-Fin du déjeuner))*24.">
                  <a:extLst>
                    <a:ext uri="{FF2B5EF4-FFF2-40B4-BE49-F238E27FC236}">
                      <a16:creationId xmlns:a16="http://schemas.microsoft.com/office/drawing/2014/main" id="{D7A2829E-242F-4DF7-87D2-A69617A9980A}"/>
                    </a:ext>
                  </a:extLst>
                </xdr:cNvPr>
                <xdr:cNvSpPr txBox="1"/>
              </xdr:nvSpPr>
              <xdr:spPr>
                <a:xfrm>
                  <a:off x="977615" y="7999212"/>
                  <a:ext cx="5059378" cy="1184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Si cette formule pouvait parler, elle dirait ceci : « Prendre l’Heure d’arrivée et l’Heure de départ, puis soustraire les heures de Début de déjeuner/Fin de déjeuner, et multiplier celles-ci par 24 pour convertir le temps fractionné d’Excel en heures », ou </a:t>
                  </a:r>
                  <a:r>
                    <a:rPr lang="fr-FR" sz="1100" b="1"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=((Heure de départ-Heure d’arrivée)-(Fin du déjeuner-Début du déjeuner))*24</a:t>
                  </a:r>
                  <a:r>
                    <a:rPr lang="fr-FR"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rPr>
                    <a:t>.</a:t>
                  </a:r>
                  <a:endParaRPr kumimoji="0" lang="en-US" sz="1100" b="0" i="0" u="none" strike="noStrike" kern="0" cap="none" spc="0" normalizeH="0" baseline="0">
                    <a:ln>
                      <a:noFill/>
                    </a:ln>
                    <a:solidFill>
                      <a:schemeClr val="tx1">
                        <a:lumMod val="75000"/>
                        <a:lumOff val="25000"/>
                      </a:schemeClr>
                    </a:solidFill>
                    <a:effectLst/>
                    <a:uLnTx/>
                    <a:uFillTx/>
                    <a:latin typeface="Segoe UI" panose="020B0502040204020203" pitchFamily="34" charset="0"/>
                    <a:ea typeface="Segoe UI" pitchFamily="34" charset="0"/>
                    <a:cs typeface="Segoe UI" panose="020B0502040204020203" pitchFamily="34" charset="0"/>
                  </a:endParaRPr>
                </a:p>
              </xdr:txBody>
            </xdr:sp>
            <xdr:sp macro="" textlink="">
              <xdr:nvSpPr>
                <xdr:cNvPr id="50" name="shp_Étape" descr="3">
                  <a:extLst>
                    <a:ext uri="{FF2B5EF4-FFF2-40B4-BE49-F238E27FC236}">
                      <a16:creationId xmlns:a16="http://schemas.microsoft.com/office/drawing/2014/main" id="{3F66F7F2-A1F7-448D-AA82-C5C5D4183C01}"/>
                    </a:ext>
                  </a:extLst>
                </xdr:cNvPr>
                <xdr:cNvSpPr/>
              </xdr:nvSpPr>
              <xdr:spPr>
                <a:xfrm>
                  <a:off x="525612" y="7959265"/>
                  <a:ext cx="394065" cy="349280"/>
                </a:xfrm>
                <a:prstGeom prst="ellipse">
                  <a:avLst/>
                </a:prstGeom>
                <a:solidFill>
                  <a:srgbClr val="21734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0"/>
                  <a:r>
                    <a:rPr lang="fr" sz="1600">
                      <a:latin typeface="Segoe UI Semibold" panose="020B0702040204020203" pitchFamily="34" charset="0"/>
                      <a:cs typeface="Segoe UI Semibold" panose="020B0702040204020203" pitchFamily="34" charset="0"/>
                    </a:rPr>
                    <a:t>3</a:t>
                  </a:r>
                </a:p>
              </xdr:txBody>
            </xdr:sp>
          </xdr:grpSp>
          <xdr:grpSp>
            <xdr:nvGrpSpPr>
              <xdr:cNvPr id="34" name="Groupe 129">
                <a:extLst>
                  <a:ext uri="{FF2B5EF4-FFF2-40B4-BE49-F238E27FC236}">
                    <a16:creationId xmlns:a16="http://schemas.microsoft.com/office/drawing/2014/main" id="{53B175B6-7D9D-4B19-BABF-2D9D3675E87C}"/>
                  </a:ext>
                </a:extLst>
              </xdr:cNvPr>
              <xdr:cNvGrpSpPr/>
            </xdr:nvGrpSpPr>
            <xdr:grpSpPr>
              <a:xfrm>
                <a:off x="7591424" y="4732978"/>
                <a:ext cx="4638679" cy="2971805"/>
                <a:chOff x="7493285" y="4742482"/>
                <a:chExt cx="4937260" cy="2819582"/>
              </a:xfrm>
            </xdr:grpSpPr>
            <xdr:sp macro="" textlink="">
              <xdr:nvSpPr>
                <xdr:cNvPr id="35" name="AccoladeInférieureFormule">
                  <a:extLst>
                    <a:ext uri="{FF2B5EF4-FFF2-40B4-BE49-F238E27FC236}">
                      <a16:creationId xmlns:a16="http://schemas.microsoft.com/office/drawing/2014/main" id="{38C3D257-5510-45CD-BD09-580B9606578C}"/>
                    </a:ext>
                  </a:extLst>
                </xdr:cNvPr>
                <xdr:cNvSpPr/>
              </xdr:nvSpPr>
              <xdr:spPr>
                <a:xfrm rot="16200000">
                  <a:off x="8913239" y="5809490"/>
                  <a:ext cx="478110" cy="493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36" name="AccoladeSupérieureFormule">
                  <a:extLst>
                    <a:ext uri="{FF2B5EF4-FFF2-40B4-BE49-F238E27FC236}">
                      <a16:creationId xmlns:a16="http://schemas.microsoft.com/office/drawing/2014/main" id="{F75D539A-2DE8-41EA-83C4-D07FC3A8597E}"/>
                    </a:ext>
                  </a:extLst>
                </xdr:cNvPr>
                <xdr:cNvSpPr/>
              </xdr:nvSpPr>
              <xdr:spPr>
                <a:xfrm rot="5400000">
                  <a:off x="11358058" y="5186932"/>
                  <a:ext cx="478111" cy="495300"/>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7" name="AccoladeSupérieureFormule">
                  <a:extLst>
                    <a:ext uri="{FF2B5EF4-FFF2-40B4-BE49-F238E27FC236}">
                      <a16:creationId xmlns:a16="http://schemas.microsoft.com/office/drawing/2014/main" id="{9A6CDE79-FFAB-4F7B-AB28-0EB64CAEBD8B}"/>
                    </a:ext>
                  </a:extLst>
                </xdr:cNvPr>
                <xdr:cNvSpPr/>
              </xdr:nvSpPr>
              <xdr:spPr>
                <a:xfrm rot="5400000">
                  <a:off x="8247254" y="5173917"/>
                  <a:ext cx="478111" cy="4927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38" name="txt_Formule" descr="=((D35-D32)-(D34-D33))*24&#10;">
                  <a:extLst>
                    <a:ext uri="{FF2B5EF4-FFF2-40B4-BE49-F238E27FC236}">
                      <a16:creationId xmlns:a16="http://schemas.microsoft.com/office/drawing/2014/main" id="{0BE63CF7-5BB2-4197-8A26-CBF10DB0143F}"/>
                    </a:ext>
                  </a:extLst>
                </xdr:cNvPr>
                <xdr:cNvSpPr txBox="1"/>
              </xdr:nvSpPr>
              <xdr:spPr>
                <a:xfrm>
                  <a:off x="7777163" y="5616932"/>
                  <a:ext cx="4181475" cy="336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marL="0" marR="0" rtl="0">
                    <a:spcBef>
                      <a:spcPts val="0"/>
                    </a:spcBef>
                    <a:spcAft>
                      <a:spcPts val="0"/>
                    </a:spcAft>
                  </a:pPr>
                  <a:r>
                    <a:rPr lang="fr" sz="2000">
                      <a:solidFill>
                        <a:srgbClr val="000000"/>
                      </a:solidFill>
                      <a:effectLst/>
                      <a:latin typeface="Courier New" panose="02070309020205020404" pitchFamily="49" charset="0"/>
                      <a:ea typeface="Times New Roman" panose="02020603050405020304" pitchFamily="18" charset="0"/>
                    </a:rPr>
                    <a:t>=((D35-D32)-(D34-D33))*24</a:t>
                  </a:r>
                  <a:endParaRPr lang="en-US" sz="2000">
                    <a:effectLst/>
                    <a:latin typeface="Courier New" panose="02070309020205020404" pitchFamily="49" charset="0"/>
                    <a:ea typeface="Times New Roman" panose="02020603050405020304" pitchFamily="18" charset="0"/>
                  </a:endParaRPr>
                </a:p>
              </xdr:txBody>
            </xdr:sp>
            <xdr:sp macro="" textlink="">
              <xdr:nvSpPr>
                <xdr:cNvPr id="39" name="txt_LégendeSupérieureFormule" descr="Heure de départ&#10;&#10;">
                  <a:extLst>
                    <a:ext uri="{FF2B5EF4-FFF2-40B4-BE49-F238E27FC236}">
                      <a16:creationId xmlns:a16="http://schemas.microsoft.com/office/drawing/2014/main" id="{CC8F3409-DFBA-481F-99A1-978B4B6BDC4B}"/>
                    </a:ext>
                  </a:extLst>
                </xdr:cNvPr>
                <xdr:cNvSpPr txBox="1">
                  <a:spLocks noChangeArrowheads="1"/>
                </xdr:cNvSpPr>
              </xdr:nvSpPr>
              <xdr:spPr bwMode="auto">
                <a:xfrm>
                  <a:off x="7857228" y="5033597"/>
                  <a:ext cx="1248016" cy="27432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Heure de départ</a:t>
                  </a:r>
                </a:p>
              </xdr:txBody>
            </xdr:sp>
            <xdr:sp macro="" textlink="">
              <xdr:nvSpPr>
                <xdr:cNvPr id="40" name="txt_LégendeSupérieureFormule" descr="*24 pour convertir la fraction de journée d’Excel en heures&#10;&#10;">
                  <a:extLst>
                    <a:ext uri="{FF2B5EF4-FFF2-40B4-BE49-F238E27FC236}">
                      <a16:creationId xmlns:a16="http://schemas.microsoft.com/office/drawing/2014/main" id="{90CFE26A-1D03-40C9-88E2-B5A6BAF3E52F}"/>
                    </a:ext>
                  </a:extLst>
                </xdr:cNvPr>
                <xdr:cNvSpPr txBox="1">
                  <a:spLocks noChangeArrowheads="1"/>
                </xdr:cNvSpPr>
              </xdr:nvSpPr>
              <xdr:spPr bwMode="auto">
                <a:xfrm>
                  <a:off x="10763670" y="4742482"/>
                  <a:ext cx="1666875" cy="572103"/>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*24 pour convertir la fraction de journée d’Excel en heures</a:t>
                  </a:r>
                </a:p>
              </xdr:txBody>
            </xdr:sp>
            <xdr:sp macro="" textlink="">
              <xdr:nvSpPr>
                <xdr:cNvPr id="41" name="txt_LégendeInférieureFormule" descr="Heure d’arrivée&#10;">
                  <a:extLst>
                    <a:ext uri="{FF2B5EF4-FFF2-40B4-BE49-F238E27FC236}">
                      <a16:creationId xmlns:a16="http://schemas.microsoft.com/office/drawing/2014/main" id="{B944ECDA-89F3-4841-A4AD-33A2E9054FB8}"/>
                    </a:ext>
                  </a:extLst>
                </xdr:cNvPr>
                <xdr:cNvSpPr txBox="1">
                  <a:spLocks noChangeArrowheads="1"/>
                </xdr:cNvSpPr>
              </xdr:nvSpPr>
              <xdr:spPr bwMode="auto">
                <a:xfrm>
                  <a:off x="8567925" y="6160215"/>
                  <a:ext cx="1165882" cy="27432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Heure d’arrivée</a:t>
                  </a:r>
                </a:p>
              </xdr:txBody>
            </xdr:sp>
            <xdr:sp macro="" textlink="">
              <xdr:nvSpPr>
                <xdr:cNvPr id="42" name="AccoladeInférieureFormule">
                  <a:extLst>
                    <a:ext uri="{FF2B5EF4-FFF2-40B4-BE49-F238E27FC236}">
                      <a16:creationId xmlns:a16="http://schemas.microsoft.com/office/drawing/2014/main" id="{A9E90F4E-DEA9-4A6C-BEE8-0454D111C0B2}"/>
                    </a:ext>
                  </a:extLst>
                </xdr:cNvPr>
                <xdr:cNvSpPr/>
              </xdr:nvSpPr>
              <xdr:spPr>
                <a:xfrm rot="16200000">
                  <a:off x="10541562" y="5823752"/>
                  <a:ext cx="478110" cy="493776"/>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3" name="AccoladeSupérieureFormule">
                  <a:extLst>
                    <a:ext uri="{FF2B5EF4-FFF2-40B4-BE49-F238E27FC236}">
                      <a16:creationId xmlns:a16="http://schemas.microsoft.com/office/drawing/2014/main" id="{F53BA383-D95E-49C8-9592-0773C63712F1}"/>
                    </a:ext>
                  </a:extLst>
                </xdr:cNvPr>
                <xdr:cNvSpPr/>
              </xdr:nvSpPr>
              <xdr:spPr>
                <a:xfrm rot="5400000">
                  <a:off x="9870149" y="5188184"/>
                  <a:ext cx="478111" cy="492754"/>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rtl="0"/>
                  <a:endParaRPr lang="en-US"/>
                </a:p>
              </xdr:txBody>
            </xdr:sp>
            <xdr:sp macro="" textlink="">
              <xdr:nvSpPr>
                <xdr:cNvPr id="44" name="txt_LégendeSupérieureFormule" descr="Lunch  Out&#10;">
                  <a:extLst>
                    <a:ext uri="{FF2B5EF4-FFF2-40B4-BE49-F238E27FC236}">
                      <a16:creationId xmlns:a16="http://schemas.microsoft.com/office/drawing/2014/main" id="{B14BC907-FE8F-4ABA-A85A-C991F503C303}"/>
                    </a:ext>
                  </a:extLst>
                </xdr:cNvPr>
                <xdr:cNvSpPr txBox="1">
                  <a:spLocks noChangeArrowheads="1"/>
                </xdr:cNvSpPr>
              </xdr:nvSpPr>
              <xdr:spPr bwMode="auto">
                <a:xfrm>
                  <a:off x="9500631" y="5047877"/>
                  <a:ext cx="1155743" cy="274320"/>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algn="ctr" rtl="0">
                    <a:lnSpc>
                      <a:spcPct val="107000"/>
                    </a:lnSpc>
                    <a:spcBef>
                      <a:spcPts val="0"/>
                    </a:spcBef>
                    <a:spcAft>
                      <a:spcPts val="800"/>
                    </a:spcAft>
                  </a:pPr>
                  <a:r>
                    <a:rPr lang="fr-FR" sz="1100">
                      <a:effectLst/>
                      <a:latin typeface="Calibri" panose="020F0502020204030204" pitchFamily="34" charset="0"/>
                      <a:ea typeface="Calibri" panose="020F0502020204030204" pitchFamily="34" charset="0"/>
                      <a:cs typeface="Times New Roman" panose="02020603050405020304" pitchFamily="18" charset="0"/>
                    </a:rPr>
                    <a:t>Fin du déjeuner</a:t>
                  </a:r>
                  <a:endParaRPr lang="fr"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45" name="txt_LégendeInférieureFormule" descr="Fin du déjeuner&#10;&#10;">
                  <a:extLst>
                    <a:ext uri="{FF2B5EF4-FFF2-40B4-BE49-F238E27FC236}">
                      <a16:creationId xmlns:a16="http://schemas.microsoft.com/office/drawing/2014/main" id="{CD94278D-8431-42BD-B192-B5A36A738136}"/>
                    </a:ext>
                  </a:extLst>
                </xdr:cNvPr>
                <xdr:cNvSpPr txBox="1">
                  <a:spLocks noChangeArrowheads="1"/>
                </xdr:cNvSpPr>
              </xdr:nvSpPr>
              <xdr:spPr bwMode="auto">
                <a:xfrm>
                  <a:off x="10114323" y="6174488"/>
                  <a:ext cx="1373374" cy="274320"/>
                </a:xfrm>
                <a:prstGeom prst="rect">
                  <a:avLst/>
                </a:prstGeom>
                <a:solidFill>
                  <a:srgbClr val="E2F0D9"/>
                </a:solidFill>
                <a:ln w="9525">
                  <a:noFill/>
                  <a:miter lim="800000"/>
                  <a:headEnd/>
                  <a:tailEnd/>
                </a:ln>
              </xdr:spPr>
              <xdr:txBody>
                <a:bodyPr rot="0" vert="horz" wrap="square" lIns="91440" tIns="45720" rIns="91440" bIns="45720" rtlCol="0" anchor="t" anchorCtr="0">
                  <a:noAutofit/>
                </a:bodyPr>
                <a:lstStyle/>
                <a:p>
                  <a:pPr rtl="0"/>
                  <a:r>
                    <a:rPr lang="fr-FR" sz="1100">
                      <a:effectLst/>
                      <a:latin typeface="+mn-lt"/>
                      <a:ea typeface="+mn-ea"/>
                      <a:cs typeface="+mn-cs"/>
                    </a:rPr>
                    <a:t>Début du déjeuner</a:t>
                  </a:r>
                  <a:endParaRPr lang="fr-FR">
                    <a:effectLst/>
                  </a:endParaRPr>
                </a:p>
              </xdr:txBody>
            </xdr:sp>
            <xdr:sp macro="" textlink="">
              <xdr:nvSpPr>
                <xdr:cNvPr id="46" name="AccoladeInférieureFormule">
                  <a:extLst>
                    <a:ext uri="{FF2B5EF4-FFF2-40B4-BE49-F238E27FC236}">
                      <a16:creationId xmlns:a16="http://schemas.microsoft.com/office/drawing/2014/main" id="{2344D351-016A-4151-B2F3-56EBF71CE8D6}"/>
                    </a:ext>
                  </a:extLst>
                </xdr:cNvPr>
                <xdr:cNvSpPr/>
              </xdr:nvSpPr>
              <xdr:spPr>
                <a:xfrm rot="16200000">
                  <a:off x="8659276" y="6206111"/>
                  <a:ext cx="478110" cy="123825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7" name="AccoladeInférieureFormule">
                  <a:extLst>
                    <a:ext uri="{FF2B5EF4-FFF2-40B4-BE49-F238E27FC236}">
                      <a16:creationId xmlns:a16="http://schemas.microsoft.com/office/drawing/2014/main" id="{40ECF97D-5617-472A-8304-1D8EE9184AD3}"/>
                    </a:ext>
                  </a:extLst>
                </xdr:cNvPr>
                <xdr:cNvSpPr/>
              </xdr:nvSpPr>
              <xdr:spPr>
                <a:xfrm rot="16200000">
                  <a:off x="10208905" y="6201349"/>
                  <a:ext cx="478110" cy="1238251"/>
                </a:xfrm>
                <a:prstGeom prst="leftBrace">
                  <a:avLst/>
                </a:prstGeom>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rtl="0"/>
                  <a:endParaRPr lang="en-US" sz="1100">
                    <a:solidFill>
                      <a:schemeClr val="tx1"/>
                    </a:solidFill>
                    <a:latin typeface="+mn-lt"/>
                    <a:ea typeface="+mn-ea"/>
                    <a:cs typeface="+mn-cs"/>
                  </a:endParaRPr>
                </a:p>
              </xdr:txBody>
            </xdr:sp>
            <xdr:sp macro="" textlink="">
              <xdr:nvSpPr>
                <xdr:cNvPr id="48" name="txt_LégendeInférieureFormule" descr="The inner parentheses () make sure Excel calculates those                                   parts of the formula by themselves. The outer parentheses make sure Excel multiplies the final inner result by 24.&#10;&#10;">
                  <a:extLst>
                    <a:ext uri="{FF2B5EF4-FFF2-40B4-BE49-F238E27FC236}">
                      <a16:creationId xmlns:a16="http://schemas.microsoft.com/office/drawing/2014/main" id="{8FCCA8D2-7029-4579-A1F8-1590521868BE}"/>
                    </a:ext>
                  </a:extLst>
                </xdr:cNvPr>
                <xdr:cNvSpPr txBox="1">
                  <a:spLocks noChangeArrowheads="1"/>
                </xdr:cNvSpPr>
              </xdr:nvSpPr>
              <xdr:spPr bwMode="auto">
                <a:xfrm>
                  <a:off x="7493285" y="6971939"/>
                  <a:ext cx="4772746" cy="590125"/>
                </a:xfrm>
                <a:prstGeom prst="rect">
                  <a:avLst/>
                </a:prstGeom>
                <a:solidFill>
                  <a:schemeClr val="accent1">
                    <a:lumMod val="20000"/>
                    <a:lumOff val="80000"/>
                  </a:schemeClr>
                </a:solidFill>
                <a:ln w="9525">
                  <a:noFill/>
                  <a:miter lim="800000"/>
                  <a:headEnd/>
                  <a:tailEnd/>
                </a:ln>
              </xdr:spPr>
              <xdr:txBody>
                <a:bodyPr rot="0" vert="horz" wrap="square" lIns="91440" tIns="45720" rIns="91440" bIns="45720" rtlCol="0" anchor="t" anchorCtr="0">
                  <a:noAutofit/>
                </a:bodyPr>
                <a:lstStyle/>
                <a:p>
                  <a:pPr marL="0" marR="0" indent="0" algn="ctr" rtl="0">
                    <a:lnSpc>
                      <a:spcPct val="107000"/>
                    </a:lnSpc>
                    <a:spcBef>
                      <a:spcPts val="0"/>
                    </a:spcBef>
                    <a:spcAft>
                      <a:spcPts val="800"/>
                    </a:spcAft>
                  </a:pPr>
                  <a:r>
                    <a:rPr lang="fr" sz="1100">
                      <a:effectLst/>
                      <a:latin typeface="Calibri" panose="020F0502020204030204" pitchFamily="34" charset="0"/>
                      <a:ea typeface="Calibri" panose="020F0502020204030204" pitchFamily="34" charset="0"/>
                      <a:cs typeface="Times New Roman" panose="02020603050405020304" pitchFamily="18" charset="0"/>
                    </a:rPr>
                    <a:t>Les parenthèses intérieures () indiquent à Excel de calculer séparément les portions correspondantes de la formule. Les parenthèses extérieures indiquent à Excel de multiplier</a:t>
                  </a:r>
                  <a:r>
                    <a:rPr lang="fr" sz="1100" baseline="0">
                      <a:effectLst/>
                      <a:latin typeface="Calibri" panose="020F0502020204030204" pitchFamily="34" charset="0"/>
                      <a:ea typeface="Calibri" panose="020F0502020204030204" pitchFamily="34" charset="0"/>
                      <a:cs typeface="Times New Roman" panose="02020603050405020304" pitchFamily="18" charset="0"/>
                    </a:rPr>
                    <a:t> le résultat final des calculs intérieurs par 24.</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grpSp>
      <xdr:sp macro="" textlink="">
        <xdr:nvSpPr>
          <xdr:cNvPr id="23" name="BoutonPrécédent" descr="Revenir à la feuille précédente">
            <a:hlinkClick xmlns:r="http://schemas.openxmlformats.org/officeDocument/2006/relationships" r:id="rId3" tooltip="Cliquez ici pour revenir à la feuille précédente"/>
            <a:extLst>
              <a:ext uri="{FF2B5EF4-FFF2-40B4-BE49-F238E27FC236}">
                <a16:creationId xmlns:a16="http://schemas.microsoft.com/office/drawing/2014/main" id="{5D07DFDF-0414-434F-B018-98A8A2A51838}"/>
              </a:ext>
            </a:extLst>
          </xdr:cNvPr>
          <xdr:cNvSpPr/>
        </xdr:nvSpPr>
        <xdr:spPr>
          <a:xfrm flipH="1">
            <a:off x="609600" y="12937150"/>
            <a:ext cx="1275170" cy="335450"/>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Précédent</a:t>
            </a:r>
          </a:p>
        </xdr:txBody>
      </xdr:sp>
      <xdr:sp macro="" textlink="">
        <xdr:nvSpPr>
          <xdr:cNvPr id="24" name="BoutonSuivant" descr="Passer à la feuille suivante">
            <a:hlinkClick xmlns:r="http://schemas.openxmlformats.org/officeDocument/2006/relationships" r:id="rId4" tooltip="Cliquez ici pour passer à la feuille suivante"/>
            <a:extLst>
              <a:ext uri="{FF2B5EF4-FFF2-40B4-BE49-F238E27FC236}">
                <a16:creationId xmlns:a16="http://schemas.microsoft.com/office/drawing/2014/main" id="{4845D37F-D262-45D8-AEEC-79579891A843}"/>
              </a:ext>
            </a:extLst>
          </xdr:cNvPr>
          <xdr:cNvSpPr/>
        </xdr:nvSpPr>
        <xdr:spPr>
          <a:xfrm>
            <a:off x="4532361" y="12937147"/>
            <a:ext cx="1275170" cy="335450"/>
          </a:xfrm>
          <a:prstGeom prst="rightArrowCallout">
            <a:avLst>
              <a:gd name="adj1" fmla="val 32829"/>
              <a:gd name="adj2" fmla="val 31524"/>
              <a:gd name="adj3" fmla="val 25000"/>
              <a:gd name="adj4" fmla="val 86357"/>
            </a:avLst>
          </a:prstGeom>
          <a:ln>
            <a:solidFill>
              <a:srgbClr val="0B744D"/>
            </a:solidFill>
            <a:miter lim="800000"/>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r>
              <a:rPr lang="fr" sz="1200">
                <a:solidFill>
                  <a:srgbClr val="0B744D"/>
                </a:solidFill>
                <a:latin typeface="Segoe UI" pitchFamily="34" charset="0"/>
                <a:ea typeface="Segoe UI" pitchFamily="34" charset="0"/>
                <a:cs typeface="Segoe UI" pitchFamily="34" charset="0"/>
              </a:rPr>
              <a:t>Suivant</a:t>
            </a:r>
          </a:p>
        </xdr:txBody>
      </xdr:sp>
    </xdr:grpSp>
    <xdr:clientData/>
  </xdr:twoCellAnchor>
  <xdr:twoCellAnchor editAs="absolute">
    <xdr:from>
      <xdr:col>1</xdr:col>
      <xdr:colOff>5486400</xdr:colOff>
      <xdr:row>47</xdr:row>
      <xdr:rowOff>63675</xdr:rowOff>
    </xdr:from>
    <xdr:to>
      <xdr:col>3</xdr:col>
      <xdr:colOff>704850</xdr:colOff>
      <xdr:row>57</xdr:row>
      <xdr:rowOff>57150</xdr:rowOff>
    </xdr:to>
    <xdr:grpSp>
      <xdr:nvGrpSpPr>
        <xdr:cNvPr id="55" name="Groupe 54">
          <a:extLst>
            <a:ext uri="{FF2B5EF4-FFF2-40B4-BE49-F238E27FC236}">
              <a16:creationId xmlns:a16="http://schemas.microsoft.com/office/drawing/2014/main" id="{4A9BFECA-468C-47F6-AD35-5DE8D93CDD71}"/>
            </a:ext>
          </a:extLst>
        </xdr:cNvPr>
        <xdr:cNvGrpSpPr/>
      </xdr:nvGrpSpPr>
      <xdr:grpSpPr>
        <a:xfrm>
          <a:off x="6334125" y="9931575"/>
          <a:ext cx="3190875" cy="1898475"/>
          <a:chOff x="6391275" y="8257018"/>
          <a:chExt cx="3190875" cy="1715657"/>
        </a:xfrm>
      </xdr:grpSpPr>
      <xdr:sp macro="" textlink="">
        <xdr:nvSpPr>
          <xdr:cNvPr id="56" name="Étape" descr="GOOD TO KNOW&#10;You can use keyboard shortcuts to enter Dates and Times that won't continuously change:&#10;&#10;Date - Ctl+; &#10;Time - Ctrl+Shift+:&#10;">
            <a:extLst>
              <a:ext uri="{FF2B5EF4-FFF2-40B4-BE49-F238E27FC236}">
                <a16:creationId xmlns:a16="http://schemas.microsoft.com/office/drawing/2014/main" id="{58582514-3F5F-4F9F-81CB-5D8B4175475C}"/>
              </a:ext>
            </a:extLst>
          </xdr:cNvPr>
          <xdr:cNvSpPr txBox="1"/>
        </xdr:nvSpPr>
        <xdr:spPr>
          <a:xfrm>
            <a:off x="6637024" y="8769732"/>
            <a:ext cx="2945126" cy="1202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BON À SAVOIR</a:t>
            </a:r>
            <a:endParaRPr lang="en-US" sz="1200" b="1">
              <a:solidFill>
                <a:srgbClr val="ED7D31">
                  <a:lumMod val="60000"/>
                  <a:lumOff val="40000"/>
                </a:srgbClr>
              </a:solidFill>
              <a:latin typeface="+mj-lt"/>
              <a:ea typeface="Segoe UI" pitchFamily="34" charset="0"/>
              <a:cs typeface="Segoe UI Light" panose="020B0502040204020203" pitchFamily="34" charset="0"/>
            </a:endParaRPr>
          </a:p>
          <a:p>
            <a:pPr rtl="0" eaLnBrk="1" fontAlgn="auto" latinLnBrk="0" hangingPunct="1"/>
            <a:r>
              <a:rPr lang="fr" sz="1100" b="0" i="0" kern="1200" baseline="0">
                <a:solidFill>
                  <a:schemeClr val="dk1"/>
                </a:solidFill>
                <a:effectLst/>
                <a:latin typeface="+mn-lt"/>
                <a:ea typeface="+mn-ea"/>
                <a:cs typeface="+mn-cs"/>
              </a:rPr>
              <a:t>Vous pouvez utiliser les raccourcis clavier pour entrer des dates et heures statiques :</a:t>
            </a:r>
          </a:p>
          <a:p>
            <a:pPr algn="ctr" rtl="0" eaLnBrk="1" fontAlgn="auto" latinLnBrk="0" hangingPunct="1"/>
            <a:endParaRPr lang="en-US" sz="1100" b="0" i="0" kern="1200" baseline="0">
              <a:solidFill>
                <a:schemeClr val="dk1"/>
              </a:solidFill>
              <a:effectLst/>
              <a:latin typeface="+mn-lt"/>
              <a:ea typeface="+mn-ea"/>
              <a:cs typeface="+mn-cs"/>
            </a:endParaRPr>
          </a:p>
          <a:p>
            <a:pPr algn="ctr" rtl="0" eaLnBrk="1" fontAlgn="auto" latinLnBrk="0" hangingPunct="1"/>
            <a:r>
              <a:rPr lang="fr" sz="1100" b="0" i="0" kern="1200" baseline="0">
                <a:solidFill>
                  <a:schemeClr val="dk1"/>
                </a:solidFill>
                <a:effectLst/>
                <a:latin typeface="+mn-lt"/>
                <a:ea typeface="+mn-ea"/>
                <a:cs typeface="+mn-cs"/>
              </a:rPr>
              <a:t>Date : </a:t>
            </a:r>
            <a:r>
              <a:rPr lang="fr" sz="1100" b="1" i="0" kern="1200" baseline="0">
                <a:solidFill>
                  <a:schemeClr val="dk1"/>
                </a:solidFill>
                <a:effectLst/>
                <a:latin typeface="+mn-lt"/>
                <a:ea typeface="+mn-ea"/>
                <a:cs typeface="+mn-cs"/>
              </a:rPr>
              <a:t>Ctrl+;</a:t>
            </a:r>
            <a:r>
              <a:rPr lang="fr" sz="1100" b="0" i="0" kern="1200" baseline="0">
                <a:solidFill>
                  <a:schemeClr val="dk1"/>
                </a:solidFill>
                <a:effectLst/>
                <a:latin typeface="+mn-lt"/>
                <a:ea typeface="+mn-ea"/>
                <a:cs typeface="+mn-cs"/>
              </a:rPr>
              <a:t> </a:t>
            </a:r>
          </a:p>
          <a:p>
            <a:pPr algn="ctr" rtl="0" eaLnBrk="1" fontAlgn="auto" latinLnBrk="0" hangingPunct="1"/>
            <a:r>
              <a:rPr lang="fr" sz="1100" b="0" i="0" kern="1200" baseline="0">
                <a:solidFill>
                  <a:schemeClr val="dk1"/>
                </a:solidFill>
                <a:effectLst/>
                <a:latin typeface="+mn-lt"/>
                <a:ea typeface="+mn-ea"/>
                <a:cs typeface="+mn-cs"/>
              </a:rPr>
              <a:t>Heure : </a:t>
            </a:r>
            <a:r>
              <a:rPr lang="fr" sz="1100" b="1" i="0" kern="1200" baseline="0">
                <a:solidFill>
                  <a:schemeClr val="dk1"/>
                </a:solidFill>
                <a:effectLst/>
                <a:latin typeface="+mn-lt"/>
                <a:ea typeface="+mn-ea"/>
                <a:cs typeface="+mn-cs"/>
              </a:rPr>
              <a:t>Ctrl+:</a:t>
            </a:r>
            <a:endParaRPr lang="en-US" sz="1100">
              <a:effectLst/>
              <a:latin typeface="+mn-lt"/>
            </a:endParaRPr>
          </a:p>
        </xdr:txBody>
      </xdr:sp>
      <xdr:pic>
        <xdr:nvPicPr>
          <xdr:cNvPr id="57" name="Graphisme 147" descr="Lunettes">
            <a:extLst>
              <a:ext uri="{FF2B5EF4-FFF2-40B4-BE49-F238E27FC236}">
                <a16:creationId xmlns:a16="http://schemas.microsoft.com/office/drawing/2014/main" id="{CBB0D808-1A04-4803-85FA-347912D8ED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91275" y="8769732"/>
            <a:ext cx="300614" cy="258345"/>
          </a:xfrm>
          <a:prstGeom prst="rect">
            <a:avLst/>
          </a:prstGeom>
        </xdr:spPr>
      </xdr:pic>
      <xdr:sp macro="" textlink="">
        <xdr:nvSpPr>
          <xdr:cNvPr id="58" name="Forme libre : forme 155" descr="Flèche">
            <a:extLst>
              <a:ext uri="{FF2B5EF4-FFF2-40B4-BE49-F238E27FC236}">
                <a16:creationId xmlns:a16="http://schemas.microsoft.com/office/drawing/2014/main" id="{58364F22-B9D2-4366-B656-53C8184DE2A7}"/>
              </a:ext>
            </a:extLst>
          </xdr:cNvPr>
          <xdr:cNvSpPr/>
        </xdr:nvSpPr>
        <xdr:spPr>
          <a:xfrm rot="5737631" flipV="1">
            <a:off x="8281628" y="7650802"/>
            <a:ext cx="635854" cy="1848285"/>
          </a:xfrm>
          <a:custGeom>
            <a:avLst/>
            <a:gdLst>
              <a:gd name="connsiteX0" fmla="*/ 279015 w 279015"/>
              <a:gd name="connsiteY0" fmla="*/ 99249 h 1391008"/>
              <a:gd name="connsiteX1" fmla="*/ 134697 w 279015"/>
              <a:gd name="connsiteY1" fmla="*/ 118492 h 1391008"/>
              <a:gd name="connsiteX2" fmla="*/ 211667 w 279015"/>
              <a:gd name="connsiteY2" fmla="*/ 1282658 h 1391008"/>
              <a:gd name="connsiteX3" fmla="*/ 0 w 279015"/>
              <a:gd name="connsiteY3" fmla="*/ 1340386 h 1391008"/>
              <a:gd name="connsiteX4" fmla="*/ 0 w 279015"/>
              <a:gd name="connsiteY4" fmla="*/ 1340386 h 1391008"/>
              <a:gd name="connsiteX0" fmla="*/ 279015 w 279015"/>
              <a:gd name="connsiteY0" fmla="*/ 32141 h 1310271"/>
              <a:gd name="connsiteX1" fmla="*/ 152422 w 279015"/>
              <a:gd name="connsiteY1" fmla="*/ 244286 h 1310271"/>
              <a:gd name="connsiteX2" fmla="*/ 211667 w 279015"/>
              <a:gd name="connsiteY2" fmla="*/ 1215550 h 1310271"/>
              <a:gd name="connsiteX3" fmla="*/ 0 w 279015"/>
              <a:gd name="connsiteY3" fmla="*/ 1273278 h 1310271"/>
              <a:gd name="connsiteX4" fmla="*/ 0 w 279015"/>
              <a:gd name="connsiteY4" fmla="*/ 1273278 h 1310271"/>
              <a:gd name="connsiteX0" fmla="*/ 279015 w 279015"/>
              <a:gd name="connsiteY0" fmla="*/ 2960 h 1281090"/>
              <a:gd name="connsiteX1" fmla="*/ 152422 w 279015"/>
              <a:gd name="connsiteY1" fmla="*/ 215105 h 1281090"/>
              <a:gd name="connsiteX2" fmla="*/ 211667 w 279015"/>
              <a:gd name="connsiteY2" fmla="*/ 1186369 h 1281090"/>
              <a:gd name="connsiteX3" fmla="*/ 0 w 279015"/>
              <a:gd name="connsiteY3" fmla="*/ 1244097 h 1281090"/>
              <a:gd name="connsiteX4" fmla="*/ 0 w 279015"/>
              <a:gd name="connsiteY4" fmla="*/ 1244097 h 128109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79015" h="1281090">
                <a:moveTo>
                  <a:pt x="279015" y="2960"/>
                </a:moveTo>
                <a:cubicBezTo>
                  <a:pt x="162617" y="-10856"/>
                  <a:pt x="163647" y="17870"/>
                  <a:pt x="152422" y="215105"/>
                </a:cubicBezTo>
                <a:cubicBezTo>
                  <a:pt x="141197" y="412340"/>
                  <a:pt x="237071" y="1014870"/>
                  <a:pt x="211667" y="1186369"/>
                </a:cubicBezTo>
                <a:cubicBezTo>
                  <a:pt x="186263" y="1357868"/>
                  <a:pt x="0" y="1244097"/>
                  <a:pt x="0" y="1244097"/>
                </a:cubicBezTo>
                <a:lnTo>
                  <a:pt x="0" y="1244097"/>
                </a:lnTo>
              </a:path>
            </a:pathLst>
          </a:custGeom>
          <a:noFill/>
          <a:ln w="19050">
            <a:solidFill>
              <a:schemeClr val="accent2">
                <a:lumMod val="60000"/>
                <a:lumOff val="4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grpSp>
    <xdr:clientData/>
  </xdr:twoCellAnchor>
  <xdr:twoCellAnchor editAs="absolute">
    <xdr:from>
      <xdr:col>0</xdr:col>
      <xdr:colOff>342900</xdr:colOff>
      <xdr:row>67</xdr:row>
      <xdr:rowOff>114300</xdr:rowOff>
    </xdr:from>
    <xdr:to>
      <xdr:col>1</xdr:col>
      <xdr:colOff>5228463</xdr:colOff>
      <xdr:row>81</xdr:row>
      <xdr:rowOff>152400</xdr:rowOff>
    </xdr:to>
    <xdr:grpSp>
      <xdr:nvGrpSpPr>
        <xdr:cNvPr id="59" name="Groupe 156">
          <a:extLst>
            <a:ext uri="{FF2B5EF4-FFF2-40B4-BE49-F238E27FC236}">
              <a16:creationId xmlns:a16="http://schemas.microsoft.com/office/drawing/2014/main" id="{86D0966A-6399-4D23-9066-017B78FEA592}"/>
            </a:ext>
          </a:extLst>
        </xdr:cNvPr>
        <xdr:cNvGrpSpPr/>
      </xdr:nvGrpSpPr>
      <xdr:grpSpPr>
        <a:xfrm>
          <a:off x="342900" y="13792200"/>
          <a:ext cx="5733288" cy="2705100"/>
          <a:chOff x="352425" y="12715875"/>
          <a:chExt cx="5733288" cy="2476500"/>
        </a:xfrm>
      </xdr:grpSpPr>
      <xdr:sp macro="" textlink="">
        <xdr:nvSpPr>
          <xdr:cNvPr id="60" name="Rectangle 157">
            <a:extLst>
              <a:ext uri="{FF2B5EF4-FFF2-40B4-BE49-F238E27FC236}">
                <a16:creationId xmlns:a16="http://schemas.microsoft.com/office/drawing/2014/main" id="{D0EB7585-A2F3-4B50-B367-26DA09612790}"/>
              </a:ext>
            </a:extLst>
          </xdr:cNvPr>
          <xdr:cNvSpPr/>
        </xdr:nvSpPr>
        <xdr:spPr>
          <a:xfrm>
            <a:off x="352425" y="12715875"/>
            <a:ext cx="5733288" cy="2476500"/>
          </a:xfrm>
          <a:prstGeom prst="rect">
            <a:avLst/>
          </a:prstGeom>
          <a:solidFill>
            <a:srgbClr val="F5F5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rtl="0"/>
            <a:endParaRPr lang="en-US" sz="1100"/>
          </a:p>
        </xdr:txBody>
      </xdr:sp>
      <xdr:sp macro="" textlink="">
        <xdr:nvSpPr>
          <xdr:cNvPr id="61" name="Étape" descr="Plus d’informations sur le web&#10;">
            <a:extLst>
              <a:ext uri="{FF2B5EF4-FFF2-40B4-BE49-F238E27FC236}">
                <a16:creationId xmlns:a16="http://schemas.microsoft.com/office/drawing/2014/main" id="{FC576B90-C9B8-435E-BA3F-23529CCF4259}"/>
              </a:ext>
            </a:extLst>
          </xdr:cNvPr>
          <xdr:cNvSpPr txBox="1"/>
        </xdr:nvSpPr>
        <xdr:spPr>
          <a:xfrm>
            <a:off x="564965" y="12801623"/>
            <a:ext cx="5254218" cy="340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fr" sz="2200" b="0" i="0" u="none" strike="noStrike" kern="0" cap="none" spc="0" normalizeH="0" baseline="0">
                <a:ln>
                  <a:noFill/>
                </a:ln>
                <a:solidFill>
                  <a:schemeClr val="bg2">
                    <a:lumMod val="25000"/>
                  </a:schemeClr>
                </a:solidFill>
                <a:effectLst/>
                <a:uLnTx/>
                <a:uFillTx/>
                <a:latin typeface="Segoe UI Light" panose="020B0502040204020203" pitchFamily="34" charset="0"/>
                <a:ea typeface="Segoe UI" pitchFamily="34" charset="0"/>
                <a:cs typeface="Segoe UI Light" panose="020B0502040204020203" pitchFamily="34" charset="0"/>
              </a:rPr>
              <a:t>Plus d’informations sur le web</a:t>
            </a:r>
            <a:endParaRPr lang="en-US" sz="2200" b="0">
              <a:solidFill>
                <a:schemeClr val="bg2">
                  <a:lumMod val="25000"/>
                </a:schemeClr>
              </a:solidFill>
              <a:effectLst/>
              <a:latin typeface="Segoe UI Light" panose="020B0502040204020203" pitchFamily="34" charset="0"/>
              <a:ea typeface="Segoe UI" pitchFamily="34" charset="0"/>
              <a:cs typeface="Segoe UI Light" panose="020B0502040204020203" pitchFamily="34" charset="0"/>
            </a:endParaRPr>
          </a:p>
        </xdr:txBody>
      </xdr:sp>
      <xdr:cxnSp macro="">
        <xdr:nvCxnSpPr>
          <xdr:cNvPr id="62" name="Connecteur droit 61" descr="Ligne décorative">
            <a:extLst>
              <a:ext uri="{FF2B5EF4-FFF2-40B4-BE49-F238E27FC236}">
                <a16:creationId xmlns:a16="http://schemas.microsoft.com/office/drawing/2014/main" id="{0CA35043-1BEF-493A-9A45-FFB923897DCB}"/>
              </a:ext>
            </a:extLst>
          </xdr:cNvPr>
          <xdr:cNvCxnSpPr>
            <a:cxnSpLocks/>
          </xdr:cNvCxnSpPr>
        </xdr:nvCxnSpPr>
        <xdr:spPr>
          <a:xfrm>
            <a:off x="564965" y="1327502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62" descr="Ligne décorative">
            <a:extLst>
              <a:ext uri="{FF2B5EF4-FFF2-40B4-BE49-F238E27FC236}">
                <a16:creationId xmlns:a16="http://schemas.microsoft.com/office/drawing/2014/main" id="{1C48DF56-B2A3-42E0-8A5D-41A49496029C}"/>
              </a:ext>
            </a:extLst>
          </xdr:cNvPr>
          <xdr:cNvCxnSpPr>
            <a:cxnSpLocks/>
          </xdr:cNvCxnSpPr>
        </xdr:nvCxnSpPr>
        <xdr:spPr>
          <a:xfrm>
            <a:off x="564965" y="15029023"/>
            <a:ext cx="5251046" cy="0"/>
          </a:xfrm>
          <a:prstGeom prst="line">
            <a:avLst/>
          </a:prstGeom>
          <a:ln w="25400">
            <a:solidFill>
              <a:srgbClr val="217346"/>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0</xdr:col>
      <xdr:colOff>571931</xdr:colOff>
      <xdr:row>71</xdr:row>
      <xdr:rowOff>92794</xdr:rowOff>
    </xdr:from>
    <xdr:to>
      <xdr:col>1</xdr:col>
      <xdr:colOff>3771900</xdr:colOff>
      <xdr:row>73</xdr:row>
      <xdr:rowOff>70873</xdr:rowOff>
    </xdr:to>
    <xdr:grpSp>
      <xdr:nvGrpSpPr>
        <xdr:cNvPr id="64" name="Groupe 63">
          <a:extLst>
            <a:ext uri="{FF2B5EF4-FFF2-40B4-BE49-F238E27FC236}">
              <a16:creationId xmlns:a16="http://schemas.microsoft.com/office/drawing/2014/main" id="{78ED25FE-9F95-40C2-9011-C4819E3701A6}"/>
            </a:ext>
          </a:extLst>
        </xdr:cNvPr>
        <xdr:cNvGrpSpPr/>
      </xdr:nvGrpSpPr>
      <xdr:grpSpPr>
        <a:xfrm>
          <a:off x="571931" y="14532694"/>
          <a:ext cx="4047694" cy="359079"/>
          <a:chOff x="571931" y="13599244"/>
          <a:chExt cx="4047694" cy="359079"/>
        </a:xfrm>
      </xdr:grpSpPr>
      <xdr:sp macro="" textlink="">
        <xdr:nvSpPr>
          <xdr:cNvPr id="65" name="Étape" descr="À propos de la fonction AUJOURDHUI, lien hypertexte vers le web&#10;&#10;">
            <a:hlinkClick xmlns:r="http://schemas.openxmlformats.org/officeDocument/2006/relationships" r:id="rId5" tooltip="Sélectionnez ce lien pour accéder sur le web à des informations complémentaires sur la fonction AUJOURDHUI"/>
            <a:extLst>
              <a:ext uri="{FF2B5EF4-FFF2-40B4-BE49-F238E27FC236}">
                <a16:creationId xmlns:a16="http://schemas.microsoft.com/office/drawing/2014/main" id="{B7D8571C-C82B-42F1-A1A6-B8610000B4C5}"/>
              </a:ext>
            </a:extLst>
          </xdr:cNvPr>
          <xdr:cNvSpPr txBox="1"/>
        </xdr:nvSpPr>
        <xdr:spPr>
          <a:xfrm>
            <a:off x="1037116" y="13673604"/>
            <a:ext cx="3582509" cy="253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AUJOURDHUI</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66" name="Graphisme 22" descr="Flèche">
            <a:hlinkClick xmlns:r="http://schemas.openxmlformats.org/officeDocument/2006/relationships" r:id="rId5" tooltip="Sélectionnez ce lien pour accéder à des informations complémentaires sur le web"/>
            <a:extLst>
              <a:ext uri="{FF2B5EF4-FFF2-40B4-BE49-F238E27FC236}">
                <a16:creationId xmlns:a16="http://schemas.microsoft.com/office/drawing/2014/main" id="{167DE2B0-8F3D-44DD-8E5B-9D269D36E66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71931" y="13599244"/>
            <a:ext cx="492262" cy="359079"/>
          </a:xfrm>
          <a:prstGeom prst="rect">
            <a:avLst/>
          </a:prstGeom>
        </xdr:spPr>
      </xdr:pic>
    </xdr:grpSp>
    <xdr:clientData/>
  </xdr:twoCellAnchor>
  <xdr:twoCellAnchor editAs="absolute">
    <xdr:from>
      <xdr:col>0</xdr:col>
      <xdr:colOff>571931</xdr:colOff>
      <xdr:row>73</xdr:row>
      <xdr:rowOff>127341</xdr:rowOff>
    </xdr:from>
    <xdr:to>
      <xdr:col>1</xdr:col>
      <xdr:colOff>4010025</xdr:colOff>
      <xdr:row>75</xdr:row>
      <xdr:rowOff>110730</xdr:rowOff>
    </xdr:to>
    <xdr:grpSp>
      <xdr:nvGrpSpPr>
        <xdr:cNvPr id="67" name="Groupe 66">
          <a:extLst>
            <a:ext uri="{FF2B5EF4-FFF2-40B4-BE49-F238E27FC236}">
              <a16:creationId xmlns:a16="http://schemas.microsoft.com/office/drawing/2014/main" id="{1753E28B-EC86-4910-8E98-4407081DC88B}"/>
            </a:ext>
          </a:extLst>
        </xdr:cNvPr>
        <xdr:cNvGrpSpPr/>
      </xdr:nvGrpSpPr>
      <xdr:grpSpPr>
        <a:xfrm>
          <a:off x="571931" y="14948241"/>
          <a:ext cx="4285819" cy="364389"/>
          <a:chOff x="571931" y="14014791"/>
          <a:chExt cx="4285819" cy="364389"/>
        </a:xfrm>
      </xdr:grpSpPr>
      <xdr:sp macro="" textlink="">
        <xdr:nvSpPr>
          <xdr:cNvPr id="68" name="Étape" descr="À propos de la fonction MAINTENANT, lien hypertexte vers le web&#10;">
            <a:hlinkClick xmlns:r="http://schemas.openxmlformats.org/officeDocument/2006/relationships" r:id="rId8" tooltip="Sélectionnez ce lien pour accéder sur le web à des informations complémentaires sur la fonction MAINTENANT"/>
            <a:extLst>
              <a:ext uri="{FF2B5EF4-FFF2-40B4-BE49-F238E27FC236}">
                <a16:creationId xmlns:a16="http://schemas.microsoft.com/office/drawing/2014/main" id="{70161CAB-8F48-4C9A-A375-42384FEB4B57}"/>
              </a:ext>
            </a:extLst>
          </xdr:cNvPr>
          <xdr:cNvSpPr txBox="1"/>
        </xdr:nvSpPr>
        <xdr:spPr>
          <a:xfrm>
            <a:off x="1037116" y="14093795"/>
            <a:ext cx="382063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MAINTENANT</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69" name="Graphisme 22" descr="Flèche">
            <a:hlinkClick xmlns:r="http://schemas.openxmlformats.org/officeDocument/2006/relationships" r:id="rId8" tooltip="Sélectionnez ce lien pour accéder à des informations complémentaires sur le web"/>
            <a:extLst>
              <a:ext uri="{FF2B5EF4-FFF2-40B4-BE49-F238E27FC236}">
                <a16:creationId xmlns:a16="http://schemas.microsoft.com/office/drawing/2014/main" id="{605AA9C3-6DC6-4837-A9A0-B75DDC68D4CE}"/>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71931" y="14014791"/>
            <a:ext cx="492262" cy="364389"/>
          </a:xfrm>
          <a:prstGeom prst="rect">
            <a:avLst/>
          </a:prstGeom>
        </xdr:spPr>
      </xdr:pic>
    </xdr:grpSp>
    <xdr:clientData/>
  </xdr:twoCellAnchor>
  <xdr:twoCellAnchor editAs="absolute">
    <xdr:from>
      <xdr:col>0</xdr:col>
      <xdr:colOff>584540</xdr:colOff>
      <xdr:row>78</xdr:row>
      <xdr:rowOff>51103</xdr:rowOff>
    </xdr:from>
    <xdr:to>
      <xdr:col>1</xdr:col>
      <xdr:colOff>3181350</xdr:colOff>
      <xdr:row>80</xdr:row>
      <xdr:rowOff>34492</xdr:rowOff>
    </xdr:to>
    <xdr:grpSp>
      <xdr:nvGrpSpPr>
        <xdr:cNvPr id="70" name="Groupe 69">
          <a:extLst>
            <a:ext uri="{FF2B5EF4-FFF2-40B4-BE49-F238E27FC236}">
              <a16:creationId xmlns:a16="http://schemas.microsoft.com/office/drawing/2014/main" id="{E4E3F5B1-F204-4BD8-803C-E59E3921480C}"/>
            </a:ext>
          </a:extLst>
        </xdr:cNvPr>
        <xdr:cNvGrpSpPr/>
      </xdr:nvGrpSpPr>
      <xdr:grpSpPr>
        <a:xfrm>
          <a:off x="584540" y="15824503"/>
          <a:ext cx="3444535" cy="364389"/>
          <a:chOff x="584540" y="14891053"/>
          <a:chExt cx="3444535" cy="364389"/>
        </a:xfrm>
      </xdr:grpSpPr>
      <xdr:sp macro="" textlink="">
        <xdr:nvSpPr>
          <xdr:cNvPr id="71" name="Étape" descr="Formation Excel gratuite en ligne, lien hypertexte vers le web&#10;">
            <a:hlinkClick xmlns:r="http://schemas.openxmlformats.org/officeDocument/2006/relationships" r:id="rId9" tooltip="Sélectionnez ce lien pour accéder sur le web à une formation gratuite sur Excel"/>
            <a:extLst>
              <a:ext uri="{FF2B5EF4-FFF2-40B4-BE49-F238E27FC236}">
                <a16:creationId xmlns:a16="http://schemas.microsoft.com/office/drawing/2014/main" id="{2AB81A53-DA38-4A14-A1BD-8DA5F891DDE5}"/>
              </a:ext>
            </a:extLst>
          </xdr:cNvPr>
          <xdr:cNvSpPr txBox="1"/>
        </xdr:nvSpPr>
        <xdr:spPr>
          <a:xfrm>
            <a:off x="1049724" y="14913582"/>
            <a:ext cx="2979351" cy="248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Formation en ligne gratuite sur Excel</a:t>
            </a:r>
          </a:p>
        </xdr:txBody>
      </xdr:sp>
      <xdr:pic>
        <xdr:nvPicPr>
          <xdr:cNvPr id="72" name="Graphisme 22" descr="Flèche">
            <a:hlinkClick xmlns:r="http://schemas.openxmlformats.org/officeDocument/2006/relationships" r:id="rId9" tooltip="Sélectionnez ce lien pour accéder à des informations complémentaires sur le web"/>
            <a:extLst>
              <a:ext uri="{FF2B5EF4-FFF2-40B4-BE49-F238E27FC236}">
                <a16:creationId xmlns:a16="http://schemas.microsoft.com/office/drawing/2014/main" id="{943A811E-E1F1-435D-9FC8-6EFB1EB75461}"/>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84540" y="14891053"/>
            <a:ext cx="492262" cy="364389"/>
          </a:xfrm>
          <a:prstGeom prst="rect">
            <a:avLst/>
          </a:prstGeom>
        </xdr:spPr>
      </xdr:pic>
    </xdr:grpSp>
    <xdr:clientData/>
  </xdr:twoCellAnchor>
  <xdr:twoCellAnchor editAs="absolute">
    <xdr:from>
      <xdr:col>0</xdr:col>
      <xdr:colOff>581456</xdr:colOff>
      <xdr:row>75</xdr:row>
      <xdr:rowOff>167198</xdr:rowOff>
    </xdr:from>
    <xdr:to>
      <xdr:col>1</xdr:col>
      <xdr:colOff>2628900</xdr:colOff>
      <xdr:row>77</xdr:row>
      <xdr:rowOff>150587</xdr:rowOff>
    </xdr:to>
    <xdr:grpSp>
      <xdr:nvGrpSpPr>
        <xdr:cNvPr id="73" name="Groupe 72">
          <a:extLst>
            <a:ext uri="{FF2B5EF4-FFF2-40B4-BE49-F238E27FC236}">
              <a16:creationId xmlns:a16="http://schemas.microsoft.com/office/drawing/2014/main" id="{49F0A2F4-D830-4F16-B85E-87B59152D826}"/>
            </a:ext>
          </a:extLst>
        </xdr:cNvPr>
        <xdr:cNvGrpSpPr/>
      </xdr:nvGrpSpPr>
      <xdr:grpSpPr>
        <a:xfrm>
          <a:off x="581456" y="15369098"/>
          <a:ext cx="2895169" cy="364389"/>
          <a:chOff x="581456" y="14435648"/>
          <a:chExt cx="2895169" cy="364389"/>
        </a:xfrm>
      </xdr:grpSpPr>
      <xdr:sp macro="" textlink="">
        <xdr:nvSpPr>
          <xdr:cNvPr id="74" name="Étape" descr="À propos de la fonction DATE, lien hypertexte vers le web&#10;">
            <a:hlinkClick xmlns:r="http://schemas.openxmlformats.org/officeDocument/2006/relationships" r:id="rId10" tooltip="Sélectionnez pour accéder sur le web à des informations complémentaires sur la fonction DATE"/>
            <a:extLst>
              <a:ext uri="{FF2B5EF4-FFF2-40B4-BE49-F238E27FC236}">
                <a16:creationId xmlns:a16="http://schemas.microsoft.com/office/drawing/2014/main" id="{AD9A694E-5D04-4134-B943-41961349C001}"/>
              </a:ext>
            </a:extLst>
          </xdr:cNvPr>
          <xdr:cNvSpPr txBox="1"/>
        </xdr:nvSpPr>
        <xdr:spPr>
          <a:xfrm>
            <a:off x="1046641" y="14492287"/>
            <a:ext cx="2429984" cy="232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À propos de la fonction </a:t>
            </a:r>
            <a:r>
              <a:rPr lang="fr" sz="1100" b="1"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DATE</a:t>
            </a:r>
            <a:r>
              <a:rPr lang="fr" sz="1100" u="sng" kern="0">
                <a:solidFill>
                  <a:schemeClr val="tx1">
                    <a:lumMod val="75000"/>
                    <a:lumOff val="25000"/>
                  </a:schemeClr>
                </a:solidFill>
                <a:latin typeface="Segoe UI" panose="020B0502040204020203" pitchFamily="34" charset="0"/>
                <a:ea typeface="Segoe UI" pitchFamily="34" charset="0"/>
                <a:cs typeface="Segoe UI" panose="020B0502040204020203" pitchFamily="34" charset="0"/>
              </a:rPr>
              <a:t> </a:t>
            </a:r>
          </a:p>
        </xdr:txBody>
      </xdr:sp>
      <xdr:pic>
        <xdr:nvPicPr>
          <xdr:cNvPr id="75" name="Graphisme 22" descr="Flèche">
            <a:hlinkClick xmlns:r="http://schemas.openxmlformats.org/officeDocument/2006/relationships" r:id="rId10" tooltip="Sélectionnez ce lien pour accéder à des informations complémentaires sur le web"/>
            <a:extLst>
              <a:ext uri="{FF2B5EF4-FFF2-40B4-BE49-F238E27FC236}">
                <a16:creationId xmlns:a16="http://schemas.microsoft.com/office/drawing/2014/main" id="{92A1ED84-0E8E-4AA5-9F3B-1C48B7CDA62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581456" y="14435648"/>
            <a:ext cx="492262" cy="364389"/>
          </a:xfrm>
          <a:prstGeom prst="rect">
            <a:avLst/>
          </a:prstGeom>
        </xdr:spPr>
      </xdr:pic>
    </xdr:grpSp>
    <xdr:clientData/>
  </xdr:twoCellAnchor>
  <xdr:twoCellAnchor editAs="absolute">
    <xdr:from>
      <xdr:col>4</xdr:col>
      <xdr:colOff>41108</xdr:colOff>
      <xdr:row>6</xdr:row>
      <xdr:rowOff>148929</xdr:rowOff>
    </xdr:from>
    <xdr:to>
      <xdr:col>10</xdr:col>
      <xdr:colOff>514350</xdr:colOff>
      <xdr:row>13</xdr:row>
      <xdr:rowOff>149223</xdr:rowOff>
    </xdr:to>
    <xdr:grpSp>
      <xdr:nvGrpSpPr>
        <xdr:cNvPr id="76" name="DÉTAIL IMPORTANT" descr="DÉTAIL IMPORTANT&#10;&#10;">
          <a:extLst>
            <a:ext uri="{FF2B5EF4-FFF2-40B4-BE49-F238E27FC236}">
              <a16:creationId xmlns:a16="http://schemas.microsoft.com/office/drawing/2014/main" id="{5B41521E-6625-4E09-99DE-C9E6B37964E8}"/>
            </a:ext>
          </a:extLst>
        </xdr:cNvPr>
        <xdr:cNvGrpSpPr/>
      </xdr:nvGrpSpPr>
      <xdr:grpSpPr>
        <a:xfrm>
          <a:off x="9870908" y="2111079"/>
          <a:ext cx="4130842" cy="1390944"/>
          <a:chOff x="6396316" y="11324814"/>
          <a:chExt cx="4282119" cy="1343436"/>
        </a:xfrm>
      </xdr:grpSpPr>
      <xdr:sp macro="" textlink="">
        <xdr:nvSpPr>
          <xdr:cNvPr id="77" name="Instruction" descr="IMPORTANT DETAIL&#10;If you don't want Excel to display a negative number because you haven't entered your birthday yet, you can use an IF function like this: =IF(D7=&quot;&quot;,&quot;&quot;,D7-D6), which says, &quot;IF D7 equals nothing, then show nothing, otherwise show D7 minus D6&quot;.&#10;&#10;">
            <a:extLst>
              <a:ext uri="{FF2B5EF4-FFF2-40B4-BE49-F238E27FC236}">
                <a16:creationId xmlns:a16="http://schemas.microsoft.com/office/drawing/2014/main" id="{FB1564F4-3371-4C69-A832-92D6391E978B}"/>
              </a:ext>
            </a:extLst>
          </xdr:cNvPr>
          <xdr:cNvSpPr txBox="1"/>
        </xdr:nvSpPr>
        <xdr:spPr>
          <a:xfrm>
            <a:off x="7073900" y="11363325"/>
            <a:ext cx="3604535" cy="1304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lvl="0" rtl="0">
              <a:defRPr/>
            </a:pPr>
            <a:r>
              <a:rPr lang="fr" sz="1200" b="1" kern="0">
                <a:solidFill>
                  <a:srgbClr val="ED7D31">
                    <a:lumMod val="60000"/>
                    <a:lumOff val="40000"/>
                  </a:srgbClr>
                </a:solidFill>
                <a:latin typeface="+mj-lt"/>
                <a:ea typeface="Segoe UI" pitchFamily="34" charset="0"/>
                <a:cs typeface="Segoe UI Light" panose="020B0502040204020203" pitchFamily="34" charset="0"/>
              </a:rPr>
              <a:t>DÉTAIL IMPORTANT</a:t>
            </a:r>
          </a:p>
          <a:p>
            <a:pPr rtl="0" eaLnBrk="1" fontAlgn="auto" latinLnBrk="0" hangingPunct="1"/>
            <a:r>
              <a:rPr lang="fr" sz="1100" b="0" i="0" kern="1200" baseline="0">
                <a:solidFill>
                  <a:schemeClr val="dk1"/>
                </a:solidFill>
                <a:effectLst/>
                <a:latin typeface="+mn-lt"/>
                <a:ea typeface="+mn-ea"/>
                <a:cs typeface="+mn-cs"/>
              </a:rPr>
              <a:t>Si vous n’avez pas encore entré votre date d’anniversaire, vous pouvez utiliser une fonction SI telle que celle-ci pour empêcher Excel d’afficher un nombre négatif : </a:t>
            </a:r>
            <a:r>
              <a:rPr lang="fr" sz="1100" b="1" i="0" kern="1200" baseline="0">
                <a:solidFill>
                  <a:schemeClr val="dk1"/>
                </a:solidFill>
                <a:effectLst/>
                <a:latin typeface="+mn-lt"/>
                <a:ea typeface="+mn-ea"/>
                <a:cs typeface="+mn-cs"/>
              </a:rPr>
              <a:t>=SI(D7="";"";D7-D6)</a:t>
            </a:r>
            <a:r>
              <a:rPr lang="fr" sz="1100" b="0" i="0" kern="1200" baseline="0">
                <a:solidFill>
                  <a:schemeClr val="dk1"/>
                </a:solidFill>
                <a:effectLst/>
                <a:latin typeface="+mn-lt"/>
                <a:ea typeface="+mn-ea"/>
                <a:cs typeface="+mn-cs"/>
              </a:rPr>
              <a:t>, ce qui signifie « SI D7 n’est égal à rien, ne rien afficher, sinon afficher D7 moins D6 ».</a:t>
            </a:r>
            <a:endParaRPr lang="en-US" sz="1100">
              <a:effectLst/>
            </a:endParaRPr>
          </a:p>
        </xdr:txBody>
      </xdr:sp>
      <xdr:pic>
        <xdr:nvPicPr>
          <xdr:cNvPr id="78" name="Loupe" descr="Loupe">
            <a:extLst>
              <a:ext uri="{FF2B5EF4-FFF2-40B4-BE49-F238E27FC236}">
                <a16:creationId xmlns:a16="http://schemas.microsoft.com/office/drawing/2014/main" id="{549658B6-2736-4A1B-AFF0-BBC07D5656ED}"/>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flipH="1">
            <a:off x="6788150" y="11420475"/>
            <a:ext cx="352313" cy="339611"/>
          </a:xfrm>
          <a:prstGeom prst="rect">
            <a:avLst/>
          </a:prstGeom>
        </xdr:spPr>
      </xdr:pic>
      <xdr:sp macro="" textlink="">
        <xdr:nvSpPr>
          <xdr:cNvPr id="79" name="Flèche" descr="Flèche">
            <a:extLst>
              <a:ext uri="{FF2B5EF4-FFF2-40B4-BE49-F238E27FC236}">
                <a16:creationId xmlns:a16="http://schemas.microsoft.com/office/drawing/2014/main" id="{F1BFDB5E-EC42-4F0E-A178-FCD8CF62E44B}"/>
              </a:ext>
            </a:extLst>
          </xdr:cNvPr>
          <xdr:cNvSpPr/>
        </xdr:nvSpPr>
        <xdr:spPr>
          <a:xfrm rot="19569635">
            <a:off x="6396316" y="11324814"/>
            <a:ext cx="475440" cy="394481"/>
          </a:xfrm>
          <a:prstGeom prst="arc">
            <a:avLst>
              <a:gd name="adj1" fmla="val 15011426"/>
              <a:gd name="adj2" fmla="val 672396"/>
            </a:avLst>
          </a:prstGeom>
          <a:ln w="19050">
            <a:solidFill>
              <a:schemeClr val="accent2">
                <a:lumMod val="60000"/>
                <a:lumOff val="40000"/>
              </a:schemeClr>
            </a:solidFill>
            <a:head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rtl="0"/>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314325</xdr:colOff>
      <xdr:row>3</xdr:row>
      <xdr:rowOff>0</xdr:rowOff>
    </xdr:from>
    <xdr:to>
      <xdr:col>17</xdr:col>
      <xdr:colOff>447675</xdr:colOff>
      <xdr:row>11</xdr:row>
      <xdr:rowOff>19050</xdr:rowOff>
    </xdr:to>
    <xdr:pic>
      <xdr:nvPicPr>
        <xdr:cNvPr id="2" name="Image 1">
          <a:extLst>
            <a:ext uri="{FF2B5EF4-FFF2-40B4-BE49-F238E27FC236}">
              <a16:creationId xmlns:a16="http://schemas.microsoft.com/office/drawing/2014/main" id="{A6D16F76-5ADB-489C-BB69-E1EA157A7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82550" y="628650"/>
          <a:ext cx="895350" cy="14097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pic>
    <xdr:clientData/>
  </xdr:twoCellAnchor>
  <xdr:twoCellAnchor>
    <xdr:from>
      <xdr:col>19</xdr:col>
      <xdr:colOff>0</xdr:colOff>
      <xdr:row>10</xdr:row>
      <xdr:rowOff>28575</xdr:rowOff>
    </xdr:from>
    <xdr:to>
      <xdr:col>19</xdr:col>
      <xdr:colOff>0</xdr:colOff>
      <xdr:row>10</xdr:row>
      <xdr:rowOff>95250</xdr:rowOff>
    </xdr:to>
    <xdr:sp macro="" textlink="">
      <xdr:nvSpPr>
        <xdr:cNvPr id="3" name="Line 3">
          <a:extLst>
            <a:ext uri="{FF2B5EF4-FFF2-40B4-BE49-F238E27FC236}">
              <a16:creationId xmlns:a16="http://schemas.microsoft.com/office/drawing/2014/main" id="{F91D0B67-C970-493F-B52E-A7CEC75410AF}"/>
            </a:ext>
          </a:extLst>
        </xdr:cNvPr>
        <xdr:cNvSpPr>
          <a:spLocks noChangeShapeType="1"/>
        </xdr:cNvSpPr>
      </xdr:nvSpPr>
      <xdr:spPr bwMode="auto">
        <a:xfrm flipV="1">
          <a:off x="14754225" y="1876425"/>
          <a:ext cx="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219075</xdr:colOff>
      <xdr:row>9</xdr:row>
      <xdr:rowOff>76200</xdr:rowOff>
    </xdr:from>
    <xdr:to>
      <xdr:col>18</xdr:col>
      <xdr:colOff>361950</xdr:colOff>
      <xdr:row>9</xdr:row>
      <xdr:rowOff>76200</xdr:rowOff>
    </xdr:to>
    <xdr:sp macro="" textlink="">
      <xdr:nvSpPr>
        <xdr:cNvPr id="4" name="Line 4">
          <a:extLst>
            <a:ext uri="{FF2B5EF4-FFF2-40B4-BE49-F238E27FC236}">
              <a16:creationId xmlns:a16="http://schemas.microsoft.com/office/drawing/2014/main" id="{0B32D199-B0AD-4AB8-82F4-61DBDFF9C4A2}"/>
            </a:ext>
          </a:extLst>
        </xdr:cNvPr>
        <xdr:cNvSpPr>
          <a:spLocks noChangeShapeType="1"/>
        </xdr:cNvSpPr>
      </xdr:nvSpPr>
      <xdr:spPr bwMode="auto">
        <a:xfrm>
          <a:off x="13449300" y="1752600"/>
          <a:ext cx="904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171450</xdr:colOff>
      <xdr:row>86</xdr:row>
      <xdr:rowOff>114301</xdr:rowOff>
    </xdr:from>
    <xdr:to>
      <xdr:col>15</xdr:col>
      <xdr:colOff>142875</xdr:colOff>
      <xdr:row>97</xdr:row>
      <xdr:rowOff>145572</xdr:rowOff>
    </xdr:to>
    <xdr:pic>
      <xdr:nvPicPr>
        <xdr:cNvPr id="2" name="Image 1">
          <a:extLst>
            <a:ext uri="{FF2B5EF4-FFF2-40B4-BE49-F238E27FC236}">
              <a16:creationId xmlns:a16="http://schemas.microsoft.com/office/drawing/2014/main" id="{C2BB9AF5-562C-4C41-83C2-4AADB3D561C0}"/>
            </a:ext>
          </a:extLst>
        </xdr:cNvPr>
        <xdr:cNvPicPr>
          <a:picLocks noChangeAspect="1"/>
        </xdr:cNvPicPr>
      </xdr:nvPicPr>
      <xdr:blipFill>
        <a:blip xmlns:r="http://schemas.openxmlformats.org/officeDocument/2006/relationships" r:embed="rId1"/>
        <a:stretch>
          <a:fillRect/>
        </a:stretch>
      </xdr:blipFill>
      <xdr:spPr>
        <a:xfrm>
          <a:off x="9286875" y="18230851"/>
          <a:ext cx="3324225" cy="2564921"/>
        </a:xfrm>
        <a:prstGeom prst="rect">
          <a:avLst/>
        </a:prstGeom>
      </xdr:spPr>
    </xdr:pic>
    <xdr:clientData/>
  </xdr:twoCellAnchor>
  <xdr:twoCellAnchor editAs="oneCell">
    <xdr:from>
      <xdr:col>11</xdr:col>
      <xdr:colOff>200025</xdr:colOff>
      <xdr:row>99</xdr:row>
      <xdr:rowOff>104776</xdr:rowOff>
    </xdr:from>
    <xdr:to>
      <xdr:col>15</xdr:col>
      <xdr:colOff>200025</xdr:colOff>
      <xdr:row>110</xdr:row>
      <xdr:rowOff>217451</xdr:rowOff>
    </xdr:to>
    <xdr:pic>
      <xdr:nvPicPr>
        <xdr:cNvPr id="3" name="Image 2">
          <a:extLst>
            <a:ext uri="{FF2B5EF4-FFF2-40B4-BE49-F238E27FC236}">
              <a16:creationId xmlns:a16="http://schemas.microsoft.com/office/drawing/2014/main" id="{51A36159-5CFA-44E9-AB5A-B33C7EDA7858}"/>
            </a:ext>
          </a:extLst>
        </xdr:cNvPr>
        <xdr:cNvPicPr>
          <a:picLocks noChangeAspect="1"/>
        </xdr:cNvPicPr>
      </xdr:nvPicPr>
      <xdr:blipFill>
        <a:blip xmlns:r="http://schemas.openxmlformats.org/officeDocument/2006/relationships" r:embed="rId2"/>
        <a:stretch>
          <a:fillRect/>
        </a:stretch>
      </xdr:blipFill>
      <xdr:spPr>
        <a:xfrm>
          <a:off x="9315450" y="21193126"/>
          <a:ext cx="3352800" cy="2560600"/>
        </a:xfrm>
        <a:prstGeom prst="rect">
          <a:avLst/>
        </a:prstGeom>
      </xdr:spPr>
    </xdr:pic>
    <xdr:clientData/>
  </xdr:twoCellAnchor>
  <xdr:twoCellAnchor editAs="oneCell">
    <xdr:from>
      <xdr:col>26</xdr:col>
      <xdr:colOff>247651</xdr:colOff>
      <xdr:row>178</xdr:row>
      <xdr:rowOff>19052</xdr:rowOff>
    </xdr:from>
    <xdr:to>
      <xdr:col>30</xdr:col>
      <xdr:colOff>428626</xdr:colOff>
      <xdr:row>189</xdr:row>
      <xdr:rowOff>101366</xdr:rowOff>
    </xdr:to>
    <xdr:pic>
      <xdr:nvPicPr>
        <xdr:cNvPr id="4" name="Image 3">
          <a:extLst>
            <a:ext uri="{FF2B5EF4-FFF2-40B4-BE49-F238E27FC236}">
              <a16:creationId xmlns:a16="http://schemas.microsoft.com/office/drawing/2014/main" id="{E3906283-3378-4DC8-9AF2-C81E12735CE6}"/>
            </a:ext>
          </a:extLst>
        </xdr:cNvPr>
        <xdr:cNvPicPr>
          <a:picLocks noChangeAspect="1"/>
        </xdr:cNvPicPr>
      </xdr:nvPicPr>
      <xdr:blipFill>
        <a:blip xmlns:r="http://schemas.openxmlformats.org/officeDocument/2006/relationships" r:embed="rId3"/>
        <a:stretch>
          <a:fillRect/>
        </a:stretch>
      </xdr:blipFill>
      <xdr:spPr>
        <a:xfrm>
          <a:off x="21612226" y="37861877"/>
          <a:ext cx="3162300" cy="2444514"/>
        </a:xfrm>
        <a:prstGeom prst="rect">
          <a:avLst/>
        </a:prstGeom>
      </xdr:spPr>
    </xdr:pic>
    <xdr:clientData/>
  </xdr:twoCellAnchor>
  <xdr:twoCellAnchor editAs="oneCell">
    <xdr:from>
      <xdr:col>10</xdr:col>
      <xdr:colOff>247650</xdr:colOff>
      <xdr:row>177</xdr:row>
      <xdr:rowOff>57150</xdr:rowOff>
    </xdr:from>
    <xdr:to>
      <xdr:col>14</xdr:col>
      <xdr:colOff>28575</xdr:colOff>
      <xdr:row>188</xdr:row>
      <xdr:rowOff>116948</xdr:rowOff>
    </xdr:to>
    <xdr:pic>
      <xdr:nvPicPr>
        <xdr:cNvPr id="5" name="Image 4">
          <a:extLst>
            <a:ext uri="{FF2B5EF4-FFF2-40B4-BE49-F238E27FC236}">
              <a16:creationId xmlns:a16="http://schemas.microsoft.com/office/drawing/2014/main" id="{260C27F5-C900-40FF-9F44-67D5858C025F}"/>
            </a:ext>
          </a:extLst>
        </xdr:cNvPr>
        <xdr:cNvPicPr>
          <a:picLocks noChangeAspect="1"/>
        </xdr:cNvPicPr>
      </xdr:nvPicPr>
      <xdr:blipFill>
        <a:blip xmlns:r="http://schemas.openxmlformats.org/officeDocument/2006/relationships" r:embed="rId4"/>
        <a:stretch>
          <a:fillRect/>
        </a:stretch>
      </xdr:blipFill>
      <xdr:spPr>
        <a:xfrm>
          <a:off x="8524875" y="37699950"/>
          <a:ext cx="3133725" cy="2421998"/>
        </a:xfrm>
        <a:prstGeom prst="rect">
          <a:avLst/>
        </a:prstGeom>
      </xdr:spPr>
    </xdr:pic>
    <xdr:clientData/>
  </xdr:twoCellAnchor>
  <xdr:twoCellAnchor editAs="oneCell">
    <xdr:from>
      <xdr:col>11</xdr:col>
      <xdr:colOff>533401</xdr:colOff>
      <xdr:row>215</xdr:row>
      <xdr:rowOff>200019</xdr:rowOff>
    </xdr:from>
    <xdr:to>
      <xdr:col>15</xdr:col>
      <xdr:colOff>266701</xdr:colOff>
      <xdr:row>226</xdr:row>
      <xdr:rowOff>133344</xdr:rowOff>
    </xdr:to>
    <xdr:pic>
      <xdr:nvPicPr>
        <xdr:cNvPr id="6" name="Image 5">
          <a:extLst>
            <a:ext uri="{FF2B5EF4-FFF2-40B4-BE49-F238E27FC236}">
              <a16:creationId xmlns:a16="http://schemas.microsoft.com/office/drawing/2014/main" id="{59EA1D8A-131F-4634-BA38-4D20650898AE}"/>
            </a:ext>
          </a:extLst>
        </xdr:cNvPr>
        <xdr:cNvPicPr>
          <a:picLocks noChangeAspect="1"/>
        </xdr:cNvPicPr>
      </xdr:nvPicPr>
      <xdr:blipFill>
        <a:blip xmlns:r="http://schemas.openxmlformats.org/officeDocument/2006/relationships" r:embed="rId5"/>
        <a:stretch>
          <a:fillRect/>
        </a:stretch>
      </xdr:blipFill>
      <xdr:spPr>
        <a:xfrm>
          <a:off x="9648826" y="45920019"/>
          <a:ext cx="3086100" cy="2314575"/>
        </a:xfrm>
        <a:prstGeom prst="rect">
          <a:avLst/>
        </a:prstGeom>
      </xdr:spPr>
    </xdr:pic>
    <xdr:clientData/>
  </xdr:twoCellAnchor>
  <xdr:twoCellAnchor editAs="oneCell">
    <xdr:from>
      <xdr:col>11</xdr:col>
      <xdr:colOff>571501</xdr:colOff>
      <xdr:row>203</xdr:row>
      <xdr:rowOff>38100</xdr:rowOff>
    </xdr:from>
    <xdr:to>
      <xdr:col>15</xdr:col>
      <xdr:colOff>311717</xdr:colOff>
      <xdr:row>213</xdr:row>
      <xdr:rowOff>142875</xdr:rowOff>
    </xdr:to>
    <xdr:pic>
      <xdr:nvPicPr>
        <xdr:cNvPr id="7" name="Image 6">
          <a:extLst>
            <a:ext uri="{FF2B5EF4-FFF2-40B4-BE49-F238E27FC236}">
              <a16:creationId xmlns:a16="http://schemas.microsoft.com/office/drawing/2014/main" id="{A2AB3C5C-4D42-4394-9428-9F96FEE9AF51}"/>
            </a:ext>
          </a:extLst>
        </xdr:cNvPr>
        <xdr:cNvPicPr>
          <a:picLocks noChangeAspect="1"/>
        </xdr:cNvPicPr>
      </xdr:nvPicPr>
      <xdr:blipFill>
        <a:blip xmlns:r="http://schemas.openxmlformats.org/officeDocument/2006/relationships" r:embed="rId6"/>
        <a:stretch>
          <a:fillRect/>
        </a:stretch>
      </xdr:blipFill>
      <xdr:spPr>
        <a:xfrm>
          <a:off x="9686926" y="43062525"/>
          <a:ext cx="3093016" cy="2400300"/>
        </a:xfrm>
        <a:prstGeom prst="rect">
          <a:avLst/>
        </a:prstGeom>
      </xdr:spPr>
    </xdr:pic>
    <xdr:clientData/>
  </xdr:twoCellAnchor>
  <xdr:twoCellAnchor editAs="oneCell">
    <xdr:from>
      <xdr:col>11</xdr:col>
      <xdr:colOff>571500</xdr:colOff>
      <xdr:row>244</xdr:row>
      <xdr:rowOff>95251</xdr:rowOff>
    </xdr:from>
    <xdr:to>
      <xdr:col>15</xdr:col>
      <xdr:colOff>566565</xdr:colOff>
      <xdr:row>256</xdr:row>
      <xdr:rowOff>95251</xdr:rowOff>
    </xdr:to>
    <xdr:pic>
      <xdr:nvPicPr>
        <xdr:cNvPr id="8" name="Image 7">
          <a:extLst>
            <a:ext uri="{FF2B5EF4-FFF2-40B4-BE49-F238E27FC236}">
              <a16:creationId xmlns:a16="http://schemas.microsoft.com/office/drawing/2014/main" id="{5DD12480-E31C-49BB-B988-A550C14A05CE}"/>
            </a:ext>
          </a:extLst>
        </xdr:cNvPr>
        <xdr:cNvPicPr>
          <a:picLocks noChangeAspect="1"/>
        </xdr:cNvPicPr>
      </xdr:nvPicPr>
      <xdr:blipFill>
        <a:blip xmlns:r="http://schemas.openxmlformats.org/officeDocument/2006/relationships" r:embed="rId7"/>
        <a:stretch>
          <a:fillRect/>
        </a:stretch>
      </xdr:blipFill>
      <xdr:spPr>
        <a:xfrm>
          <a:off x="9686925" y="51882676"/>
          <a:ext cx="3347865" cy="2590800"/>
        </a:xfrm>
        <a:prstGeom prst="rect">
          <a:avLst/>
        </a:prstGeom>
      </xdr:spPr>
    </xdr:pic>
    <xdr:clientData/>
  </xdr:twoCellAnchor>
  <xdr:twoCellAnchor editAs="oneCell">
    <xdr:from>
      <xdr:col>11</xdr:col>
      <xdr:colOff>619125</xdr:colOff>
      <xdr:row>257</xdr:row>
      <xdr:rowOff>123826</xdr:rowOff>
    </xdr:from>
    <xdr:to>
      <xdr:col>15</xdr:col>
      <xdr:colOff>590551</xdr:colOff>
      <xdr:row>270</xdr:row>
      <xdr:rowOff>5369</xdr:rowOff>
    </xdr:to>
    <xdr:pic>
      <xdr:nvPicPr>
        <xdr:cNvPr id="9" name="Image 8">
          <a:extLst>
            <a:ext uri="{FF2B5EF4-FFF2-40B4-BE49-F238E27FC236}">
              <a16:creationId xmlns:a16="http://schemas.microsoft.com/office/drawing/2014/main" id="{B4B7C65E-720A-48F8-A146-550E9D281BBB}"/>
            </a:ext>
          </a:extLst>
        </xdr:cNvPr>
        <xdr:cNvPicPr>
          <a:picLocks noChangeAspect="1"/>
        </xdr:cNvPicPr>
      </xdr:nvPicPr>
      <xdr:blipFill>
        <a:blip xmlns:r="http://schemas.openxmlformats.org/officeDocument/2006/relationships" r:embed="rId8"/>
        <a:stretch>
          <a:fillRect/>
        </a:stretch>
      </xdr:blipFill>
      <xdr:spPr>
        <a:xfrm>
          <a:off x="9734550" y="54702076"/>
          <a:ext cx="3324226" cy="2577118"/>
        </a:xfrm>
        <a:prstGeom prst="rect">
          <a:avLst/>
        </a:prstGeom>
      </xdr:spPr>
    </xdr:pic>
    <xdr:clientData/>
  </xdr:twoCellAnchor>
  <xdr:twoCellAnchor editAs="oneCell">
    <xdr:from>
      <xdr:col>11</xdr:col>
      <xdr:colOff>590550</xdr:colOff>
      <xdr:row>280</xdr:row>
      <xdr:rowOff>0</xdr:rowOff>
    </xdr:from>
    <xdr:to>
      <xdr:col>15</xdr:col>
      <xdr:colOff>418449</xdr:colOff>
      <xdr:row>291</xdr:row>
      <xdr:rowOff>66675</xdr:rowOff>
    </xdr:to>
    <xdr:pic>
      <xdr:nvPicPr>
        <xdr:cNvPr id="10" name="Image 9">
          <a:extLst>
            <a:ext uri="{FF2B5EF4-FFF2-40B4-BE49-F238E27FC236}">
              <a16:creationId xmlns:a16="http://schemas.microsoft.com/office/drawing/2014/main" id="{1EB986BB-AB43-4FAF-8672-CB2F18BD6693}"/>
            </a:ext>
          </a:extLst>
        </xdr:cNvPr>
        <xdr:cNvPicPr>
          <a:picLocks noChangeAspect="1"/>
        </xdr:cNvPicPr>
      </xdr:nvPicPr>
      <xdr:blipFill>
        <a:blip xmlns:r="http://schemas.openxmlformats.org/officeDocument/2006/relationships" r:embed="rId9"/>
        <a:stretch>
          <a:fillRect/>
        </a:stretch>
      </xdr:blipFill>
      <xdr:spPr>
        <a:xfrm>
          <a:off x="9705975" y="59359800"/>
          <a:ext cx="3180699" cy="2457450"/>
        </a:xfrm>
        <a:prstGeom prst="rect">
          <a:avLst/>
        </a:prstGeom>
      </xdr:spPr>
    </xdr:pic>
    <xdr:clientData/>
  </xdr:twoCellAnchor>
  <xdr:twoCellAnchor editAs="oneCell">
    <xdr:from>
      <xdr:col>11</xdr:col>
      <xdr:colOff>447675</xdr:colOff>
      <xdr:row>294</xdr:row>
      <xdr:rowOff>9525</xdr:rowOff>
    </xdr:from>
    <xdr:to>
      <xdr:col>15</xdr:col>
      <xdr:colOff>239956</xdr:colOff>
      <xdr:row>305</xdr:row>
      <xdr:rowOff>114300</xdr:rowOff>
    </xdr:to>
    <xdr:pic>
      <xdr:nvPicPr>
        <xdr:cNvPr id="11" name="Image 10">
          <a:extLst>
            <a:ext uri="{FF2B5EF4-FFF2-40B4-BE49-F238E27FC236}">
              <a16:creationId xmlns:a16="http://schemas.microsoft.com/office/drawing/2014/main" id="{7D995D1A-4BD0-48BD-8E2C-392F702B1342}"/>
            </a:ext>
          </a:extLst>
        </xdr:cNvPr>
        <xdr:cNvPicPr>
          <a:picLocks noChangeAspect="1"/>
        </xdr:cNvPicPr>
      </xdr:nvPicPr>
      <xdr:blipFill>
        <a:blip xmlns:r="http://schemas.openxmlformats.org/officeDocument/2006/relationships" r:embed="rId10"/>
        <a:stretch>
          <a:fillRect/>
        </a:stretch>
      </xdr:blipFill>
      <xdr:spPr>
        <a:xfrm>
          <a:off x="9563100" y="62398275"/>
          <a:ext cx="3145081" cy="2428875"/>
        </a:xfrm>
        <a:prstGeom prst="rect">
          <a:avLst/>
        </a:prstGeom>
      </xdr:spPr>
    </xdr:pic>
    <xdr:clientData/>
  </xdr:twoCellAnchor>
  <xdr:twoCellAnchor editAs="oneCell">
    <xdr:from>
      <xdr:col>48</xdr:col>
      <xdr:colOff>161925</xdr:colOff>
      <xdr:row>278</xdr:row>
      <xdr:rowOff>142875</xdr:rowOff>
    </xdr:from>
    <xdr:to>
      <xdr:col>52</xdr:col>
      <xdr:colOff>628650</xdr:colOff>
      <xdr:row>291</xdr:row>
      <xdr:rowOff>150019</xdr:rowOff>
    </xdr:to>
    <xdr:pic>
      <xdr:nvPicPr>
        <xdr:cNvPr id="12" name="Image 11">
          <a:extLst>
            <a:ext uri="{FF2B5EF4-FFF2-40B4-BE49-F238E27FC236}">
              <a16:creationId xmlns:a16="http://schemas.microsoft.com/office/drawing/2014/main" id="{E81F095A-5A32-415B-9B44-42E0577BF4D1}"/>
            </a:ext>
          </a:extLst>
        </xdr:cNvPr>
        <xdr:cNvPicPr>
          <a:picLocks noChangeAspect="1"/>
        </xdr:cNvPicPr>
      </xdr:nvPicPr>
      <xdr:blipFill>
        <a:blip xmlns:r="http://schemas.openxmlformats.org/officeDocument/2006/relationships" r:embed="rId11"/>
        <a:stretch>
          <a:fillRect/>
        </a:stretch>
      </xdr:blipFill>
      <xdr:spPr>
        <a:xfrm>
          <a:off x="39138225" y="59035950"/>
          <a:ext cx="3819525" cy="2864644"/>
        </a:xfrm>
        <a:prstGeom prst="rect">
          <a:avLst/>
        </a:prstGeom>
      </xdr:spPr>
    </xdr:pic>
    <xdr:clientData/>
  </xdr:twoCellAnchor>
  <xdr:twoCellAnchor editAs="oneCell">
    <xdr:from>
      <xdr:col>48</xdr:col>
      <xdr:colOff>276225</xdr:colOff>
      <xdr:row>243</xdr:row>
      <xdr:rowOff>66675</xdr:rowOff>
    </xdr:from>
    <xdr:to>
      <xdr:col>52</xdr:col>
      <xdr:colOff>758824</xdr:colOff>
      <xdr:row>256</xdr:row>
      <xdr:rowOff>85724</xdr:rowOff>
    </xdr:to>
    <xdr:pic>
      <xdr:nvPicPr>
        <xdr:cNvPr id="13" name="Image 12">
          <a:extLst>
            <a:ext uri="{FF2B5EF4-FFF2-40B4-BE49-F238E27FC236}">
              <a16:creationId xmlns:a16="http://schemas.microsoft.com/office/drawing/2014/main" id="{8A9A5BC3-F4C8-4FAD-9920-2E36BDA2871B}"/>
            </a:ext>
          </a:extLst>
        </xdr:cNvPr>
        <xdr:cNvPicPr>
          <a:picLocks noChangeAspect="1"/>
        </xdr:cNvPicPr>
      </xdr:nvPicPr>
      <xdr:blipFill>
        <a:blip xmlns:r="http://schemas.openxmlformats.org/officeDocument/2006/relationships" r:embed="rId12"/>
        <a:stretch>
          <a:fillRect/>
        </a:stretch>
      </xdr:blipFill>
      <xdr:spPr>
        <a:xfrm>
          <a:off x="39252525" y="51587400"/>
          <a:ext cx="3835399" cy="2876549"/>
        </a:xfrm>
        <a:prstGeom prst="rect">
          <a:avLst/>
        </a:prstGeom>
      </xdr:spPr>
    </xdr:pic>
    <xdr:clientData/>
  </xdr:twoCellAnchor>
  <xdr:twoCellAnchor editAs="oneCell">
    <xdr:from>
      <xdr:col>48</xdr:col>
      <xdr:colOff>228600</xdr:colOff>
      <xdr:row>204</xdr:row>
      <xdr:rowOff>104775</xdr:rowOff>
    </xdr:from>
    <xdr:to>
      <xdr:col>52</xdr:col>
      <xdr:colOff>666750</xdr:colOff>
      <xdr:row>217</xdr:row>
      <xdr:rowOff>109538</xdr:rowOff>
    </xdr:to>
    <xdr:pic>
      <xdr:nvPicPr>
        <xdr:cNvPr id="14" name="Image 13">
          <a:extLst>
            <a:ext uri="{FF2B5EF4-FFF2-40B4-BE49-F238E27FC236}">
              <a16:creationId xmlns:a16="http://schemas.microsoft.com/office/drawing/2014/main" id="{7D005A1A-067A-4DD4-BEF2-7D5B1F1D9BA9}"/>
            </a:ext>
          </a:extLst>
        </xdr:cNvPr>
        <xdr:cNvPicPr>
          <a:picLocks noChangeAspect="1"/>
        </xdr:cNvPicPr>
      </xdr:nvPicPr>
      <xdr:blipFill>
        <a:blip xmlns:r="http://schemas.openxmlformats.org/officeDocument/2006/relationships" r:embed="rId13"/>
        <a:stretch>
          <a:fillRect/>
        </a:stretch>
      </xdr:blipFill>
      <xdr:spPr>
        <a:xfrm>
          <a:off x="39204900" y="43395900"/>
          <a:ext cx="3790950" cy="2843213"/>
        </a:xfrm>
        <a:prstGeom prst="rect">
          <a:avLst/>
        </a:prstGeom>
      </xdr:spPr>
    </xdr:pic>
    <xdr:clientData/>
  </xdr:twoCellAnchor>
  <xdr:twoCellAnchor editAs="oneCell">
    <xdr:from>
      <xdr:col>32</xdr:col>
      <xdr:colOff>676275</xdr:colOff>
      <xdr:row>178</xdr:row>
      <xdr:rowOff>76200</xdr:rowOff>
    </xdr:from>
    <xdr:to>
      <xdr:col>37</xdr:col>
      <xdr:colOff>130175</xdr:colOff>
      <xdr:row>191</xdr:row>
      <xdr:rowOff>47625</xdr:rowOff>
    </xdr:to>
    <xdr:pic>
      <xdr:nvPicPr>
        <xdr:cNvPr id="15" name="Image 14">
          <a:extLst>
            <a:ext uri="{FF2B5EF4-FFF2-40B4-BE49-F238E27FC236}">
              <a16:creationId xmlns:a16="http://schemas.microsoft.com/office/drawing/2014/main" id="{8372FD17-E05B-48B3-B608-3FAFC7FAD4C3}"/>
            </a:ext>
          </a:extLst>
        </xdr:cNvPr>
        <xdr:cNvPicPr>
          <a:picLocks noChangeAspect="1"/>
        </xdr:cNvPicPr>
      </xdr:nvPicPr>
      <xdr:blipFill>
        <a:blip xmlns:r="http://schemas.openxmlformats.org/officeDocument/2006/relationships" r:embed="rId14"/>
        <a:stretch>
          <a:fillRect/>
        </a:stretch>
      </xdr:blipFill>
      <xdr:spPr>
        <a:xfrm>
          <a:off x="26698575" y="37919025"/>
          <a:ext cx="3644900" cy="2733675"/>
        </a:xfrm>
        <a:prstGeom prst="rect">
          <a:avLst/>
        </a:prstGeom>
      </xdr:spPr>
    </xdr:pic>
    <xdr:clientData/>
  </xdr:twoCellAnchor>
  <xdr:twoCellAnchor editAs="oneCell">
    <xdr:from>
      <xdr:col>11</xdr:col>
      <xdr:colOff>666750</xdr:colOff>
      <xdr:row>150</xdr:row>
      <xdr:rowOff>0</xdr:rowOff>
    </xdr:from>
    <xdr:to>
      <xdr:col>14</xdr:col>
      <xdr:colOff>755646</xdr:colOff>
      <xdr:row>159</xdr:row>
      <xdr:rowOff>95248</xdr:rowOff>
    </xdr:to>
    <xdr:pic>
      <xdr:nvPicPr>
        <xdr:cNvPr id="16" name="Image 15">
          <a:extLst>
            <a:ext uri="{FF2B5EF4-FFF2-40B4-BE49-F238E27FC236}">
              <a16:creationId xmlns:a16="http://schemas.microsoft.com/office/drawing/2014/main" id="{A5C5EBB6-D90A-45F5-A387-C7AD37723568}"/>
            </a:ext>
          </a:extLst>
        </xdr:cNvPr>
        <xdr:cNvPicPr>
          <a:picLocks noChangeAspect="1"/>
        </xdr:cNvPicPr>
      </xdr:nvPicPr>
      <xdr:blipFill>
        <a:blip xmlns:r="http://schemas.openxmlformats.org/officeDocument/2006/relationships" r:embed="rId15"/>
        <a:stretch>
          <a:fillRect/>
        </a:stretch>
      </xdr:blipFill>
      <xdr:spPr>
        <a:xfrm>
          <a:off x="9782175" y="32099250"/>
          <a:ext cx="2603496" cy="1952623"/>
        </a:xfrm>
        <a:prstGeom prst="rect">
          <a:avLst/>
        </a:prstGeom>
      </xdr:spPr>
    </xdr:pic>
    <xdr:clientData/>
  </xdr:twoCellAnchor>
  <xdr:twoCellAnchor editAs="oneCell">
    <xdr:from>
      <xdr:col>11</xdr:col>
      <xdr:colOff>762000</xdr:colOff>
      <xdr:row>137</xdr:row>
      <xdr:rowOff>200025</xdr:rowOff>
    </xdr:from>
    <xdr:to>
      <xdr:col>14</xdr:col>
      <xdr:colOff>834390</xdr:colOff>
      <xdr:row>146</xdr:row>
      <xdr:rowOff>171450</xdr:rowOff>
    </xdr:to>
    <xdr:pic>
      <xdr:nvPicPr>
        <xdr:cNvPr id="17" name="Image 16">
          <a:extLst>
            <a:ext uri="{FF2B5EF4-FFF2-40B4-BE49-F238E27FC236}">
              <a16:creationId xmlns:a16="http://schemas.microsoft.com/office/drawing/2014/main" id="{38645A37-77E7-4F1C-B59E-87339E5B7664}"/>
            </a:ext>
          </a:extLst>
        </xdr:cNvPr>
        <xdr:cNvPicPr>
          <a:picLocks noChangeAspect="1"/>
        </xdr:cNvPicPr>
      </xdr:nvPicPr>
      <xdr:blipFill>
        <a:blip xmlns:r="http://schemas.openxmlformats.org/officeDocument/2006/relationships" r:embed="rId16"/>
        <a:stretch>
          <a:fillRect/>
        </a:stretch>
      </xdr:blipFill>
      <xdr:spPr>
        <a:xfrm>
          <a:off x="9877425" y="29384625"/>
          <a:ext cx="2586990" cy="2000250"/>
        </a:xfrm>
        <a:prstGeom prst="rect">
          <a:avLst/>
        </a:prstGeom>
      </xdr:spPr>
    </xdr:pic>
    <xdr:clientData/>
  </xdr:twoCellAnchor>
  <xdr:twoCellAnchor editAs="oneCell">
    <xdr:from>
      <xdr:col>48</xdr:col>
      <xdr:colOff>581025</xdr:colOff>
      <xdr:row>137</xdr:row>
      <xdr:rowOff>19050</xdr:rowOff>
    </xdr:from>
    <xdr:to>
      <xdr:col>53</xdr:col>
      <xdr:colOff>371475</xdr:colOff>
      <xdr:row>151</xdr:row>
      <xdr:rowOff>119063</xdr:rowOff>
    </xdr:to>
    <xdr:pic>
      <xdr:nvPicPr>
        <xdr:cNvPr id="18" name="Image 17">
          <a:extLst>
            <a:ext uri="{FF2B5EF4-FFF2-40B4-BE49-F238E27FC236}">
              <a16:creationId xmlns:a16="http://schemas.microsoft.com/office/drawing/2014/main" id="{703FBA26-F81E-47B1-8291-30A2393110E2}"/>
            </a:ext>
          </a:extLst>
        </xdr:cNvPr>
        <xdr:cNvPicPr>
          <a:picLocks noChangeAspect="1"/>
        </xdr:cNvPicPr>
      </xdr:nvPicPr>
      <xdr:blipFill>
        <a:blip xmlns:r="http://schemas.openxmlformats.org/officeDocument/2006/relationships" r:embed="rId17"/>
        <a:stretch>
          <a:fillRect/>
        </a:stretch>
      </xdr:blipFill>
      <xdr:spPr>
        <a:xfrm>
          <a:off x="39557325" y="29203650"/>
          <a:ext cx="3981450" cy="32146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57150</xdr:colOff>
      <xdr:row>741</xdr:row>
      <xdr:rowOff>190500</xdr:rowOff>
    </xdr:from>
    <xdr:ext cx="6476166" cy="1581150"/>
    <xdr:pic>
      <xdr:nvPicPr>
        <xdr:cNvPr id="2" name="Image 1">
          <a:extLst>
            <a:ext uri="{FF2B5EF4-FFF2-40B4-BE49-F238E27FC236}">
              <a16:creationId xmlns:a16="http://schemas.microsoft.com/office/drawing/2014/main" id="{4AA38460-4FD2-4E36-B244-40F02E44F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50" y="138207750"/>
          <a:ext cx="6476166" cy="1581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238125</xdr:colOff>
      <xdr:row>763</xdr:row>
      <xdr:rowOff>200025</xdr:rowOff>
    </xdr:from>
    <xdr:ext cx="10972800" cy="1295400"/>
    <xdr:pic>
      <xdr:nvPicPr>
        <xdr:cNvPr id="3" name="Image 2">
          <a:extLst>
            <a:ext uri="{FF2B5EF4-FFF2-40B4-BE49-F238E27FC236}">
              <a16:creationId xmlns:a16="http://schemas.microsoft.com/office/drawing/2014/main" id="{36FA18B1-57AE-4AF8-9959-D404DA352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142617825"/>
          <a:ext cx="109728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228600</xdr:colOff>
      <xdr:row>832</xdr:row>
      <xdr:rowOff>304800</xdr:rowOff>
    </xdr:from>
    <xdr:ext cx="6076950" cy="1466850"/>
    <xdr:pic>
      <xdr:nvPicPr>
        <xdr:cNvPr id="4" name="Image 3">
          <a:extLst>
            <a:ext uri="{FF2B5EF4-FFF2-40B4-BE49-F238E27FC236}">
              <a16:creationId xmlns:a16="http://schemas.microsoft.com/office/drawing/2014/main" id="{263AB651-417F-4128-A537-05E50FCA27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0" y="156419550"/>
          <a:ext cx="6076950" cy="1466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926</xdr:row>
      <xdr:rowOff>0</xdr:rowOff>
    </xdr:from>
    <xdr:ext cx="7620000" cy="3276600"/>
    <xdr:pic>
      <xdr:nvPicPr>
        <xdr:cNvPr id="5" name="Image 4">
          <a:extLst>
            <a:ext uri="{FF2B5EF4-FFF2-40B4-BE49-F238E27FC236}">
              <a16:creationId xmlns:a16="http://schemas.microsoft.com/office/drawing/2014/main" id="{092E402E-F09C-4B24-8DAF-988983C9A32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175021875"/>
          <a:ext cx="76200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361950</xdr:colOff>
      <xdr:row>739</xdr:row>
      <xdr:rowOff>152400</xdr:rowOff>
    </xdr:from>
    <xdr:ext cx="6218274" cy="1295400"/>
    <xdr:pic>
      <xdr:nvPicPr>
        <xdr:cNvPr id="6" name="Image 5">
          <a:extLst>
            <a:ext uri="{FF2B5EF4-FFF2-40B4-BE49-F238E27FC236}">
              <a16:creationId xmlns:a16="http://schemas.microsoft.com/office/drawing/2014/main" id="{F8677A74-11C9-4D68-9E32-54F16F530B6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38350" y="137769600"/>
          <a:ext cx="6218274"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314325</xdr:colOff>
      <xdr:row>767</xdr:row>
      <xdr:rowOff>152400</xdr:rowOff>
    </xdr:from>
    <xdr:ext cx="10972800" cy="1371600"/>
    <xdr:pic>
      <xdr:nvPicPr>
        <xdr:cNvPr id="7" name="Image 6">
          <a:extLst>
            <a:ext uri="{FF2B5EF4-FFF2-40B4-BE49-F238E27FC236}">
              <a16:creationId xmlns:a16="http://schemas.microsoft.com/office/drawing/2014/main" id="{D35B00F3-C6FC-415D-A22B-85E30170217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90725" y="143370300"/>
          <a:ext cx="10972800" cy="137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333375</xdr:colOff>
      <xdr:row>835</xdr:row>
      <xdr:rowOff>190500</xdr:rowOff>
    </xdr:from>
    <xdr:ext cx="6076950" cy="1562100"/>
    <xdr:pic>
      <xdr:nvPicPr>
        <xdr:cNvPr id="8" name="Image 7">
          <a:extLst>
            <a:ext uri="{FF2B5EF4-FFF2-40B4-BE49-F238E27FC236}">
              <a16:creationId xmlns:a16="http://schemas.microsoft.com/office/drawing/2014/main" id="{CF7E5794-8F38-4F65-9385-CB94F75BC7E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09775" y="157010100"/>
          <a:ext cx="6076950" cy="1562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926</xdr:row>
      <xdr:rowOff>0</xdr:rowOff>
    </xdr:from>
    <xdr:ext cx="7620000" cy="3276600"/>
    <xdr:pic>
      <xdr:nvPicPr>
        <xdr:cNvPr id="9" name="Image 8">
          <a:extLst>
            <a:ext uri="{FF2B5EF4-FFF2-40B4-BE49-F238E27FC236}">
              <a16:creationId xmlns:a16="http://schemas.microsoft.com/office/drawing/2014/main" id="{760FE21B-4752-427D-87BD-BD7EC4EC04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14600" y="175021875"/>
          <a:ext cx="76200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498475</xdr:colOff>
      <xdr:row>50</xdr:row>
      <xdr:rowOff>31750</xdr:rowOff>
    </xdr:from>
    <xdr:ext cx="2600688" cy="1095528"/>
    <xdr:pic>
      <xdr:nvPicPr>
        <xdr:cNvPr id="10" name="Image 9">
          <a:extLst>
            <a:ext uri="{FF2B5EF4-FFF2-40B4-BE49-F238E27FC236}">
              <a16:creationId xmlns:a16="http://schemas.microsoft.com/office/drawing/2014/main" id="{8E1CB36F-FD43-4BCC-9AB6-E220DE3A3E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89475" y="9232900"/>
          <a:ext cx="2600688" cy="1095528"/>
        </a:xfrm>
        <a:prstGeom prst="rect">
          <a:avLst/>
        </a:prstGeom>
      </xdr:spPr>
    </xdr:pic>
    <xdr:clientData/>
  </xdr:oneCellAnchor>
  <xdr:oneCellAnchor>
    <xdr:from>
      <xdr:col>2</xdr:col>
      <xdr:colOff>3175</xdr:colOff>
      <xdr:row>114</xdr:row>
      <xdr:rowOff>184151</xdr:rowOff>
    </xdr:from>
    <xdr:ext cx="5782482" cy="2219635"/>
    <xdr:pic>
      <xdr:nvPicPr>
        <xdr:cNvPr id="11" name="Image 10">
          <a:extLst>
            <a:ext uri="{FF2B5EF4-FFF2-40B4-BE49-F238E27FC236}">
              <a16:creationId xmlns:a16="http://schemas.microsoft.com/office/drawing/2014/main" id="{21AA1B4A-00FA-4D4A-8FFF-6FD1C880D1E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9575" y="22186901"/>
          <a:ext cx="5782482" cy="2219635"/>
        </a:xfrm>
        <a:prstGeom prst="rect">
          <a:avLst/>
        </a:prstGeom>
      </xdr:spPr>
    </xdr:pic>
    <xdr:clientData/>
  </xdr:oneCellAnchor>
  <xdr:oneCellAnchor>
    <xdr:from>
      <xdr:col>7</xdr:col>
      <xdr:colOff>31751</xdr:colOff>
      <xdr:row>369</xdr:row>
      <xdr:rowOff>117475</xdr:rowOff>
    </xdr:from>
    <xdr:ext cx="5353797" cy="1105054"/>
    <xdr:pic>
      <xdr:nvPicPr>
        <xdr:cNvPr id="12" name="Image 11">
          <a:extLst>
            <a:ext uri="{FF2B5EF4-FFF2-40B4-BE49-F238E27FC236}">
              <a16:creationId xmlns:a16="http://schemas.microsoft.com/office/drawing/2014/main" id="{C2537B37-F142-43ED-8682-B64532404C3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899151" y="63725425"/>
          <a:ext cx="5353797" cy="1105054"/>
        </a:xfrm>
        <a:prstGeom prst="rect">
          <a:avLst/>
        </a:prstGeom>
      </xdr:spPr>
    </xdr:pic>
    <xdr:clientData/>
  </xdr:oneCellAnchor>
  <xdr:oneCellAnchor>
    <xdr:from>
      <xdr:col>2</xdr:col>
      <xdr:colOff>19050</xdr:colOff>
      <xdr:row>518</xdr:row>
      <xdr:rowOff>76200</xdr:rowOff>
    </xdr:from>
    <xdr:ext cx="1238423" cy="1124107"/>
    <xdr:pic>
      <xdr:nvPicPr>
        <xdr:cNvPr id="13" name="Image 12">
          <a:extLst>
            <a:ext uri="{FF2B5EF4-FFF2-40B4-BE49-F238E27FC236}">
              <a16:creationId xmlns:a16="http://schemas.microsoft.com/office/drawing/2014/main" id="{D5AFB414-E6F7-44DA-8F65-8C5E1C5DDC6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95450" y="93487875"/>
          <a:ext cx="1238423" cy="112410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161925</xdr:colOff>
      <xdr:row>9</xdr:row>
      <xdr:rowOff>190500</xdr:rowOff>
    </xdr:from>
    <xdr:to>
      <xdr:col>4</xdr:col>
      <xdr:colOff>710808</xdr:colOff>
      <xdr:row>20</xdr:row>
      <xdr:rowOff>0</xdr:rowOff>
    </xdr:to>
    <xdr:pic>
      <xdr:nvPicPr>
        <xdr:cNvPr id="2" name="Image 1">
          <a:extLst>
            <a:ext uri="{FF2B5EF4-FFF2-40B4-BE49-F238E27FC236}">
              <a16:creationId xmlns:a16="http://schemas.microsoft.com/office/drawing/2014/main" id="{CBADCE72-174E-4887-B06F-9EFB854A87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1285875"/>
          <a:ext cx="3063483" cy="2009775"/>
        </a:xfrm>
        <a:prstGeom prst="rect">
          <a:avLst/>
        </a:prstGeom>
      </xdr:spPr>
    </xdr:pic>
    <xdr:clientData/>
  </xdr:twoCellAnchor>
  <xdr:twoCellAnchor editAs="oneCell">
    <xdr:from>
      <xdr:col>6</xdr:col>
      <xdr:colOff>276225</xdr:colOff>
      <xdr:row>9</xdr:row>
      <xdr:rowOff>123825</xdr:rowOff>
    </xdr:from>
    <xdr:to>
      <xdr:col>9</xdr:col>
      <xdr:colOff>800100</xdr:colOff>
      <xdr:row>19</xdr:row>
      <xdr:rowOff>0</xdr:rowOff>
    </xdr:to>
    <xdr:pic>
      <xdr:nvPicPr>
        <xdr:cNvPr id="3" name="Image 2">
          <a:extLst>
            <a:ext uri="{FF2B5EF4-FFF2-40B4-BE49-F238E27FC236}">
              <a16:creationId xmlns:a16="http://schemas.microsoft.com/office/drawing/2014/main" id="{23E69543-C6DA-4366-8326-5089F61A69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19650" y="1219200"/>
          <a:ext cx="3038475" cy="1876425"/>
        </a:xfrm>
        <a:prstGeom prst="rect">
          <a:avLst/>
        </a:prstGeom>
      </xdr:spPr>
    </xdr:pic>
    <xdr:clientData/>
  </xdr:twoCellAnchor>
  <xdr:twoCellAnchor editAs="oneCell">
    <xdr:from>
      <xdr:col>11</xdr:col>
      <xdr:colOff>257175</xdr:colOff>
      <xdr:row>9</xdr:row>
      <xdr:rowOff>0</xdr:rowOff>
    </xdr:from>
    <xdr:to>
      <xdr:col>14</xdr:col>
      <xdr:colOff>485774</xdr:colOff>
      <xdr:row>20</xdr:row>
      <xdr:rowOff>34872</xdr:rowOff>
    </xdr:to>
    <xdr:pic>
      <xdr:nvPicPr>
        <xdr:cNvPr id="4" name="Image 3">
          <a:extLst>
            <a:ext uri="{FF2B5EF4-FFF2-40B4-BE49-F238E27FC236}">
              <a16:creationId xmlns:a16="http://schemas.microsoft.com/office/drawing/2014/main" id="{6DB4A32D-F1D6-4270-BA7E-5AECB3FE2E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991600" y="1095375"/>
          <a:ext cx="2743199" cy="2235147"/>
        </a:xfrm>
        <a:prstGeom prst="rect">
          <a:avLst/>
        </a:prstGeom>
      </xdr:spPr>
    </xdr:pic>
    <xdr:clientData/>
  </xdr:twoCellAnchor>
  <xdr:twoCellAnchor editAs="oneCell">
    <xdr:from>
      <xdr:col>1</xdr:col>
      <xdr:colOff>133350</xdr:colOff>
      <xdr:row>24</xdr:row>
      <xdr:rowOff>190501</xdr:rowOff>
    </xdr:from>
    <xdr:to>
      <xdr:col>4</xdr:col>
      <xdr:colOff>775436</xdr:colOff>
      <xdr:row>35</xdr:row>
      <xdr:rowOff>180976</xdr:rowOff>
    </xdr:to>
    <xdr:pic>
      <xdr:nvPicPr>
        <xdr:cNvPr id="5" name="Image 4">
          <a:extLst>
            <a:ext uri="{FF2B5EF4-FFF2-40B4-BE49-F238E27FC236}">
              <a16:creationId xmlns:a16="http://schemas.microsoft.com/office/drawing/2014/main" id="{CC535F8B-4F7E-4ECD-A0C0-4772EC1966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5775" y="4324351"/>
          <a:ext cx="3156686" cy="2190750"/>
        </a:xfrm>
        <a:prstGeom prst="rect">
          <a:avLst/>
        </a:prstGeom>
      </xdr:spPr>
    </xdr:pic>
    <xdr:clientData/>
  </xdr:twoCellAnchor>
  <xdr:twoCellAnchor editAs="oneCell">
    <xdr:from>
      <xdr:col>6</xdr:col>
      <xdr:colOff>228600</xdr:colOff>
      <xdr:row>24</xdr:row>
      <xdr:rowOff>190500</xdr:rowOff>
    </xdr:from>
    <xdr:to>
      <xdr:col>9</xdr:col>
      <xdr:colOff>694244</xdr:colOff>
      <xdr:row>35</xdr:row>
      <xdr:rowOff>19050</xdr:rowOff>
    </xdr:to>
    <xdr:pic>
      <xdr:nvPicPr>
        <xdr:cNvPr id="6" name="Image 5">
          <a:extLst>
            <a:ext uri="{FF2B5EF4-FFF2-40B4-BE49-F238E27FC236}">
              <a16:creationId xmlns:a16="http://schemas.microsoft.com/office/drawing/2014/main" id="{B7681E27-568E-49AD-8F8D-26ED13D470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72025" y="4324350"/>
          <a:ext cx="2980244" cy="2028825"/>
        </a:xfrm>
        <a:prstGeom prst="rect">
          <a:avLst/>
        </a:prstGeom>
      </xdr:spPr>
    </xdr:pic>
    <xdr:clientData/>
  </xdr:twoCellAnchor>
  <xdr:twoCellAnchor editAs="oneCell">
    <xdr:from>
      <xdr:col>11</xdr:col>
      <xdr:colOff>323850</xdr:colOff>
      <xdr:row>24</xdr:row>
      <xdr:rowOff>142875</xdr:rowOff>
    </xdr:from>
    <xdr:to>
      <xdr:col>15</xdr:col>
      <xdr:colOff>183935</xdr:colOff>
      <xdr:row>35</xdr:row>
      <xdr:rowOff>19050</xdr:rowOff>
    </xdr:to>
    <xdr:pic>
      <xdr:nvPicPr>
        <xdr:cNvPr id="7" name="Image 6">
          <a:extLst>
            <a:ext uri="{FF2B5EF4-FFF2-40B4-BE49-F238E27FC236}">
              <a16:creationId xmlns:a16="http://schemas.microsoft.com/office/drawing/2014/main" id="{81885B68-40E2-463E-949E-1FF4FA7CE99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058275" y="4276725"/>
          <a:ext cx="3212885" cy="2076450"/>
        </a:xfrm>
        <a:prstGeom prst="rect">
          <a:avLst/>
        </a:prstGeom>
      </xdr:spPr>
    </xdr:pic>
    <xdr:clientData/>
  </xdr:twoCellAnchor>
  <xdr:twoCellAnchor editAs="oneCell">
    <xdr:from>
      <xdr:col>11</xdr:col>
      <xdr:colOff>95250</xdr:colOff>
      <xdr:row>41</xdr:row>
      <xdr:rowOff>85725</xdr:rowOff>
    </xdr:from>
    <xdr:to>
      <xdr:col>14</xdr:col>
      <xdr:colOff>744091</xdr:colOff>
      <xdr:row>51</xdr:row>
      <xdr:rowOff>171450</xdr:rowOff>
    </xdr:to>
    <xdr:pic>
      <xdr:nvPicPr>
        <xdr:cNvPr id="8" name="Image 7">
          <a:extLst>
            <a:ext uri="{FF2B5EF4-FFF2-40B4-BE49-F238E27FC236}">
              <a16:creationId xmlns:a16="http://schemas.microsoft.com/office/drawing/2014/main" id="{748DC305-0D84-4683-8BC2-CF5B974649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29675" y="7658100"/>
          <a:ext cx="3163441" cy="2085975"/>
        </a:xfrm>
        <a:prstGeom prst="rect">
          <a:avLst/>
        </a:prstGeom>
      </xdr:spPr>
    </xdr:pic>
    <xdr:clientData/>
  </xdr:twoCellAnchor>
  <xdr:twoCellAnchor editAs="oneCell">
    <xdr:from>
      <xdr:col>1</xdr:col>
      <xdr:colOff>200025</xdr:colOff>
      <xdr:row>58</xdr:row>
      <xdr:rowOff>123824</xdr:rowOff>
    </xdr:from>
    <xdr:to>
      <xdr:col>4</xdr:col>
      <xdr:colOff>523875</xdr:colOff>
      <xdr:row>64</xdr:row>
      <xdr:rowOff>104775</xdr:rowOff>
    </xdr:to>
    <xdr:pic>
      <xdr:nvPicPr>
        <xdr:cNvPr id="9" name="Image 8">
          <a:extLst>
            <a:ext uri="{FF2B5EF4-FFF2-40B4-BE49-F238E27FC236}">
              <a16:creationId xmlns:a16="http://schemas.microsoft.com/office/drawing/2014/main" id="{DC90BE38-C523-482E-B5E6-F887B48B958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2450" y="11172824"/>
          <a:ext cx="2838450" cy="1181101"/>
        </a:xfrm>
        <a:prstGeom prst="rect">
          <a:avLst/>
        </a:prstGeom>
      </xdr:spPr>
    </xdr:pic>
    <xdr:clientData/>
  </xdr:twoCellAnchor>
  <xdr:twoCellAnchor editAs="oneCell">
    <xdr:from>
      <xdr:col>6</xdr:col>
      <xdr:colOff>238125</xdr:colOff>
      <xdr:row>40</xdr:row>
      <xdr:rowOff>85725</xdr:rowOff>
    </xdr:from>
    <xdr:to>
      <xdr:col>9</xdr:col>
      <xdr:colOff>695325</xdr:colOff>
      <xdr:row>51</xdr:row>
      <xdr:rowOff>190678</xdr:rowOff>
    </xdr:to>
    <xdr:pic>
      <xdr:nvPicPr>
        <xdr:cNvPr id="10" name="Image 9">
          <a:extLst>
            <a:ext uri="{FF2B5EF4-FFF2-40B4-BE49-F238E27FC236}">
              <a16:creationId xmlns:a16="http://schemas.microsoft.com/office/drawing/2014/main" id="{CF612440-43E7-4F2F-A98D-AFB37A7096D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81550" y="7458075"/>
          <a:ext cx="2971800" cy="2305228"/>
        </a:xfrm>
        <a:prstGeom prst="rect">
          <a:avLst/>
        </a:prstGeom>
      </xdr:spPr>
    </xdr:pic>
    <xdr:clientData/>
  </xdr:twoCellAnchor>
  <xdr:twoCellAnchor editAs="oneCell">
    <xdr:from>
      <xdr:col>11</xdr:col>
      <xdr:colOff>114300</xdr:colOff>
      <xdr:row>57</xdr:row>
      <xdr:rowOff>190501</xdr:rowOff>
    </xdr:from>
    <xdr:to>
      <xdr:col>14</xdr:col>
      <xdr:colOff>791634</xdr:colOff>
      <xdr:row>66</xdr:row>
      <xdr:rowOff>28576</xdr:rowOff>
    </xdr:to>
    <xdr:pic>
      <xdr:nvPicPr>
        <xdr:cNvPr id="11" name="Image 10">
          <a:extLst>
            <a:ext uri="{FF2B5EF4-FFF2-40B4-BE49-F238E27FC236}">
              <a16:creationId xmlns:a16="http://schemas.microsoft.com/office/drawing/2014/main" id="{765C242B-5A55-4E10-9125-9FDDA1A62E6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848725" y="11039476"/>
          <a:ext cx="3191934" cy="1638300"/>
        </a:xfrm>
        <a:prstGeom prst="rect">
          <a:avLst/>
        </a:prstGeom>
      </xdr:spPr>
    </xdr:pic>
    <xdr:clientData/>
  </xdr:twoCellAnchor>
  <xdr:twoCellAnchor editAs="oneCell">
    <xdr:from>
      <xdr:col>16</xdr:col>
      <xdr:colOff>161926</xdr:colOff>
      <xdr:row>58</xdr:row>
      <xdr:rowOff>38100</xdr:rowOff>
    </xdr:from>
    <xdr:to>
      <xdr:col>19</xdr:col>
      <xdr:colOff>714376</xdr:colOff>
      <xdr:row>67</xdr:row>
      <xdr:rowOff>24943</xdr:rowOff>
    </xdr:to>
    <xdr:pic>
      <xdr:nvPicPr>
        <xdr:cNvPr id="12" name="Image 11">
          <a:extLst>
            <a:ext uri="{FF2B5EF4-FFF2-40B4-BE49-F238E27FC236}">
              <a16:creationId xmlns:a16="http://schemas.microsoft.com/office/drawing/2014/main" id="{840F9F95-92A5-46C2-9780-6A175EB4E25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87351" y="11087100"/>
          <a:ext cx="3067050" cy="1787068"/>
        </a:xfrm>
        <a:prstGeom prst="rect">
          <a:avLst/>
        </a:prstGeom>
      </xdr:spPr>
    </xdr:pic>
    <xdr:clientData/>
  </xdr:twoCellAnchor>
  <xdr:twoCellAnchor editAs="oneCell">
    <xdr:from>
      <xdr:col>16</xdr:col>
      <xdr:colOff>209550</xdr:colOff>
      <xdr:row>73</xdr:row>
      <xdr:rowOff>171450</xdr:rowOff>
    </xdr:from>
    <xdr:to>
      <xdr:col>19</xdr:col>
      <xdr:colOff>676275</xdr:colOff>
      <xdr:row>83</xdr:row>
      <xdr:rowOff>117629</xdr:rowOff>
    </xdr:to>
    <xdr:pic>
      <xdr:nvPicPr>
        <xdr:cNvPr id="13" name="Image 12">
          <a:extLst>
            <a:ext uri="{FF2B5EF4-FFF2-40B4-BE49-F238E27FC236}">
              <a16:creationId xmlns:a16="http://schemas.microsoft.com/office/drawing/2014/main" id="{568DE84F-F162-410E-B10E-ED55129197A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134975" y="14258925"/>
          <a:ext cx="2981325" cy="1946429"/>
        </a:xfrm>
        <a:prstGeom prst="rect">
          <a:avLst/>
        </a:prstGeom>
      </xdr:spPr>
    </xdr:pic>
    <xdr:clientData/>
  </xdr:twoCellAnchor>
  <xdr:twoCellAnchor editAs="oneCell">
    <xdr:from>
      <xdr:col>1</xdr:col>
      <xdr:colOff>257175</xdr:colOff>
      <xdr:row>88</xdr:row>
      <xdr:rowOff>9525</xdr:rowOff>
    </xdr:from>
    <xdr:to>
      <xdr:col>4</xdr:col>
      <xdr:colOff>524263</xdr:colOff>
      <xdr:row>99</xdr:row>
      <xdr:rowOff>162253</xdr:rowOff>
    </xdr:to>
    <xdr:pic>
      <xdr:nvPicPr>
        <xdr:cNvPr id="14" name="Image 13">
          <a:extLst>
            <a:ext uri="{FF2B5EF4-FFF2-40B4-BE49-F238E27FC236}">
              <a16:creationId xmlns:a16="http://schemas.microsoft.com/office/drawing/2014/main" id="{C00D4128-83C9-4767-8084-752390948D6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09600" y="17135475"/>
          <a:ext cx="2781688" cy="2353003"/>
        </a:xfrm>
        <a:prstGeom prst="rect">
          <a:avLst/>
        </a:prstGeom>
      </xdr:spPr>
    </xdr:pic>
    <xdr:clientData/>
  </xdr:twoCellAnchor>
  <xdr:twoCellAnchor editAs="oneCell">
    <xdr:from>
      <xdr:col>11</xdr:col>
      <xdr:colOff>466725</xdr:colOff>
      <xdr:row>88</xdr:row>
      <xdr:rowOff>76200</xdr:rowOff>
    </xdr:from>
    <xdr:to>
      <xdr:col>13</xdr:col>
      <xdr:colOff>615950</xdr:colOff>
      <xdr:row>99</xdr:row>
      <xdr:rowOff>164123</xdr:rowOff>
    </xdr:to>
    <xdr:pic>
      <xdr:nvPicPr>
        <xdr:cNvPr id="15" name="Image 14">
          <a:extLst>
            <a:ext uri="{FF2B5EF4-FFF2-40B4-BE49-F238E27FC236}">
              <a16:creationId xmlns:a16="http://schemas.microsoft.com/office/drawing/2014/main" id="{5C2F4B6D-6CD7-4686-AF8E-00B3BC42A0E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201150" y="17202150"/>
          <a:ext cx="1825625" cy="2288198"/>
        </a:xfrm>
        <a:prstGeom prst="rect">
          <a:avLst/>
        </a:prstGeom>
      </xdr:spPr>
    </xdr:pic>
    <xdr:clientData/>
  </xdr:twoCellAnchor>
  <xdr:twoCellAnchor editAs="oneCell">
    <xdr:from>
      <xdr:col>6</xdr:col>
      <xdr:colOff>95250</xdr:colOff>
      <xdr:row>105</xdr:row>
      <xdr:rowOff>190500</xdr:rowOff>
    </xdr:from>
    <xdr:to>
      <xdr:col>9</xdr:col>
      <xdr:colOff>590550</xdr:colOff>
      <xdr:row>112</xdr:row>
      <xdr:rowOff>142874</xdr:rowOff>
    </xdr:to>
    <xdr:pic>
      <xdr:nvPicPr>
        <xdr:cNvPr id="16" name="Image 15">
          <a:extLst>
            <a:ext uri="{FF2B5EF4-FFF2-40B4-BE49-F238E27FC236}">
              <a16:creationId xmlns:a16="http://schemas.microsoft.com/office/drawing/2014/main" id="{0B49E17B-15F4-4D0B-A02D-17BE16A2DA6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638675" y="20754975"/>
          <a:ext cx="3009900" cy="1352549"/>
        </a:xfrm>
        <a:prstGeom prst="rect">
          <a:avLst/>
        </a:prstGeom>
      </xdr:spPr>
    </xdr:pic>
    <xdr:clientData/>
  </xdr:twoCellAnchor>
  <xdr:twoCellAnchor editAs="oneCell">
    <xdr:from>
      <xdr:col>11</xdr:col>
      <xdr:colOff>161926</xdr:colOff>
      <xdr:row>105</xdr:row>
      <xdr:rowOff>0</xdr:rowOff>
    </xdr:from>
    <xdr:to>
      <xdr:col>14</xdr:col>
      <xdr:colOff>700530</xdr:colOff>
      <xdr:row>115</xdr:row>
      <xdr:rowOff>161925</xdr:rowOff>
    </xdr:to>
    <xdr:pic>
      <xdr:nvPicPr>
        <xdr:cNvPr id="17" name="Image 16">
          <a:extLst>
            <a:ext uri="{FF2B5EF4-FFF2-40B4-BE49-F238E27FC236}">
              <a16:creationId xmlns:a16="http://schemas.microsoft.com/office/drawing/2014/main" id="{55BC185B-3C99-4DE7-A03A-3F4D1C4935D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96351" y="20564475"/>
          <a:ext cx="3053204" cy="2162175"/>
        </a:xfrm>
        <a:prstGeom prst="rect">
          <a:avLst/>
        </a:prstGeom>
      </xdr:spPr>
    </xdr:pic>
    <xdr:clientData/>
  </xdr:twoCellAnchor>
  <xdr:twoCellAnchor editAs="oneCell">
    <xdr:from>
      <xdr:col>1</xdr:col>
      <xdr:colOff>66676</xdr:colOff>
      <xdr:row>121</xdr:row>
      <xdr:rowOff>57149</xdr:rowOff>
    </xdr:from>
    <xdr:to>
      <xdr:col>4</xdr:col>
      <xdr:colOff>695326</xdr:colOff>
      <xdr:row>131</xdr:row>
      <xdr:rowOff>104774</xdr:rowOff>
    </xdr:to>
    <xdr:pic>
      <xdr:nvPicPr>
        <xdr:cNvPr id="18" name="Image 17">
          <a:extLst>
            <a:ext uri="{FF2B5EF4-FFF2-40B4-BE49-F238E27FC236}">
              <a16:creationId xmlns:a16="http://schemas.microsoft.com/office/drawing/2014/main" id="{C4DF0EDA-BEF5-4736-8FE3-79099897386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19101" y="23860124"/>
          <a:ext cx="3143250" cy="2047875"/>
        </a:xfrm>
        <a:prstGeom prst="rect">
          <a:avLst/>
        </a:prstGeom>
      </xdr:spPr>
    </xdr:pic>
    <xdr:clientData/>
  </xdr:twoCellAnchor>
  <xdr:twoCellAnchor editAs="oneCell">
    <xdr:from>
      <xdr:col>1</xdr:col>
      <xdr:colOff>104776</xdr:colOff>
      <xdr:row>105</xdr:row>
      <xdr:rowOff>57150</xdr:rowOff>
    </xdr:from>
    <xdr:to>
      <xdr:col>4</xdr:col>
      <xdr:colOff>681590</xdr:colOff>
      <xdr:row>114</xdr:row>
      <xdr:rowOff>114300</xdr:rowOff>
    </xdr:to>
    <xdr:pic>
      <xdr:nvPicPr>
        <xdr:cNvPr id="19" name="Image 18">
          <a:extLst>
            <a:ext uri="{FF2B5EF4-FFF2-40B4-BE49-F238E27FC236}">
              <a16:creationId xmlns:a16="http://schemas.microsoft.com/office/drawing/2014/main" id="{942F7F8A-6D6D-4F8B-A039-79CCCFCF407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57201" y="20621625"/>
          <a:ext cx="3091414" cy="1857375"/>
        </a:xfrm>
        <a:prstGeom prst="rect">
          <a:avLst/>
        </a:prstGeom>
      </xdr:spPr>
    </xdr:pic>
    <xdr:clientData/>
  </xdr:twoCellAnchor>
  <xdr:twoCellAnchor editAs="oneCell">
    <xdr:from>
      <xdr:col>6</xdr:col>
      <xdr:colOff>590551</xdr:colOff>
      <xdr:row>121</xdr:row>
      <xdr:rowOff>0</xdr:rowOff>
    </xdr:from>
    <xdr:to>
      <xdr:col>9</xdr:col>
      <xdr:colOff>666751</xdr:colOff>
      <xdr:row>131</xdr:row>
      <xdr:rowOff>104983</xdr:rowOff>
    </xdr:to>
    <xdr:pic>
      <xdr:nvPicPr>
        <xdr:cNvPr id="20" name="Image 19">
          <a:extLst>
            <a:ext uri="{FF2B5EF4-FFF2-40B4-BE49-F238E27FC236}">
              <a16:creationId xmlns:a16="http://schemas.microsoft.com/office/drawing/2014/main" id="{D75EFE57-417E-411C-98FF-486ED2262A9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133976" y="23802975"/>
          <a:ext cx="2590800" cy="2105233"/>
        </a:xfrm>
        <a:prstGeom prst="rect">
          <a:avLst/>
        </a:prstGeom>
      </xdr:spPr>
    </xdr:pic>
    <xdr:clientData/>
  </xdr:twoCellAnchor>
  <xdr:twoCellAnchor editAs="oneCell">
    <xdr:from>
      <xdr:col>16</xdr:col>
      <xdr:colOff>238125</xdr:colOff>
      <xdr:row>8</xdr:row>
      <xdr:rowOff>142875</xdr:rowOff>
    </xdr:from>
    <xdr:to>
      <xdr:col>19</xdr:col>
      <xdr:colOff>692419</xdr:colOff>
      <xdr:row>20</xdr:row>
      <xdr:rowOff>38100</xdr:rowOff>
    </xdr:to>
    <xdr:pic>
      <xdr:nvPicPr>
        <xdr:cNvPr id="26" name="Image 25">
          <a:extLst>
            <a:ext uri="{FF2B5EF4-FFF2-40B4-BE49-F238E27FC236}">
              <a16:creationId xmlns:a16="http://schemas.microsoft.com/office/drawing/2014/main" id="{A9A212B3-66EE-43F9-957A-BBB1FC71BC9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3163550" y="1038225"/>
          <a:ext cx="2968894" cy="2295525"/>
        </a:xfrm>
        <a:prstGeom prst="rect">
          <a:avLst/>
        </a:prstGeom>
      </xdr:spPr>
    </xdr:pic>
    <xdr:clientData/>
  </xdr:twoCellAnchor>
  <xdr:twoCellAnchor editAs="oneCell">
    <xdr:from>
      <xdr:col>16</xdr:col>
      <xdr:colOff>152400</xdr:colOff>
      <xdr:row>26</xdr:row>
      <xdr:rowOff>66675</xdr:rowOff>
    </xdr:from>
    <xdr:to>
      <xdr:col>19</xdr:col>
      <xdr:colOff>649884</xdr:colOff>
      <xdr:row>36</xdr:row>
      <xdr:rowOff>57149</xdr:rowOff>
    </xdr:to>
    <xdr:pic>
      <xdr:nvPicPr>
        <xdr:cNvPr id="27" name="Image 26">
          <a:extLst>
            <a:ext uri="{FF2B5EF4-FFF2-40B4-BE49-F238E27FC236}">
              <a16:creationId xmlns:a16="http://schemas.microsoft.com/office/drawing/2014/main" id="{67F1FDC7-BF00-41D9-8DC0-B4243A428F9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077825" y="4600575"/>
          <a:ext cx="3012084" cy="1990724"/>
        </a:xfrm>
        <a:prstGeom prst="rect">
          <a:avLst/>
        </a:prstGeom>
      </xdr:spPr>
    </xdr:pic>
    <xdr:clientData/>
  </xdr:twoCellAnchor>
  <xdr:twoCellAnchor editAs="oneCell">
    <xdr:from>
      <xdr:col>1</xdr:col>
      <xdr:colOff>38100</xdr:colOff>
      <xdr:row>74</xdr:row>
      <xdr:rowOff>0</xdr:rowOff>
    </xdr:from>
    <xdr:to>
      <xdr:col>4</xdr:col>
      <xdr:colOff>632385</xdr:colOff>
      <xdr:row>83</xdr:row>
      <xdr:rowOff>133350</xdr:rowOff>
    </xdr:to>
    <xdr:pic>
      <xdr:nvPicPr>
        <xdr:cNvPr id="28" name="Image 27">
          <a:extLst>
            <a:ext uri="{FF2B5EF4-FFF2-40B4-BE49-F238E27FC236}">
              <a16:creationId xmlns:a16="http://schemas.microsoft.com/office/drawing/2014/main" id="{BF91F086-66F2-4259-8A02-D6486A97F97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90525" y="14287500"/>
          <a:ext cx="3108885" cy="1933575"/>
        </a:xfrm>
        <a:prstGeom prst="rect">
          <a:avLst/>
        </a:prstGeom>
      </xdr:spPr>
    </xdr:pic>
    <xdr:clientData/>
  </xdr:twoCellAnchor>
  <xdr:twoCellAnchor editAs="oneCell">
    <xdr:from>
      <xdr:col>6</xdr:col>
      <xdr:colOff>219075</xdr:colOff>
      <xdr:row>56</xdr:row>
      <xdr:rowOff>180975</xdr:rowOff>
    </xdr:from>
    <xdr:to>
      <xdr:col>9</xdr:col>
      <xdr:colOff>647700</xdr:colOff>
      <xdr:row>68</xdr:row>
      <xdr:rowOff>15935</xdr:rowOff>
    </xdr:to>
    <xdr:pic>
      <xdr:nvPicPr>
        <xdr:cNvPr id="29" name="Image 28">
          <a:extLst>
            <a:ext uri="{FF2B5EF4-FFF2-40B4-BE49-F238E27FC236}">
              <a16:creationId xmlns:a16="http://schemas.microsoft.com/office/drawing/2014/main" id="{F9DA4218-DC78-4176-8A6C-B3090628B0E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62500" y="10829925"/>
          <a:ext cx="2943225" cy="2235260"/>
        </a:xfrm>
        <a:prstGeom prst="rect">
          <a:avLst/>
        </a:prstGeom>
      </xdr:spPr>
    </xdr:pic>
    <xdr:clientData/>
  </xdr:twoCellAnchor>
  <xdr:twoCellAnchor editAs="oneCell">
    <xdr:from>
      <xdr:col>16</xdr:col>
      <xdr:colOff>104775</xdr:colOff>
      <xdr:row>42</xdr:row>
      <xdr:rowOff>38100</xdr:rowOff>
    </xdr:from>
    <xdr:to>
      <xdr:col>19</xdr:col>
      <xdr:colOff>791671</xdr:colOff>
      <xdr:row>49</xdr:row>
      <xdr:rowOff>158750</xdr:rowOff>
    </xdr:to>
    <xdr:pic>
      <xdr:nvPicPr>
        <xdr:cNvPr id="30" name="Image 29">
          <a:extLst>
            <a:ext uri="{FF2B5EF4-FFF2-40B4-BE49-F238E27FC236}">
              <a16:creationId xmlns:a16="http://schemas.microsoft.com/office/drawing/2014/main" id="{E2A1DBA9-11A4-4576-86C2-02F824A63FD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3030200" y="7810500"/>
          <a:ext cx="3201496" cy="1520825"/>
        </a:xfrm>
        <a:prstGeom prst="rect">
          <a:avLst/>
        </a:prstGeom>
      </xdr:spPr>
    </xdr:pic>
    <xdr:clientData/>
  </xdr:twoCellAnchor>
  <xdr:twoCellAnchor editAs="oneCell">
    <xdr:from>
      <xdr:col>6</xdr:col>
      <xdr:colOff>428625</xdr:colOff>
      <xdr:row>87</xdr:row>
      <xdr:rowOff>180975</xdr:rowOff>
    </xdr:from>
    <xdr:to>
      <xdr:col>9</xdr:col>
      <xdr:colOff>250825</xdr:colOff>
      <xdr:row>100</xdr:row>
      <xdr:rowOff>57150</xdr:rowOff>
    </xdr:to>
    <xdr:pic>
      <xdr:nvPicPr>
        <xdr:cNvPr id="31" name="Image 30">
          <a:extLst>
            <a:ext uri="{FF2B5EF4-FFF2-40B4-BE49-F238E27FC236}">
              <a16:creationId xmlns:a16="http://schemas.microsoft.com/office/drawing/2014/main" id="{BD9A0BD9-1F70-4CDF-A460-F4FEA64659EF}"/>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972050" y="17106900"/>
          <a:ext cx="2336800" cy="2476500"/>
        </a:xfrm>
        <a:prstGeom prst="rect">
          <a:avLst/>
        </a:prstGeom>
      </xdr:spPr>
    </xdr:pic>
    <xdr:clientData/>
  </xdr:twoCellAnchor>
  <xdr:twoCellAnchor editAs="oneCell">
    <xdr:from>
      <xdr:col>16</xdr:col>
      <xdr:colOff>123825</xdr:colOff>
      <xdr:row>88</xdr:row>
      <xdr:rowOff>114300</xdr:rowOff>
    </xdr:from>
    <xdr:to>
      <xdr:col>19</xdr:col>
      <xdr:colOff>666750</xdr:colOff>
      <xdr:row>99</xdr:row>
      <xdr:rowOff>53974</xdr:rowOff>
    </xdr:to>
    <xdr:pic>
      <xdr:nvPicPr>
        <xdr:cNvPr id="32" name="Image 31">
          <a:extLst>
            <a:ext uri="{FF2B5EF4-FFF2-40B4-BE49-F238E27FC236}">
              <a16:creationId xmlns:a16="http://schemas.microsoft.com/office/drawing/2014/main" id="{A5D5D7B4-6435-419D-B1E7-77C3A9470AA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3049250" y="17240250"/>
          <a:ext cx="3057525" cy="2139949"/>
        </a:xfrm>
        <a:prstGeom prst="rect">
          <a:avLst/>
        </a:prstGeom>
      </xdr:spPr>
    </xdr:pic>
    <xdr:clientData/>
  </xdr:twoCellAnchor>
  <xdr:twoCellAnchor editAs="oneCell">
    <xdr:from>
      <xdr:col>6</xdr:col>
      <xdr:colOff>95250</xdr:colOff>
      <xdr:row>74</xdr:row>
      <xdr:rowOff>0</xdr:rowOff>
    </xdr:from>
    <xdr:to>
      <xdr:col>9</xdr:col>
      <xdr:colOff>833988</xdr:colOff>
      <xdr:row>82</xdr:row>
      <xdr:rowOff>95250</xdr:rowOff>
    </xdr:to>
    <xdr:pic>
      <xdr:nvPicPr>
        <xdr:cNvPr id="33" name="Image 32">
          <a:extLst>
            <a:ext uri="{FF2B5EF4-FFF2-40B4-BE49-F238E27FC236}">
              <a16:creationId xmlns:a16="http://schemas.microsoft.com/office/drawing/2014/main" id="{DE00D34B-4E44-452E-BDC6-2F2AECBEE3C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638675" y="14287500"/>
          <a:ext cx="3253338" cy="1695450"/>
        </a:xfrm>
        <a:prstGeom prst="rect">
          <a:avLst/>
        </a:prstGeom>
      </xdr:spPr>
    </xdr:pic>
    <xdr:clientData/>
  </xdr:twoCellAnchor>
  <xdr:twoCellAnchor editAs="oneCell">
    <xdr:from>
      <xdr:col>11</xdr:col>
      <xdr:colOff>333375</xdr:colOff>
      <xdr:row>73</xdr:row>
      <xdr:rowOff>76200</xdr:rowOff>
    </xdr:from>
    <xdr:to>
      <xdr:col>14</xdr:col>
      <xdr:colOff>619125</xdr:colOff>
      <xdr:row>83</xdr:row>
      <xdr:rowOff>150018</xdr:rowOff>
    </xdr:to>
    <xdr:pic>
      <xdr:nvPicPr>
        <xdr:cNvPr id="34" name="Image 33">
          <a:extLst>
            <a:ext uri="{FF2B5EF4-FFF2-40B4-BE49-F238E27FC236}">
              <a16:creationId xmlns:a16="http://schemas.microsoft.com/office/drawing/2014/main" id="{CA5DBA5F-7621-49BE-A849-901DC1C93138}"/>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067800" y="14163675"/>
          <a:ext cx="2800350" cy="2074068"/>
        </a:xfrm>
        <a:prstGeom prst="rect">
          <a:avLst/>
        </a:prstGeom>
      </xdr:spPr>
    </xdr:pic>
    <xdr:clientData/>
  </xdr:twoCellAnchor>
  <xdr:twoCellAnchor editAs="oneCell">
    <xdr:from>
      <xdr:col>1</xdr:col>
      <xdr:colOff>142875</xdr:colOff>
      <xdr:row>42</xdr:row>
      <xdr:rowOff>123826</xdr:rowOff>
    </xdr:from>
    <xdr:to>
      <xdr:col>4</xdr:col>
      <xdr:colOff>571500</xdr:colOff>
      <xdr:row>50</xdr:row>
      <xdr:rowOff>57150</xdr:rowOff>
    </xdr:to>
    <xdr:pic>
      <xdr:nvPicPr>
        <xdr:cNvPr id="35" name="Image 34">
          <a:extLst>
            <a:ext uri="{FF2B5EF4-FFF2-40B4-BE49-F238E27FC236}">
              <a16:creationId xmlns:a16="http://schemas.microsoft.com/office/drawing/2014/main" id="{660AD600-B364-43B1-9B89-5816F75B4D2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5300" y="7896226"/>
          <a:ext cx="2943225" cy="1533524"/>
        </a:xfrm>
        <a:prstGeom prst="rect">
          <a:avLst/>
        </a:prstGeom>
      </xdr:spPr>
    </xdr:pic>
    <xdr:clientData/>
  </xdr:twoCellAnchor>
  <xdr:twoCellAnchor editAs="oneCell">
    <xdr:from>
      <xdr:col>16</xdr:col>
      <xdr:colOff>142875</xdr:colOff>
      <xdr:row>105</xdr:row>
      <xdr:rowOff>19050</xdr:rowOff>
    </xdr:from>
    <xdr:to>
      <xdr:col>19</xdr:col>
      <xdr:colOff>703599</xdr:colOff>
      <xdr:row>116</xdr:row>
      <xdr:rowOff>53975</xdr:rowOff>
    </xdr:to>
    <xdr:pic>
      <xdr:nvPicPr>
        <xdr:cNvPr id="36" name="Image 35">
          <a:extLst>
            <a:ext uri="{FF2B5EF4-FFF2-40B4-BE49-F238E27FC236}">
              <a16:creationId xmlns:a16="http://schemas.microsoft.com/office/drawing/2014/main" id="{CC4C1EAF-87BD-49AA-A46F-0CCBFD5BF8A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3068300" y="20583525"/>
          <a:ext cx="3075324" cy="2235200"/>
        </a:xfrm>
        <a:prstGeom prst="rect">
          <a:avLst/>
        </a:prstGeom>
      </xdr:spPr>
    </xdr:pic>
    <xdr:clientData/>
  </xdr:twoCellAnchor>
  <xdr:twoCellAnchor editAs="oneCell">
    <xdr:from>
      <xdr:col>11</xdr:col>
      <xdr:colOff>819150</xdr:colOff>
      <xdr:row>154</xdr:row>
      <xdr:rowOff>180975</xdr:rowOff>
    </xdr:from>
    <xdr:to>
      <xdr:col>14</xdr:col>
      <xdr:colOff>266700</xdr:colOff>
      <xdr:row>162</xdr:row>
      <xdr:rowOff>194097</xdr:rowOff>
    </xdr:to>
    <xdr:pic>
      <xdr:nvPicPr>
        <xdr:cNvPr id="54" name="Image 53">
          <a:extLst>
            <a:ext uri="{FF2B5EF4-FFF2-40B4-BE49-F238E27FC236}">
              <a16:creationId xmlns:a16="http://schemas.microsoft.com/office/drawing/2014/main" id="{CECF3E68-F4F7-4521-9092-72CACB6ECC7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9553575" y="31489650"/>
          <a:ext cx="1962150" cy="1613322"/>
        </a:xfrm>
        <a:prstGeom prst="rect">
          <a:avLst/>
        </a:prstGeom>
      </xdr:spPr>
    </xdr:pic>
    <xdr:clientData/>
  </xdr:twoCellAnchor>
  <xdr:twoCellAnchor editAs="oneCell">
    <xdr:from>
      <xdr:col>1</xdr:col>
      <xdr:colOff>228600</xdr:colOff>
      <xdr:row>155</xdr:row>
      <xdr:rowOff>190500</xdr:rowOff>
    </xdr:from>
    <xdr:to>
      <xdr:col>4</xdr:col>
      <xdr:colOff>638583</xdr:colOff>
      <xdr:row>160</xdr:row>
      <xdr:rowOff>104903</xdr:rowOff>
    </xdr:to>
    <xdr:pic>
      <xdr:nvPicPr>
        <xdr:cNvPr id="55" name="Image 54">
          <a:extLst>
            <a:ext uri="{FF2B5EF4-FFF2-40B4-BE49-F238E27FC236}">
              <a16:creationId xmlns:a16="http://schemas.microsoft.com/office/drawing/2014/main" id="{B8E0B56F-A8BA-404F-AE2F-C140D33BF9E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81025" y="31699200"/>
          <a:ext cx="2924583" cy="914528"/>
        </a:xfrm>
        <a:prstGeom prst="rect">
          <a:avLst/>
        </a:prstGeom>
      </xdr:spPr>
    </xdr:pic>
    <xdr:clientData/>
  </xdr:twoCellAnchor>
  <xdr:twoCellAnchor editAs="oneCell">
    <xdr:from>
      <xdr:col>6</xdr:col>
      <xdr:colOff>152400</xdr:colOff>
      <xdr:row>156</xdr:row>
      <xdr:rowOff>57150</xdr:rowOff>
    </xdr:from>
    <xdr:to>
      <xdr:col>9</xdr:col>
      <xdr:colOff>743383</xdr:colOff>
      <xdr:row>160</xdr:row>
      <xdr:rowOff>142999</xdr:rowOff>
    </xdr:to>
    <xdr:pic>
      <xdr:nvPicPr>
        <xdr:cNvPr id="57" name="Image 56">
          <a:extLst>
            <a:ext uri="{FF2B5EF4-FFF2-40B4-BE49-F238E27FC236}">
              <a16:creationId xmlns:a16="http://schemas.microsoft.com/office/drawing/2014/main" id="{21C01A87-BAC7-4456-BE65-E9C573FDD69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695825" y="31765875"/>
          <a:ext cx="3105583" cy="885949"/>
        </a:xfrm>
        <a:prstGeom prst="rect">
          <a:avLst/>
        </a:prstGeom>
      </xdr:spPr>
    </xdr:pic>
    <xdr:clientData/>
  </xdr:twoCellAnchor>
  <xdr:twoCellAnchor editAs="oneCell">
    <xdr:from>
      <xdr:col>1</xdr:col>
      <xdr:colOff>142876</xdr:colOff>
      <xdr:row>190</xdr:row>
      <xdr:rowOff>123825</xdr:rowOff>
    </xdr:from>
    <xdr:to>
      <xdr:col>4</xdr:col>
      <xdr:colOff>497340</xdr:colOff>
      <xdr:row>193</xdr:row>
      <xdr:rowOff>133350</xdr:rowOff>
    </xdr:to>
    <xdr:pic>
      <xdr:nvPicPr>
        <xdr:cNvPr id="59" name="Image 58">
          <a:extLst>
            <a:ext uri="{FF2B5EF4-FFF2-40B4-BE49-F238E27FC236}">
              <a16:creationId xmlns:a16="http://schemas.microsoft.com/office/drawing/2014/main" id="{9DD1BE3D-A8E9-4E05-8B8A-F4A25BB8A526}"/>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95301" y="35471100"/>
          <a:ext cx="2869064" cy="609600"/>
        </a:xfrm>
        <a:prstGeom prst="rect">
          <a:avLst/>
        </a:prstGeom>
      </xdr:spPr>
    </xdr:pic>
    <xdr:clientData/>
  </xdr:twoCellAnchor>
  <xdr:twoCellAnchor editAs="oneCell">
    <xdr:from>
      <xdr:col>7</xdr:col>
      <xdr:colOff>180975</xdr:colOff>
      <xdr:row>187</xdr:row>
      <xdr:rowOff>142875</xdr:rowOff>
    </xdr:from>
    <xdr:to>
      <xdr:col>8</xdr:col>
      <xdr:colOff>658555</xdr:colOff>
      <xdr:row>199</xdr:row>
      <xdr:rowOff>38100</xdr:rowOff>
    </xdr:to>
    <xdr:pic>
      <xdr:nvPicPr>
        <xdr:cNvPr id="60" name="Image 59">
          <a:extLst>
            <a:ext uri="{FF2B5EF4-FFF2-40B4-BE49-F238E27FC236}">
              <a16:creationId xmlns:a16="http://schemas.microsoft.com/office/drawing/2014/main" id="{962CC1A5-45CC-4B3C-AABC-A95A842B3D23}"/>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562600" y="34890075"/>
          <a:ext cx="1315780" cy="2295525"/>
        </a:xfrm>
        <a:prstGeom prst="rect">
          <a:avLst/>
        </a:prstGeom>
      </xdr:spPr>
    </xdr:pic>
    <xdr:clientData/>
  </xdr:twoCellAnchor>
  <xdr:twoCellAnchor editAs="oneCell">
    <xdr:from>
      <xdr:col>11</xdr:col>
      <xdr:colOff>142875</xdr:colOff>
      <xdr:row>190</xdr:row>
      <xdr:rowOff>0</xdr:rowOff>
    </xdr:from>
    <xdr:to>
      <xdr:col>14</xdr:col>
      <xdr:colOff>628964</xdr:colOff>
      <xdr:row>194</xdr:row>
      <xdr:rowOff>28575</xdr:rowOff>
    </xdr:to>
    <xdr:pic>
      <xdr:nvPicPr>
        <xdr:cNvPr id="62" name="Image 61">
          <a:extLst>
            <a:ext uri="{FF2B5EF4-FFF2-40B4-BE49-F238E27FC236}">
              <a16:creationId xmlns:a16="http://schemas.microsoft.com/office/drawing/2014/main" id="{B083487C-C86A-4923-9E2D-C3524260023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8877300" y="35347275"/>
          <a:ext cx="3000689" cy="828675"/>
        </a:xfrm>
        <a:prstGeom prst="rect">
          <a:avLst/>
        </a:prstGeom>
      </xdr:spPr>
    </xdr:pic>
    <xdr:clientData/>
  </xdr:twoCellAnchor>
  <xdr:twoCellAnchor editAs="oneCell">
    <xdr:from>
      <xdr:col>16</xdr:col>
      <xdr:colOff>190500</xdr:colOff>
      <xdr:row>190</xdr:row>
      <xdr:rowOff>0</xdr:rowOff>
    </xdr:from>
    <xdr:to>
      <xdr:col>19</xdr:col>
      <xdr:colOff>711956</xdr:colOff>
      <xdr:row>194</xdr:row>
      <xdr:rowOff>57150</xdr:rowOff>
    </xdr:to>
    <xdr:pic>
      <xdr:nvPicPr>
        <xdr:cNvPr id="63" name="Image 62">
          <a:extLst>
            <a:ext uri="{FF2B5EF4-FFF2-40B4-BE49-F238E27FC236}">
              <a16:creationId xmlns:a16="http://schemas.microsoft.com/office/drawing/2014/main" id="{B77537DC-DA91-4923-A54A-A71F89BDB40C}"/>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3115925" y="35347275"/>
          <a:ext cx="3036056" cy="857250"/>
        </a:xfrm>
        <a:prstGeom prst="rect">
          <a:avLst/>
        </a:prstGeom>
      </xdr:spPr>
    </xdr:pic>
    <xdr:clientData/>
  </xdr:twoCellAnchor>
  <xdr:oneCellAnchor>
    <xdr:from>
      <xdr:col>1</xdr:col>
      <xdr:colOff>95250</xdr:colOff>
      <xdr:row>170</xdr:row>
      <xdr:rowOff>142875</xdr:rowOff>
    </xdr:from>
    <xdr:ext cx="3131621" cy="1428750"/>
    <xdr:pic>
      <xdr:nvPicPr>
        <xdr:cNvPr id="64" name="Image 63">
          <a:extLst>
            <a:ext uri="{FF2B5EF4-FFF2-40B4-BE49-F238E27FC236}">
              <a16:creationId xmlns:a16="http://schemas.microsoft.com/office/drawing/2014/main" id="{4C2FDA88-9704-4FD5-8AC5-991BF5D2018E}"/>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47675" y="47567850"/>
          <a:ext cx="3131621" cy="1428750"/>
        </a:xfrm>
        <a:prstGeom prst="rect">
          <a:avLst/>
        </a:prstGeom>
      </xdr:spPr>
    </xdr:pic>
    <xdr:clientData/>
  </xdr:oneCellAnchor>
  <xdr:oneCellAnchor>
    <xdr:from>
      <xdr:col>11</xdr:col>
      <xdr:colOff>428625</xdr:colOff>
      <xdr:row>172</xdr:row>
      <xdr:rowOff>0</xdr:rowOff>
    </xdr:from>
    <xdr:ext cx="2305372" cy="1086002"/>
    <xdr:pic>
      <xdr:nvPicPr>
        <xdr:cNvPr id="65" name="Image 64">
          <a:extLst>
            <a:ext uri="{FF2B5EF4-FFF2-40B4-BE49-F238E27FC236}">
              <a16:creationId xmlns:a16="http://schemas.microsoft.com/office/drawing/2014/main" id="{527A5445-8247-4704-9DF4-AEC559DA810D}"/>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163050" y="47825025"/>
          <a:ext cx="2305372" cy="1086002"/>
        </a:xfrm>
        <a:prstGeom prst="rect">
          <a:avLst/>
        </a:prstGeom>
      </xdr:spPr>
    </xdr:pic>
    <xdr:clientData/>
  </xdr:oneCellAnchor>
  <xdr:oneCellAnchor>
    <xdr:from>
      <xdr:col>6</xdr:col>
      <xdr:colOff>152400</xdr:colOff>
      <xdr:row>171</xdr:row>
      <xdr:rowOff>123825</xdr:rowOff>
    </xdr:from>
    <xdr:ext cx="3048196" cy="1438275"/>
    <xdr:pic>
      <xdr:nvPicPr>
        <xdr:cNvPr id="66" name="Image 65">
          <a:extLst>
            <a:ext uri="{FF2B5EF4-FFF2-40B4-BE49-F238E27FC236}">
              <a16:creationId xmlns:a16="http://schemas.microsoft.com/office/drawing/2014/main" id="{E5A71C0A-FFFF-4ED2-BDE8-0A03CA6901E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695825" y="47748825"/>
          <a:ext cx="3048196" cy="1438275"/>
        </a:xfrm>
        <a:prstGeom prst="rect">
          <a:avLst/>
        </a:prstGeom>
      </xdr:spPr>
    </xdr:pic>
    <xdr:clientData/>
  </xdr:oneCellAnchor>
  <xdr:oneCellAnchor>
    <xdr:from>
      <xdr:col>16</xdr:col>
      <xdr:colOff>371476</xdr:colOff>
      <xdr:row>158</xdr:row>
      <xdr:rowOff>133351</xdr:rowOff>
    </xdr:from>
    <xdr:ext cx="2803923" cy="857250"/>
    <xdr:pic>
      <xdr:nvPicPr>
        <xdr:cNvPr id="67" name="Image 66">
          <a:extLst>
            <a:ext uri="{FF2B5EF4-FFF2-40B4-BE49-F238E27FC236}">
              <a16:creationId xmlns:a16="http://schemas.microsoft.com/office/drawing/2014/main" id="{0B37E699-9193-4EC9-AB37-667DDD69F563}"/>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3296901" y="32242126"/>
          <a:ext cx="2803923" cy="857250"/>
        </a:xfrm>
        <a:prstGeom prst="rect">
          <a:avLst/>
        </a:prstGeom>
      </xdr:spPr>
    </xdr:pic>
    <xdr:clientData/>
  </xdr:oneCellAnchor>
  <xdr:twoCellAnchor editAs="oneCell">
    <xdr:from>
      <xdr:col>1</xdr:col>
      <xdr:colOff>123824</xdr:colOff>
      <xdr:row>206</xdr:row>
      <xdr:rowOff>66674</xdr:rowOff>
    </xdr:from>
    <xdr:to>
      <xdr:col>4</xdr:col>
      <xdr:colOff>615969</xdr:colOff>
      <xdr:row>211</xdr:row>
      <xdr:rowOff>85724</xdr:rowOff>
    </xdr:to>
    <xdr:pic>
      <xdr:nvPicPr>
        <xdr:cNvPr id="69" name="Image 68">
          <a:extLst>
            <a:ext uri="{FF2B5EF4-FFF2-40B4-BE49-F238E27FC236}">
              <a16:creationId xmlns:a16="http://schemas.microsoft.com/office/drawing/2014/main" id="{549C392A-A443-4A84-8D3D-C39E877F8BF1}"/>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76249" y="42090974"/>
          <a:ext cx="3006745" cy="1019175"/>
        </a:xfrm>
        <a:prstGeom prst="rect">
          <a:avLst/>
        </a:prstGeom>
      </xdr:spPr>
    </xdr:pic>
    <xdr:clientData/>
  </xdr:twoCellAnchor>
  <xdr:twoCellAnchor editAs="oneCell">
    <xdr:from>
      <xdr:col>6</xdr:col>
      <xdr:colOff>114301</xdr:colOff>
      <xdr:row>207</xdr:row>
      <xdr:rowOff>19050</xdr:rowOff>
    </xdr:from>
    <xdr:to>
      <xdr:col>9</xdr:col>
      <xdr:colOff>640781</xdr:colOff>
      <xdr:row>210</xdr:row>
      <xdr:rowOff>38100</xdr:rowOff>
    </xdr:to>
    <xdr:pic>
      <xdr:nvPicPr>
        <xdr:cNvPr id="72" name="Image 71">
          <a:extLst>
            <a:ext uri="{FF2B5EF4-FFF2-40B4-BE49-F238E27FC236}">
              <a16:creationId xmlns:a16="http://schemas.microsoft.com/office/drawing/2014/main" id="{4F8D9316-EEC0-4200-A605-76005D40443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657726" y="42243375"/>
          <a:ext cx="3041080" cy="619125"/>
        </a:xfrm>
        <a:prstGeom prst="rect">
          <a:avLst/>
        </a:prstGeom>
      </xdr:spPr>
    </xdr:pic>
    <xdr:clientData/>
  </xdr:twoCellAnchor>
  <xdr:twoCellAnchor editAs="oneCell">
    <xdr:from>
      <xdr:col>16</xdr:col>
      <xdr:colOff>152400</xdr:colOff>
      <xdr:row>170</xdr:row>
      <xdr:rowOff>142875</xdr:rowOff>
    </xdr:from>
    <xdr:to>
      <xdr:col>19</xdr:col>
      <xdr:colOff>673072</xdr:colOff>
      <xdr:row>177</xdr:row>
      <xdr:rowOff>0</xdr:rowOff>
    </xdr:to>
    <xdr:pic>
      <xdr:nvPicPr>
        <xdr:cNvPr id="73" name="Image 72">
          <a:extLst>
            <a:ext uri="{FF2B5EF4-FFF2-40B4-BE49-F238E27FC236}">
              <a16:creationId xmlns:a16="http://schemas.microsoft.com/office/drawing/2014/main" id="{64135A4B-0726-436F-A40F-2BEFFF067C2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3077825" y="34690050"/>
          <a:ext cx="3035272" cy="1257300"/>
        </a:xfrm>
        <a:prstGeom prst="rect">
          <a:avLst/>
        </a:prstGeom>
      </xdr:spPr>
    </xdr:pic>
    <xdr:clientData/>
  </xdr:twoCellAnchor>
  <xdr:twoCellAnchor editAs="oneCell">
    <xdr:from>
      <xdr:col>11</xdr:col>
      <xdr:colOff>114300</xdr:colOff>
      <xdr:row>206</xdr:row>
      <xdr:rowOff>152400</xdr:rowOff>
    </xdr:from>
    <xdr:to>
      <xdr:col>14</xdr:col>
      <xdr:colOff>770968</xdr:colOff>
      <xdr:row>211</xdr:row>
      <xdr:rowOff>104775</xdr:rowOff>
    </xdr:to>
    <xdr:pic>
      <xdr:nvPicPr>
        <xdr:cNvPr id="74" name="Image 73">
          <a:extLst>
            <a:ext uri="{FF2B5EF4-FFF2-40B4-BE49-F238E27FC236}">
              <a16:creationId xmlns:a16="http://schemas.microsoft.com/office/drawing/2014/main" id="{74AAD07F-FA60-475A-891E-AC7462C6E5AB}"/>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8848725" y="42176700"/>
          <a:ext cx="3171268" cy="952500"/>
        </a:xfrm>
        <a:prstGeom prst="rect">
          <a:avLst/>
        </a:prstGeom>
      </xdr:spPr>
    </xdr:pic>
    <xdr:clientData/>
  </xdr:twoCellAnchor>
  <xdr:twoCellAnchor editAs="oneCell">
    <xdr:from>
      <xdr:col>16</xdr:col>
      <xdr:colOff>85725</xdr:colOff>
      <xdr:row>206</xdr:row>
      <xdr:rowOff>190500</xdr:rowOff>
    </xdr:from>
    <xdr:to>
      <xdr:col>19</xdr:col>
      <xdr:colOff>767876</xdr:colOff>
      <xdr:row>210</xdr:row>
      <xdr:rowOff>66675</xdr:rowOff>
    </xdr:to>
    <xdr:pic>
      <xdr:nvPicPr>
        <xdr:cNvPr id="75" name="Image 74">
          <a:extLst>
            <a:ext uri="{FF2B5EF4-FFF2-40B4-BE49-F238E27FC236}">
              <a16:creationId xmlns:a16="http://schemas.microsoft.com/office/drawing/2014/main" id="{8C2C8484-5B46-4227-942E-E8284B0AA062}"/>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3011150" y="42214800"/>
          <a:ext cx="3196751" cy="676275"/>
        </a:xfrm>
        <a:prstGeom prst="rect">
          <a:avLst/>
        </a:prstGeom>
      </xdr:spPr>
    </xdr:pic>
    <xdr:clientData/>
  </xdr:twoCellAnchor>
  <xdr:twoCellAnchor editAs="oneCell">
    <xdr:from>
      <xdr:col>1</xdr:col>
      <xdr:colOff>200025</xdr:colOff>
      <xdr:row>222</xdr:row>
      <xdr:rowOff>66675</xdr:rowOff>
    </xdr:from>
    <xdr:to>
      <xdr:col>4</xdr:col>
      <xdr:colOff>609600</xdr:colOff>
      <xdr:row>227</xdr:row>
      <xdr:rowOff>79499</xdr:rowOff>
    </xdr:to>
    <xdr:pic>
      <xdr:nvPicPr>
        <xdr:cNvPr id="76" name="Image 75">
          <a:extLst>
            <a:ext uri="{FF2B5EF4-FFF2-40B4-BE49-F238E27FC236}">
              <a16:creationId xmlns:a16="http://schemas.microsoft.com/office/drawing/2014/main" id="{C288D34B-5D8B-47C2-9B42-587A3F986F7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52450" y="45358050"/>
          <a:ext cx="2924175" cy="1012949"/>
        </a:xfrm>
        <a:prstGeom prst="rect">
          <a:avLst/>
        </a:prstGeom>
      </xdr:spPr>
    </xdr:pic>
    <xdr:clientData/>
  </xdr:twoCellAnchor>
  <xdr:twoCellAnchor editAs="oneCell">
    <xdr:from>
      <xdr:col>6</xdr:col>
      <xdr:colOff>247650</xdr:colOff>
      <xdr:row>221</xdr:row>
      <xdr:rowOff>19050</xdr:rowOff>
    </xdr:from>
    <xdr:to>
      <xdr:col>9</xdr:col>
      <xdr:colOff>577850</xdr:colOff>
      <xdr:row>230</xdr:row>
      <xdr:rowOff>61760</xdr:rowOff>
    </xdr:to>
    <xdr:pic>
      <xdr:nvPicPr>
        <xdr:cNvPr id="77" name="Image 76">
          <a:extLst>
            <a:ext uri="{FF2B5EF4-FFF2-40B4-BE49-F238E27FC236}">
              <a16:creationId xmlns:a16="http://schemas.microsoft.com/office/drawing/2014/main" id="{8FA20B23-3180-4515-9555-947CBE96CF2E}"/>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791075" y="45110400"/>
          <a:ext cx="2844800" cy="1842935"/>
        </a:xfrm>
        <a:prstGeom prst="rect">
          <a:avLst/>
        </a:prstGeom>
      </xdr:spPr>
    </xdr:pic>
    <xdr:clientData/>
  </xdr:twoCellAnchor>
  <xdr:twoCellAnchor editAs="oneCell">
    <xdr:from>
      <xdr:col>11</xdr:col>
      <xdr:colOff>95250</xdr:colOff>
      <xdr:row>222</xdr:row>
      <xdr:rowOff>38101</xdr:rowOff>
    </xdr:from>
    <xdr:to>
      <xdr:col>14</xdr:col>
      <xdr:colOff>664640</xdr:colOff>
      <xdr:row>225</xdr:row>
      <xdr:rowOff>85726</xdr:rowOff>
    </xdr:to>
    <xdr:pic>
      <xdr:nvPicPr>
        <xdr:cNvPr id="78" name="Image 77">
          <a:extLst>
            <a:ext uri="{FF2B5EF4-FFF2-40B4-BE49-F238E27FC236}">
              <a16:creationId xmlns:a16="http://schemas.microsoft.com/office/drawing/2014/main" id="{332B254F-F75B-486E-9574-DA4C1434B9D4}"/>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8829675" y="45329476"/>
          <a:ext cx="3083990" cy="647700"/>
        </a:xfrm>
        <a:prstGeom prst="rect">
          <a:avLst/>
        </a:prstGeom>
      </xdr:spPr>
    </xdr:pic>
    <xdr:clientData/>
  </xdr:twoCellAnchor>
  <xdr:twoCellAnchor editAs="oneCell">
    <xdr:from>
      <xdr:col>16</xdr:col>
      <xdr:colOff>257175</xdr:colOff>
      <xdr:row>140</xdr:row>
      <xdr:rowOff>85725</xdr:rowOff>
    </xdr:from>
    <xdr:to>
      <xdr:col>19</xdr:col>
      <xdr:colOff>477310</xdr:colOff>
      <xdr:row>144</xdr:row>
      <xdr:rowOff>104775</xdr:rowOff>
    </xdr:to>
    <xdr:pic>
      <xdr:nvPicPr>
        <xdr:cNvPr id="80" name="Image 79">
          <a:extLst>
            <a:ext uri="{FF2B5EF4-FFF2-40B4-BE49-F238E27FC236}">
              <a16:creationId xmlns:a16="http://schemas.microsoft.com/office/drawing/2014/main" id="{9CE96A6E-67A8-457C-92A4-DE8C2956F1EA}"/>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3182600" y="28098750"/>
          <a:ext cx="2734735" cy="1028700"/>
        </a:xfrm>
        <a:prstGeom prst="rect">
          <a:avLst/>
        </a:prstGeom>
      </xdr:spPr>
    </xdr:pic>
    <xdr:clientData/>
  </xdr:twoCellAnchor>
  <xdr:twoCellAnchor editAs="oneCell">
    <xdr:from>
      <xdr:col>11</xdr:col>
      <xdr:colOff>257175</xdr:colOff>
      <xdr:row>121</xdr:row>
      <xdr:rowOff>9525</xdr:rowOff>
    </xdr:from>
    <xdr:to>
      <xdr:col>14</xdr:col>
      <xdr:colOff>632186</xdr:colOff>
      <xdr:row>131</xdr:row>
      <xdr:rowOff>168274</xdr:rowOff>
    </xdr:to>
    <xdr:pic>
      <xdr:nvPicPr>
        <xdr:cNvPr id="56" name="Image 55">
          <a:extLst>
            <a:ext uri="{FF2B5EF4-FFF2-40B4-BE49-F238E27FC236}">
              <a16:creationId xmlns:a16="http://schemas.microsoft.com/office/drawing/2014/main" id="{3CE200BA-8CAD-48DE-936E-E238BA69A9A6}"/>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8991600" y="24403050"/>
          <a:ext cx="2889611" cy="21589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Fruits" displayName="tbl_Fruits" ref="Z2:Z6" totalsRowShown="0" headerRowDxfId="37" dataDxfId="36">
  <autoFilter ref="Z2:Z6" xr:uid="{00000000-0009-0000-0100-000001000000}"/>
  <tableColumns count="1">
    <tableColumn id="1" xr3:uid="{00000000-0010-0000-0000-000001000000}" name="Fruits" dataDxfId="35" dataCellStyle="Cellule gris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_TypeFruit" displayName="tbl_TypeFruit" ref="AB2:AB4" totalsRowShown="0" headerRowDxfId="34" dataDxfId="33">
  <autoFilter ref="AB2:AB4" xr:uid="{00000000-0009-0000-0100-000002000000}"/>
  <tableColumns count="1">
    <tableColumn id="1" xr3:uid="{00000000-0010-0000-0100-000001000000}" name="Pommes" dataDxfId="32" dataCellStyle="Cellule gris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_TypeFruit4" displayName="tbl_TypeFruit4" ref="AD2:AD4" totalsRowShown="0" headerRowDxfId="31" dataDxfId="30">
  <autoFilter ref="AD2:AD4" xr:uid="{00000000-0009-0000-0100-000003000000}"/>
  <tableColumns count="1">
    <tableColumn id="1" xr3:uid="{00000000-0010-0000-0200-000001000000}" name="Oranges" dataDxfId="29" dataCellStyle="Cellule gris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_TypeFruit5" displayName="tbl_TypeFruit5" ref="AH2:AH4" totalsRowShown="0" headerRowDxfId="28" dataDxfId="27">
  <autoFilter ref="AH2:AH4" xr:uid="{00000000-0009-0000-0100-000004000000}"/>
  <tableColumns count="1">
    <tableColumn id="1" xr3:uid="{00000000-0010-0000-0300-000001000000}" name="Citrons" dataDxfId="26" dataCellStyle="Cellule gris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_TypeFruit6" displayName="tbl_TypeFruit6" ref="AF2:AF4" totalsRowShown="0" headerRowDxfId="25" dataDxfId="24">
  <autoFilter ref="AF2:AF4" xr:uid="{00000000-0009-0000-0100-000005000000}"/>
  <tableColumns count="1">
    <tableColumn id="1" xr3:uid="{00000000-0010-0000-0400-000001000000}" name="Bananes" dataDxfId="23" dataCellStyle="Cellule grise"/>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yUb6Lk9LynA" TargetMode="External"/><Relationship Id="rId13" Type="http://schemas.openxmlformats.org/officeDocument/2006/relationships/hyperlink" Target="https://bourgognefranchecomte.aract.fr/sites/default/files/2019-04/Guide_tse.pdf" TargetMode="External"/><Relationship Id="rId18" Type="http://schemas.openxmlformats.org/officeDocument/2006/relationships/hyperlink" Target="https://www.youtube.com/watch?v=Nm--HJ1rXh0" TargetMode="External"/><Relationship Id="rId3" Type="http://schemas.openxmlformats.org/officeDocument/2006/relationships/hyperlink" Target="http://www.excel-downloads.com/forum/111720-space.html" TargetMode="External"/><Relationship Id="rId21" Type="http://schemas.openxmlformats.org/officeDocument/2006/relationships/hyperlink" Target="https://www.youtube.com/watch?v=EGtpqhNK3wQ" TargetMode="External"/><Relationship Id="rId7" Type="http://schemas.openxmlformats.org/officeDocument/2006/relationships/hyperlink" Target="https://www.youtube.com/watch?v=pdIIQ--QgwU" TargetMode="External"/><Relationship Id="rId12" Type="http://schemas.openxmlformats.org/officeDocument/2006/relationships/hyperlink" Target="https://uimmauvergne.org/sites/default/files/Guide_transmission_savoirs_savoirfaire.pdf" TargetMode="External"/><Relationship Id="rId17" Type="http://schemas.openxmlformats.org/officeDocument/2006/relationships/hyperlink" Target="https://www.youtube.com/watch?v=I4XA5qCNU5w" TargetMode="External"/><Relationship Id="rId2" Type="http://schemas.openxmlformats.org/officeDocument/2006/relationships/hyperlink" Target="http://www.franck-barbenoire.fr/posts/2014/07/03/taux-hydratation/" TargetMode="External"/><Relationship Id="rId16" Type="http://schemas.openxmlformats.org/officeDocument/2006/relationships/hyperlink" Target="https://www.youtube.com/watch?v=Hgdab911xr4" TargetMode="External"/><Relationship Id="rId20" Type="http://schemas.openxmlformats.org/officeDocument/2006/relationships/hyperlink" Target="https://www.youtube.com/watch?v=btPDVf6Wd-I" TargetMode="External"/><Relationship Id="rId1" Type="http://schemas.openxmlformats.org/officeDocument/2006/relationships/hyperlink" Target="http://www.franck-barbenoire.fr/extras/pate-imposee.ods" TargetMode="External"/><Relationship Id="rId6" Type="http://schemas.openxmlformats.org/officeDocument/2006/relationships/hyperlink" Target="https://www.google.fr/search?q=piffom%C3%A9trie&amp;ie=utf-8&amp;oe=utf-8&amp;client=firefox-b&amp;gfe_rd=cr&amp;dcr=0&amp;ei=yYrYWZrKMYfAaMTIipgK" TargetMode="External"/><Relationship Id="rId11" Type="http://schemas.openxmlformats.org/officeDocument/2006/relationships/hyperlink" Target="https://www.digitalrecruiters.com/blog/comment-transmettre-savoirs-entreprise" TargetMode="External"/><Relationship Id="rId5" Type="http://schemas.openxmlformats.org/officeDocument/2006/relationships/hyperlink" Target="https://www.google.fr/search?q=piffom%C3%A9trie&amp;ie=utf-8&amp;oe=utf-8&amp;client=firefox-b&amp;gfe_rd=cr&amp;dcr=0&amp;ei=yYrYWZrKMYfAaMTIipgK" TargetMode="External"/><Relationship Id="rId15" Type="http://schemas.openxmlformats.org/officeDocument/2006/relationships/hyperlink" Target="https://lestalentsdalphonse.com/" TargetMode="External"/><Relationship Id="rId23" Type="http://schemas.openxmlformats.org/officeDocument/2006/relationships/drawing" Target="../drawings/drawing1.xml"/><Relationship Id="rId10" Type="http://schemas.openxmlformats.org/officeDocument/2006/relationships/hyperlink" Target="https://www.manpowergroup.fr/contrat-de-generation-ii-%E2%80%93-la-transmission-enjeu-vital-pour-l%E2%80%99economie-et-la-societe/" TargetMode="External"/><Relationship Id="rId19" Type="http://schemas.openxmlformats.org/officeDocument/2006/relationships/hyperlink" Target="https://www.youtube.com/watch?v=Gqq59qZ_OOE" TargetMode="External"/><Relationship Id="rId4" Type="http://schemas.openxmlformats.org/officeDocument/2006/relationships/hyperlink" Target="http://www.excel-downloads.com/remository/Download/Professionnels/Planification-et-gestion-de-projets/SPACE.html" TargetMode="External"/><Relationship Id="rId9" Type="http://schemas.openxmlformats.org/officeDocument/2006/relationships/hyperlink" Target="https://www.demos.fr/expertises-thematiques-ressources-humaines-et-transmission-des-savoirs" TargetMode="External"/><Relationship Id="rId14" Type="http://schemas.openxmlformats.org/officeDocument/2006/relationships/hyperlink" Target="https://hautsdefrance-aract.fr/wp-content/uploads/2016/01/guide-pour-action-transmettre-pour-perenniser.pdf" TargetMode="External"/><Relationship Id="rId22"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user.services.openoffice.org/fr/forum/viewtopic.php?t=358" TargetMode="External"/><Relationship Id="rId1" Type="http://schemas.openxmlformats.org/officeDocument/2006/relationships/hyperlink" Target="http://user.services.openoffice.org/fr/forum/viewtopic.php?t=358"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hra.spip.ac-rouen.fr/spip.php?page=plan&amp;lang=fr" TargetMode="External"/><Relationship Id="rId21" Type="http://schemas.openxmlformats.org/officeDocument/2006/relationships/hyperlink" Target="http://hra.spip.ac-rouen.fr/spip.php?article222" TargetMode="External"/><Relationship Id="rId42" Type="http://schemas.openxmlformats.org/officeDocument/2006/relationships/hyperlink" Target="http://hra.spip.ac-rouen.fr/spip.php?page=plan&amp;lang=fr" TargetMode="External"/><Relationship Id="rId47" Type="http://schemas.openxmlformats.org/officeDocument/2006/relationships/hyperlink" Target="http://hra.spip.ac-rouen.fr/spip.php?article222" TargetMode="External"/><Relationship Id="rId63" Type="http://schemas.openxmlformats.org/officeDocument/2006/relationships/hyperlink" Target="http://www.boulangerie.net/forums/bnweb/dt/pate.php" TargetMode="External"/><Relationship Id="rId68" Type="http://schemas.openxmlformats.org/officeDocument/2006/relationships/hyperlink" Target="http://compagnonsdutourdefrance.org/pages/boulangerie-patisserie" TargetMode="External"/><Relationship Id="rId2" Type="http://schemas.openxmlformats.org/officeDocument/2006/relationships/hyperlink" Target="https://www.youtube.com/channel/UC8SRYHgGMqAYZehYdznaqvQ/videos" TargetMode="External"/><Relationship Id="rId16" Type="http://schemas.openxmlformats.org/officeDocument/2006/relationships/hyperlink" Target="http://hra.spip.ac-rouen.fr/spip.php?page=plan&amp;lang=fr" TargetMode="External"/><Relationship Id="rId29" Type="http://schemas.openxmlformats.org/officeDocument/2006/relationships/hyperlink" Target="http://hra.spip.ac-rouen.fr/spip.php?article222" TargetMode="External"/><Relationship Id="rId11" Type="http://schemas.openxmlformats.org/officeDocument/2006/relationships/hyperlink" Target="http://hra.spip.ac-rouen.fr/spip.php?article222" TargetMode="External"/><Relationship Id="rId24" Type="http://schemas.openxmlformats.org/officeDocument/2006/relationships/hyperlink" Target="http://hra.spip.ac-rouen.fr/spip.php?page=plan&amp;lang=fr" TargetMode="External"/><Relationship Id="rId32" Type="http://schemas.openxmlformats.org/officeDocument/2006/relationships/hyperlink" Target="http://hra.spip.ac-rouen.fr/spip.php?page=plan&amp;lang=fr" TargetMode="External"/><Relationship Id="rId37" Type="http://schemas.openxmlformats.org/officeDocument/2006/relationships/hyperlink" Target="http://hra.spip.ac-rouen.fr/spip.php?article222" TargetMode="External"/><Relationship Id="rId40" Type="http://schemas.openxmlformats.org/officeDocument/2006/relationships/hyperlink" Target="http://hra.spip.ac-rouen.fr/spip.php?page=plan&amp;lang=fr" TargetMode="External"/><Relationship Id="rId45" Type="http://schemas.openxmlformats.org/officeDocument/2006/relationships/hyperlink" Target="http://hra.spip.ac-rouen.fr/spip.php?article222" TargetMode="External"/><Relationship Id="rId53" Type="http://schemas.openxmlformats.org/officeDocument/2006/relationships/hyperlink" Target="http://hra.spip.ac-rouen.fr/spip.php?article222" TargetMode="External"/><Relationship Id="rId58" Type="http://schemas.openxmlformats.org/officeDocument/2006/relationships/hyperlink" Target="http://hra.spip.ac-rouen.fr/spip.php?page=plan&amp;lang=fr" TargetMode="External"/><Relationship Id="rId66" Type="http://schemas.openxmlformats.org/officeDocument/2006/relationships/hyperlink" Target="http://technomitron.aainb.com/vocabulaire/" TargetMode="External"/><Relationship Id="rId74" Type="http://schemas.openxmlformats.org/officeDocument/2006/relationships/printerSettings" Target="../printerSettings/printerSettings4.bin"/><Relationship Id="rId5" Type="http://schemas.openxmlformats.org/officeDocument/2006/relationships/hyperlink" Target="https://www.youtube.com/user/KhanAcademyFrancais/videos" TargetMode="External"/><Relationship Id="rId61" Type="http://schemas.openxmlformats.org/officeDocument/2006/relationships/hyperlink" Target="http://hra.spip.ac-rouen.fr/spip.php?article222" TargetMode="External"/><Relationship Id="rId19" Type="http://schemas.openxmlformats.org/officeDocument/2006/relationships/hyperlink" Target="http://hra.spip.ac-rouen.fr/spip.php?article222" TargetMode="External"/><Relationship Id="rId14" Type="http://schemas.openxmlformats.org/officeDocument/2006/relationships/hyperlink" Target="http://hra.spip.ac-rouen.fr/spip.php?page=plan&amp;lang=fr" TargetMode="External"/><Relationship Id="rId22" Type="http://schemas.openxmlformats.org/officeDocument/2006/relationships/hyperlink" Target="http://hra.spip.ac-rouen.fr/spip.php?page=plan&amp;lang=fr" TargetMode="External"/><Relationship Id="rId27" Type="http://schemas.openxmlformats.org/officeDocument/2006/relationships/hyperlink" Target="http://hra.spip.ac-rouen.fr/spip.php?article222" TargetMode="External"/><Relationship Id="rId30" Type="http://schemas.openxmlformats.org/officeDocument/2006/relationships/hyperlink" Target="http://hra.spip.ac-rouen.fr/spip.php?page=plan&amp;lang=fr" TargetMode="External"/><Relationship Id="rId35" Type="http://schemas.openxmlformats.org/officeDocument/2006/relationships/hyperlink" Target="http://hra.spip.ac-rouen.fr/spip.php?article222" TargetMode="External"/><Relationship Id="rId43" Type="http://schemas.openxmlformats.org/officeDocument/2006/relationships/hyperlink" Target="http://hra.spip.ac-rouen.fr/spip.php?article222" TargetMode="External"/><Relationship Id="rId48" Type="http://schemas.openxmlformats.org/officeDocument/2006/relationships/hyperlink" Target="http://hra.spip.ac-rouen.fr/spip.php?page=plan&amp;lang=fr" TargetMode="External"/><Relationship Id="rId56" Type="http://schemas.openxmlformats.org/officeDocument/2006/relationships/hyperlink" Target="http://hra.spip.ac-rouen.fr/spip.php?page=plan&amp;lang=fr" TargetMode="External"/><Relationship Id="rId64" Type="http://schemas.openxmlformats.org/officeDocument/2006/relationships/hyperlink" Target="http://levainbio.com/cb/crebesc/le-chiffre-de-base/?internal_redirect=1" TargetMode="External"/><Relationship Id="rId69" Type="http://schemas.openxmlformats.org/officeDocument/2006/relationships/hyperlink" Target="https://levainbio.com/cb/infos" TargetMode="External"/><Relationship Id="rId8" Type="http://schemas.openxmlformats.org/officeDocument/2006/relationships/hyperlink" Target="https://www.youtube.com/watch?v=MvlDCAUn-hU" TargetMode="External"/><Relationship Id="rId51" Type="http://schemas.openxmlformats.org/officeDocument/2006/relationships/hyperlink" Target="http://hra.spip.ac-rouen.fr/spip.php?article222" TargetMode="External"/><Relationship Id="rId72" Type="http://schemas.openxmlformats.org/officeDocument/2006/relationships/hyperlink" Target="http://technologiepatisserie.blogspot.com/p/la-levure-biologique.html" TargetMode="External"/><Relationship Id="rId3" Type="http://schemas.openxmlformats.org/officeDocument/2006/relationships/hyperlink" Target="https://www.youtube.com/watch?v=XjRRX1-mtNs&amp;list=PLyyMJPO8QlklRvvG9wrBtIV-9Op8FwaR4&amp;index=199" TargetMode="External"/><Relationship Id="rId12" Type="http://schemas.openxmlformats.org/officeDocument/2006/relationships/hyperlink" Target="http://hra.spip.ac-rouen.fr/spip.php?page=plan&amp;lang=fr" TargetMode="External"/><Relationship Id="rId17" Type="http://schemas.openxmlformats.org/officeDocument/2006/relationships/hyperlink" Target="http://hra.spip.ac-rouen.fr/spip.php?article222" TargetMode="External"/><Relationship Id="rId25" Type="http://schemas.openxmlformats.org/officeDocument/2006/relationships/hyperlink" Target="http://hra.spip.ac-rouen.fr/spip.php?article222" TargetMode="External"/><Relationship Id="rId33" Type="http://schemas.openxmlformats.org/officeDocument/2006/relationships/hyperlink" Target="http://hra.spip.ac-rouen.fr/spip.php?article222" TargetMode="External"/><Relationship Id="rId38" Type="http://schemas.openxmlformats.org/officeDocument/2006/relationships/hyperlink" Target="http://hra.spip.ac-rouen.fr/spip.php?page=plan&amp;lang=fr" TargetMode="External"/><Relationship Id="rId46" Type="http://schemas.openxmlformats.org/officeDocument/2006/relationships/hyperlink" Target="http://hra.spip.ac-rouen.fr/spip.php?page=plan&amp;lang=fr" TargetMode="External"/><Relationship Id="rId59" Type="http://schemas.openxmlformats.org/officeDocument/2006/relationships/hyperlink" Target="http://hra.spip.ac-rouen.fr/spip.php?article222" TargetMode="External"/><Relationship Id="rId67" Type="http://schemas.openxmlformats.org/officeDocument/2006/relationships/hyperlink" Target="http://aainb.com/" TargetMode="External"/><Relationship Id="rId20" Type="http://schemas.openxmlformats.org/officeDocument/2006/relationships/hyperlink" Target="http://hra.spip.ac-rouen.fr/spip.php?page=plan&amp;lang=fr" TargetMode="External"/><Relationship Id="rId41" Type="http://schemas.openxmlformats.org/officeDocument/2006/relationships/hyperlink" Target="http://hra.spip.ac-rouen.fr/spip.php?article222" TargetMode="External"/><Relationship Id="rId54" Type="http://schemas.openxmlformats.org/officeDocument/2006/relationships/hyperlink" Target="http://hra.spip.ac-rouen.fr/spip.php?page=plan&amp;lang=fr" TargetMode="External"/><Relationship Id="rId62" Type="http://schemas.openxmlformats.org/officeDocument/2006/relationships/hyperlink" Target="http://hra.spip.ac-rouen.fr/spip.php?page=plan&amp;lang=fr" TargetMode="External"/><Relationship Id="rId70" Type="http://schemas.openxmlformats.org/officeDocument/2006/relationships/hyperlink" Target="https://www.facebook.com/CFCADPASTRYCAM/" TargetMode="External"/><Relationship Id="rId75" Type="http://schemas.openxmlformats.org/officeDocument/2006/relationships/drawing" Target="../drawings/drawing7.xml"/><Relationship Id="rId1" Type="http://schemas.openxmlformats.org/officeDocument/2006/relationships/hyperlink" Target="https://www.youtube.com/watch?v=SgFaLduHeAE" TargetMode="External"/><Relationship Id="rId6" Type="http://schemas.openxmlformats.org/officeDocument/2006/relationships/hyperlink" Target="https://fr.khanacademy.org/" TargetMode="External"/><Relationship Id="rId15" Type="http://schemas.openxmlformats.org/officeDocument/2006/relationships/hyperlink" Target="http://hra.spip.ac-rouen.fr/spip.php?article222" TargetMode="External"/><Relationship Id="rId23" Type="http://schemas.openxmlformats.org/officeDocument/2006/relationships/hyperlink" Target="http://hra.spip.ac-rouen.fr/spip.php?article222" TargetMode="External"/><Relationship Id="rId28" Type="http://schemas.openxmlformats.org/officeDocument/2006/relationships/hyperlink" Target="http://hra.spip.ac-rouen.fr/spip.php?page=plan&amp;lang=fr" TargetMode="External"/><Relationship Id="rId36" Type="http://schemas.openxmlformats.org/officeDocument/2006/relationships/hyperlink" Target="http://hra.spip.ac-rouen.fr/spip.php?page=plan&amp;lang=fr" TargetMode="External"/><Relationship Id="rId49" Type="http://schemas.openxmlformats.org/officeDocument/2006/relationships/hyperlink" Target="http://hra.spip.ac-rouen.fr/spip.php?article222" TargetMode="External"/><Relationship Id="rId57" Type="http://schemas.openxmlformats.org/officeDocument/2006/relationships/hyperlink" Target="http://hra.spip.ac-rouen.fr/spip.php?article222" TargetMode="External"/><Relationship Id="rId10" Type="http://schemas.openxmlformats.org/officeDocument/2006/relationships/hyperlink" Target="https://www.cmath.fr/" TargetMode="External"/><Relationship Id="rId31" Type="http://schemas.openxmlformats.org/officeDocument/2006/relationships/hyperlink" Target="http://hra.spip.ac-rouen.fr/spip.php?article222" TargetMode="External"/><Relationship Id="rId44" Type="http://schemas.openxmlformats.org/officeDocument/2006/relationships/hyperlink" Target="http://hra.spip.ac-rouen.fr/spip.php?page=plan&amp;lang=fr" TargetMode="External"/><Relationship Id="rId52" Type="http://schemas.openxmlformats.org/officeDocument/2006/relationships/hyperlink" Target="http://hra.spip.ac-rouen.fr/spip.php?page=plan&amp;lang=fr" TargetMode="External"/><Relationship Id="rId60" Type="http://schemas.openxmlformats.org/officeDocument/2006/relationships/hyperlink" Target="http://hra.spip.ac-rouen.fr/spip.php?page=plan&amp;lang=fr" TargetMode="External"/><Relationship Id="rId65" Type="http://schemas.openxmlformats.org/officeDocument/2006/relationships/hyperlink" Target="https://www.youtube.com/watch?v=IZjUj8YzhLA" TargetMode="External"/><Relationship Id="rId73" Type="http://schemas.openxmlformats.org/officeDocument/2006/relationships/hyperlink" Target="https://www.facebook.com/CFCADPASTRYCAM/" TargetMode="External"/><Relationship Id="rId4" Type="http://schemas.openxmlformats.org/officeDocument/2006/relationships/hyperlink" Target="https://www.youtube.com/watch?v=GAK9ukkdYL8&amp;list=PLyyMJPO8QlklRvvG9wrBtIV-9Op8FwaR4&amp;index=200" TargetMode="External"/><Relationship Id="rId9" Type="http://schemas.openxmlformats.org/officeDocument/2006/relationships/hyperlink" Target="https://www.cmath.fr/6eme/pourcentages/cours.php" TargetMode="External"/><Relationship Id="rId13" Type="http://schemas.openxmlformats.org/officeDocument/2006/relationships/hyperlink" Target="http://hra.spip.ac-rouen.fr/spip.php?article222" TargetMode="External"/><Relationship Id="rId18" Type="http://schemas.openxmlformats.org/officeDocument/2006/relationships/hyperlink" Target="http://hra.spip.ac-rouen.fr/spip.php?page=plan&amp;lang=fr" TargetMode="External"/><Relationship Id="rId39" Type="http://schemas.openxmlformats.org/officeDocument/2006/relationships/hyperlink" Target="http://hra.spip.ac-rouen.fr/spip.php?article222" TargetMode="External"/><Relationship Id="rId34" Type="http://schemas.openxmlformats.org/officeDocument/2006/relationships/hyperlink" Target="http://hra.spip.ac-rouen.fr/spip.php?page=plan&amp;lang=fr" TargetMode="External"/><Relationship Id="rId50" Type="http://schemas.openxmlformats.org/officeDocument/2006/relationships/hyperlink" Target="http://hra.spip.ac-rouen.fr/spip.php?page=plan&amp;lang=fr" TargetMode="External"/><Relationship Id="rId55" Type="http://schemas.openxmlformats.org/officeDocument/2006/relationships/hyperlink" Target="http://hra.spip.ac-rouen.fr/spip.php?article222" TargetMode="External"/><Relationship Id="rId7" Type="http://schemas.openxmlformats.org/officeDocument/2006/relationships/hyperlink" Target="https://www.youtube.com/watch?v=UWjlRIXWSQo" TargetMode="External"/><Relationship Id="rId71" Type="http://schemas.openxmlformats.org/officeDocument/2006/relationships/hyperlink" Target="http://technologiepatisserie.blogspot.com/p/la-levure-biologique.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franck-barbenoire.fr/extras/pate-imposee.ods" TargetMode="External"/><Relationship Id="rId18" Type="http://schemas.openxmlformats.org/officeDocument/2006/relationships/hyperlink" Target="http://www.franck-barbenoire.fr/posts/2014/07/03/taux-hydratation/" TargetMode="External"/><Relationship Id="rId26" Type="http://schemas.openxmlformats.org/officeDocument/2006/relationships/hyperlink" Target="https://www.youtube.com/watch?v=7z3HEgTAFCY" TargetMode="External"/><Relationship Id="rId39" Type="http://schemas.openxmlformats.org/officeDocument/2006/relationships/hyperlink" Target="https://www.google.com/search?q=surfusion&amp;client=firefox-b-d&amp;source=lnms&amp;tbm=vid&amp;sa=X&amp;ved=0ahUKEwj9l4HlvK3kAhVHXRoKHb34DQ8Q_AUIESgB&amp;biw=1440&amp;bih=786" TargetMode="External"/><Relationship Id="rId21" Type="http://schemas.openxmlformats.org/officeDocument/2006/relationships/hyperlink" Target="https://www.youtube.com/watch?v=YuW0IYIVgkA" TargetMode="External"/><Relationship Id="rId34" Type="http://schemas.openxmlformats.org/officeDocument/2006/relationships/hyperlink" Target="http://www.franck-barbenoire.fr/posts/2014/07/03/taux-hydratation/" TargetMode="External"/><Relationship Id="rId42" Type="http://schemas.openxmlformats.org/officeDocument/2006/relationships/hyperlink" Target="http://www.franck-barbenoire.fr/posts/2014/07/03/taux-hydratation/" TargetMode="External"/><Relationship Id="rId7" Type="http://schemas.openxmlformats.org/officeDocument/2006/relationships/hyperlink" Target="http://www.franck-barbenoire.fr/extras/pate-imposee.ods" TargetMode="External"/><Relationship Id="rId2" Type="http://schemas.openxmlformats.org/officeDocument/2006/relationships/hyperlink" Target="http://www.franck-barbenoire.fr/posts/2014/07/03/taux-hydratation/" TargetMode="External"/><Relationship Id="rId16" Type="http://schemas.openxmlformats.org/officeDocument/2006/relationships/hyperlink" Target="http://www.franck-barbenoire.fr/posts/2014/07/03/taux-hydratation/" TargetMode="External"/><Relationship Id="rId20" Type="http://schemas.openxmlformats.org/officeDocument/2006/relationships/hyperlink" Target="https://www.youtube.com/user/fabcot/videos" TargetMode="External"/><Relationship Id="rId29" Type="http://schemas.openxmlformats.org/officeDocument/2006/relationships/hyperlink" Target="https://www.google.com/search?q=surfusion&amp;client=firefox-b-d&amp;source=lnms&amp;tbm=vid&amp;sa=X&amp;ved=0ahUKEwj9l4HlvK3kAhVHXRoKHb34DQ8Q_AUIESgB&amp;biw=1440&amp;bih=786" TargetMode="External"/><Relationship Id="rId41" Type="http://schemas.openxmlformats.org/officeDocument/2006/relationships/hyperlink" Target="http://www.franck-barbenoire.fr/posts/2014/07/03/taux-hydratation/" TargetMode="External"/><Relationship Id="rId1" Type="http://schemas.openxmlformats.org/officeDocument/2006/relationships/hyperlink" Target="http://www.franck-barbenoire.fr/" TargetMode="External"/><Relationship Id="rId6" Type="http://schemas.openxmlformats.org/officeDocument/2006/relationships/hyperlink" Target="http://www.franck-barbenoire.fr/posts/2014/07/03/taux-hydratation/" TargetMode="External"/><Relationship Id="rId11" Type="http://schemas.openxmlformats.org/officeDocument/2006/relationships/hyperlink" Target="https://github.com/franckinux/formulaires_boulangerie" TargetMode="External"/><Relationship Id="rId24" Type="http://schemas.openxmlformats.org/officeDocument/2006/relationships/hyperlink" Target="http://www.franck-barbenoire.fr/posts/2014/07/03/taux-hydratation/" TargetMode="External"/><Relationship Id="rId32" Type="http://schemas.openxmlformats.org/officeDocument/2006/relationships/hyperlink" Target="http://www.franck-barbenoire.fr/posts/2014/07/03/taux-hydratation/" TargetMode="External"/><Relationship Id="rId37" Type="http://schemas.openxmlformats.org/officeDocument/2006/relationships/hyperlink" Target="https://www.youtube.com/user/fabcot/videos" TargetMode="External"/><Relationship Id="rId40" Type="http://schemas.openxmlformats.org/officeDocument/2006/relationships/hyperlink" Target="https://blog.univ-reunion.fr/alessioguarino/2016/10/27/du-sel-pour-refroidir/" TargetMode="External"/><Relationship Id="rId5" Type="http://schemas.openxmlformats.org/officeDocument/2006/relationships/hyperlink" Target="http://www.franck-barbenoire.fr/posts/2014/07/03/taux-hydratation/" TargetMode="External"/><Relationship Id="rId15" Type="http://schemas.openxmlformats.org/officeDocument/2006/relationships/hyperlink" Target="http://www.franck-barbenoire.fr/extras/levain-impose.ods" TargetMode="External"/><Relationship Id="rId23" Type="http://schemas.openxmlformats.org/officeDocument/2006/relationships/hyperlink" Target="https://blog.univ-reunion.fr/alessioguarino/2016/10/27/du-sel-pour-refroidir/" TargetMode="External"/><Relationship Id="rId28" Type="http://schemas.openxmlformats.org/officeDocument/2006/relationships/hyperlink" Target="https://www.youtube.com/watch?v=YuW0IYIVgkA" TargetMode="External"/><Relationship Id="rId36" Type="http://schemas.openxmlformats.org/officeDocument/2006/relationships/hyperlink" Target="https://www.youtube.com/watch?v=7z3HEgTAFCY" TargetMode="External"/><Relationship Id="rId10" Type="http://schemas.openxmlformats.org/officeDocument/2006/relationships/hyperlink" Target="http://www.franck-barbenoire.fr/posts/2017/02/08/formulaires-boulangerie/" TargetMode="External"/><Relationship Id="rId19" Type="http://schemas.openxmlformats.org/officeDocument/2006/relationships/hyperlink" Target="https://www.youtube.com/watch?v=7z3HEgTAFCY" TargetMode="External"/><Relationship Id="rId31" Type="http://schemas.openxmlformats.org/officeDocument/2006/relationships/hyperlink" Target="http://www.franck-barbenoire.fr/posts/2014/07/03/taux-hydratation/" TargetMode="External"/><Relationship Id="rId44" Type="http://schemas.openxmlformats.org/officeDocument/2006/relationships/drawing" Target="../drawings/drawing8.xml"/><Relationship Id="rId4" Type="http://schemas.openxmlformats.org/officeDocument/2006/relationships/hyperlink" Target="http://www.franck-barbenoire.fr/posts/2014/07/03/taux-hydratation/" TargetMode="External"/><Relationship Id="rId9" Type="http://schemas.openxmlformats.org/officeDocument/2006/relationships/hyperlink" Target="http://www.franck-barbenoire.fr/extras/levain-impose.ods" TargetMode="External"/><Relationship Id="rId14" Type="http://schemas.openxmlformats.org/officeDocument/2006/relationships/hyperlink" Target="http://www.franck-barbenoire.fr/posts/2014/07/03/taux-hydratation/" TargetMode="External"/><Relationship Id="rId22" Type="http://schemas.openxmlformats.org/officeDocument/2006/relationships/hyperlink" Target="https://www.google.com/search?q=surfusion&amp;client=firefox-b-d&amp;source=lnms&amp;tbm=vid&amp;sa=X&amp;ved=0ahUKEwj9l4HlvK3kAhVHXRoKHb34DQ8Q_AUIESgB&amp;biw=1440&amp;bih=786" TargetMode="External"/><Relationship Id="rId27" Type="http://schemas.openxmlformats.org/officeDocument/2006/relationships/hyperlink" Target="https://www.youtube.com/user/fabcot/videos" TargetMode="External"/><Relationship Id="rId30" Type="http://schemas.openxmlformats.org/officeDocument/2006/relationships/hyperlink" Target="https://blog.univ-reunion.fr/alessioguarino/2016/10/27/du-sel-pour-refroidir/" TargetMode="External"/><Relationship Id="rId35" Type="http://schemas.openxmlformats.org/officeDocument/2006/relationships/hyperlink" Target="http://www.franck-barbenoire.fr/extras/pate-imposee.ods" TargetMode="External"/><Relationship Id="rId43" Type="http://schemas.openxmlformats.org/officeDocument/2006/relationships/printerSettings" Target="../printerSettings/printerSettings5.bin"/><Relationship Id="rId8" Type="http://schemas.openxmlformats.org/officeDocument/2006/relationships/hyperlink" Target="http://www.franck-barbenoire.fr/extras/pate-imposee-iteratif.ods" TargetMode="External"/><Relationship Id="rId3" Type="http://schemas.openxmlformats.org/officeDocument/2006/relationships/hyperlink" Target="http://www.franck-barbenoire.fr/posts/2014/07/03/taux-hydratation/" TargetMode="External"/><Relationship Id="rId12" Type="http://schemas.openxmlformats.org/officeDocument/2006/relationships/hyperlink" Target="http://www.franck-barbenoire.fr/posts/2014/07/03/taux-hydratation/" TargetMode="External"/><Relationship Id="rId17" Type="http://schemas.openxmlformats.org/officeDocument/2006/relationships/hyperlink" Target="http://www.franck-barbenoire.fr/extras/levain-impose.ods" TargetMode="External"/><Relationship Id="rId25" Type="http://schemas.openxmlformats.org/officeDocument/2006/relationships/hyperlink" Target="http://www.franck-barbenoire.fr/posts/2014/07/03/taux-hydratation/" TargetMode="External"/><Relationship Id="rId33" Type="http://schemas.openxmlformats.org/officeDocument/2006/relationships/hyperlink" Target="http://www.franck-barbenoire.fr/extras/levain-impose.ods" TargetMode="External"/><Relationship Id="rId38" Type="http://schemas.openxmlformats.org/officeDocument/2006/relationships/hyperlink" Target="https://www.youtube.com/watch?v=YuW0IYIVgkA"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matoumatheux.mschpff.eu/num/fractions/6/cocktail3.html" TargetMode="External"/><Relationship Id="rId21" Type="http://schemas.openxmlformats.org/officeDocument/2006/relationships/hyperlink" Target="https://ressources.sesamath.net/matoumatheux/www/num/puissances/gateau.htm" TargetMode="External"/><Relationship Id="rId42" Type="http://schemas.openxmlformats.org/officeDocument/2006/relationships/hyperlink" Target="https://www.lumni.fr/video/resoudre-des-situations-simples-de-proportionnalite" TargetMode="External"/><Relationship Id="rId47" Type="http://schemas.openxmlformats.org/officeDocument/2006/relationships/hyperlink" Target="https://www.lumni.fr/video/les-fractions-egalite-comparaison-et-operations" TargetMode="External"/><Relationship Id="rId63" Type="http://schemas.openxmlformats.org/officeDocument/2006/relationships/hyperlink" Target="https://www.fondation-lamap.org/fr/page/9865/partenaires-scientifiques-pour-la-classe-comprendre" TargetMode="External"/><Relationship Id="rId68" Type="http://schemas.openxmlformats.org/officeDocument/2006/relationships/hyperlink" Target="https://eduscol.education.fr/1742/programmes-et-ressources-en-serie-stmg" TargetMode="External"/><Relationship Id="rId16" Type="http://schemas.openxmlformats.org/officeDocument/2006/relationships/hyperlink" Target="http://matoumatheux.mschpff.eu/geom/cercle/accueil6.html" TargetMode="External"/><Relationship Id="rId11" Type="http://schemas.openxmlformats.org/officeDocument/2006/relationships/hyperlink" Target="http://matoumatheux.ac-rennes.fr/cours/mesures/convmasse.htm" TargetMode="External"/><Relationship Id="rId32" Type="http://schemas.openxmlformats.org/officeDocument/2006/relationships/hyperlink" Target="http://matoumatheux.mschpff.eu/num/probleme/balananas.html" TargetMode="External"/><Relationship Id="rId37" Type="http://schemas.openxmlformats.org/officeDocument/2006/relationships/hyperlink" Target="https://ressources.sesamath.net/matoumatheux/www/num/diviseur/probleme1.htm" TargetMode="External"/><Relationship Id="rId53" Type="http://schemas.openxmlformats.org/officeDocument/2006/relationships/hyperlink" Target="https://www.lumni.fr/video/marches-et-prix" TargetMode="External"/><Relationship Id="rId58" Type="http://schemas.openxmlformats.org/officeDocument/2006/relationships/hyperlink" Target="https://www.citeco.fr/recherche?&amp;recommande=1" TargetMode="External"/><Relationship Id="rId74" Type="http://schemas.openxmlformats.org/officeDocument/2006/relationships/hyperlink" Target="https://ressources.sesamath.net/matoumatheux/www/num/proportionnalite/6/boulangerie.htm" TargetMode="External"/><Relationship Id="rId79" Type="http://schemas.openxmlformats.org/officeDocument/2006/relationships/hyperlink" Target="http://matoumatheux.mschpff.eu/liens.html" TargetMode="External"/><Relationship Id="rId5" Type="http://schemas.openxmlformats.org/officeDocument/2006/relationships/hyperlink" Target="https://ressources.sesamath.net/matoumatheux/www/num/proportionnalite/6/far.htm" TargetMode="External"/><Relationship Id="rId61" Type="http://schemas.openxmlformats.org/officeDocument/2006/relationships/hyperlink" Target="http://matoumatheux.ac-rennes.fr/num/probleme/classer.htm" TargetMode="External"/><Relationship Id="rId19" Type="http://schemas.openxmlformats.org/officeDocument/2006/relationships/hyperlink" Target="http://matoumatheux.mschpff.eu/geom/solides/5/cylindre.html" TargetMode="External"/><Relationship Id="rId14" Type="http://schemas.openxmlformats.org/officeDocument/2006/relationships/hyperlink" Target="https://ressources.sesamath.net/matoumatheux/www/geom/cercle/Bebert11.htm" TargetMode="External"/><Relationship Id="rId22" Type="http://schemas.openxmlformats.org/officeDocument/2006/relationships/hyperlink" Target="http://matoumatheux.ac-rennes.fr/cours/aire/airerect.htm" TargetMode="External"/><Relationship Id="rId27" Type="http://schemas.openxmlformats.org/officeDocument/2006/relationships/hyperlink" Target="http://matoumatheux.mschpff.eu/num/fractions/6/cocktail4.html" TargetMode="External"/><Relationship Id="rId30" Type="http://schemas.openxmlformats.org/officeDocument/2006/relationships/hyperlink" Target="http://matoumatheux.ac-rennes.fr/num/proportionnalite/6/gateauriz.htm" TargetMode="External"/><Relationship Id="rId35" Type="http://schemas.openxmlformats.org/officeDocument/2006/relationships/hyperlink" Target="https://ressources.sesamath.net/matoumatheux/www/num/courbe/casserole.htm" TargetMode="External"/><Relationship Id="rId43" Type="http://schemas.openxmlformats.org/officeDocument/2006/relationships/hyperlink" Target="https://www.lumni.fr/video/proportionnalite" TargetMode="External"/><Relationship Id="rId48" Type="http://schemas.openxmlformats.org/officeDocument/2006/relationships/hyperlink" Target="https://www.lumni.fr/video/volumes-et-contenances" TargetMode="External"/><Relationship Id="rId56" Type="http://schemas.openxmlformats.org/officeDocument/2006/relationships/hyperlink" Target="https://www.youtube.com/channel/UCmL2njvaZBbU0i7ELxJHffw/playlists" TargetMode="External"/><Relationship Id="rId64" Type="http://schemas.openxmlformats.org/officeDocument/2006/relationships/hyperlink" Target="https://www.lumni.fr/primaire/cm2/mathematiques" TargetMode="External"/><Relationship Id="rId69" Type="http://schemas.openxmlformats.org/officeDocument/2006/relationships/hyperlink" Target="https://eduscol.education.fr/1765/programmes-et-ressources-en-economie-gestion-voie-professionnelle" TargetMode="External"/><Relationship Id="rId77" Type="http://schemas.openxmlformats.org/officeDocument/2006/relationships/hyperlink" Target="http://matoumatheux.mschpff.eu/accueil.html" TargetMode="External"/><Relationship Id="rId8" Type="http://schemas.openxmlformats.org/officeDocument/2006/relationships/hyperlink" Target="http://matoumatheux.mschpff.eu/accueilniveaux/accueil6.html" TargetMode="External"/><Relationship Id="rId51" Type="http://schemas.openxmlformats.org/officeDocument/2006/relationships/hyperlink" Target="https://www.lumni.fr/video/linformation-chiffree" TargetMode="External"/><Relationship Id="rId72" Type="http://schemas.openxmlformats.org/officeDocument/2006/relationships/hyperlink" Target="https://eduscol.education.fr/1995/continuite-pedagogique-en-biotechnologies-et-sciences-et-techniques-medico-sociales" TargetMode="External"/><Relationship Id="rId80" Type="http://schemas.openxmlformats.org/officeDocument/2006/relationships/printerSettings" Target="../printerSettings/printerSettings6.bin"/><Relationship Id="rId3" Type="http://schemas.openxmlformats.org/officeDocument/2006/relationships/hyperlink" Target="https://ressources.sesamath.net/matoumatheux/www/num/entier/Franco/tables/ordreF.htm" TargetMode="External"/><Relationship Id="rId12" Type="http://schemas.openxmlformats.org/officeDocument/2006/relationships/hyperlink" Target="https://ressources.sesamath.net/matoumatheux/www/cours/mesures/convmasse.htm" TargetMode="External"/><Relationship Id="rId17" Type="http://schemas.openxmlformats.org/officeDocument/2006/relationships/hyperlink" Target="http://matoumatheux.mschpff.eu/geom/aire/accueil6.html" TargetMode="External"/><Relationship Id="rId25" Type="http://schemas.openxmlformats.org/officeDocument/2006/relationships/hyperlink" Target="http://matoumatheux.mschpff.eu/num/fractions/6/cocktail2.html" TargetMode="External"/><Relationship Id="rId33" Type="http://schemas.openxmlformats.org/officeDocument/2006/relationships/hyperlink" Target="http://matoumatheux.mschpff.eu/num/fractions/6/tangram6.html" TargetMode="External"/><Relationship Id="rId38" Type="http://schemas.openxmlformats.org/officeDocument/2006/relationships/hyperlink" Target="https://lesfondamentaux.reseau-canope.fr/discipline/mathematiques.html" TargetMode="External"/><Relationship Id="rId46" Type="http://schemas.openxmlformats.org/officeDocument/2006/relationships/hyperlink" Target="https://www.lumni.fr/dossier/les-fractions" TargetMode="External"/><Relationship Id="rId59" Type="http://schemas.openxmlformats.org/officeDocument/2006/relationships/hyperlink" Target="https://www.mesquestionsdargent.fr/budget/faire-mes-comptes" TargetMode="External"/><Relationship Id="rId67" Type="http://schemas.openxmlformats.org/officeDocument/2006/relationships/hyperlink" Target="https://eduscol.education.fr/180/education-financiere-et-budgetaire" TargetMode="External"/><Relationship Id="rId20" Type="http://schemas.openxmlformats.org/officeDocument/2006/relationships/hyperlink" Target="http://matoumatheux.ac-rennes.fr/num/puissances/gateau.htm" TargetMode="External"/><Relationship Id="rId41" Type="http://schemas.openxmlformats.org/officeDocument/2006/relationships/hyperlink" Target="https://www.lumni.fr/video/le-menu-de-la-cantine-les-arbres-de-probabilites" TargetMode="External"/><Relationship Id="rId54" Type="http://schemas.openxmlformats.org/officeDocument/2006/relationships/hyperlink" Target="https://www.youtube.com/user/MathematiquesTV/videos" TargetMode="External"/><Relationship Id="rId62" Type="http://schemas.openxmlformats.org/officeDocument/2006/relationships/hyperlink" Target="https://eduscol.education.fr/184/enseigner-le-vocabulaire" TargetMode="External"/><Relationship Id="rId70" Type="http://schemas.openxmlformats.org/officeDocument/2006/relationships/hyperlink" Target="https://culturemath.ens.fr/sitemap" TargetMode="External"/><Relationship Id="rId75" Type="http://schemas.openxmlformats.org/officeDocument/2006/relationships/hyperlink" Target="https://lesfondamentaux.reseau-canope.fr/discipline/mathematiques.html" TargetMode="External"/><Relationship Id="rId1" Type="http://schemas.openxmlformats.org/officeDocument/2006/relationships/hyperlink" Target="http://matoumatheux.ac-rennes.fr/num/fractions/6/poisson.htm" TargetMode="External"/><Relationship Id="rId6" Type="http://schemas.openxmlformats.org/officeDocument/2006/relationships/hyperlink" Target="http://matoumatheux.ac-rennes.fr/num/proportionnalite/6/boulangerie.htm" TargetMode="External"/><Relationship Id="rId15" Type="http://schemas.openxmlformats.org/officeDocument/2006/relationships/hyperlink" Target="http://matoumatheux.mschpff.eu/geom/cercle/accueil6.htm" TargetMode="External"/><Relationship Id="rId23" Type="http://schemas.openxmlformats.org/officeDocument/2006/relationships/hyperlink" Target="https://ressources.sesamath.net/matoumatheux/www/cours/aire/airerect.htm" TargetMode="External"/><Relationship Id="rId28" Type="http://schemas.openxmlformats.org/officeDocument/2006/relationships/hyperlink" Target="http://matoumatheux.mschpff.eu/num/proportionnalite/6/creme.html" TargetMode="External"/><Relationship Id="rId36" Type="http://schemas.openxmlformats.org/officeDocument/2006/relationships/hyperlink" Target="http://matoumatheux.ac-rennes.fr/num/diviseur/probleme1.htm" TargetMode="External"/><Relationship Id="rId49" Type="http://schemas.openxmlformats.org/officeDocument/2006/relationships/hyperlink" Target="https://www.lumni.fr/video/calculs-de-durees-2-juin" TargetMode="External"/><Relationship Id="rId57" Type="http://schemas.openxmlformats.org/officeDocument/2006/relationships/hyperlink" Target="https://abc-economie.banque-france.fr/" TargetMode="External"/><Relationship Id="rId10" Type="http://schemas.openxmlformats.org/officeDocument/2006/relationships/hyperlink" Target="https://ressources.sesamath.net/matoumatheux/www/cours/mesures/convlong.htm" TargetMode="External"/><Relationship Id="rId31" Type="http://schemas.openxmlformats.org/officeDocument/2006/relationships/hyperlink" Target="https://ressources.sesamath.net/matoumatheux/www/num/proportionnalite/6/gateauriz.htm" TargetMode="External"/><Relationship Id="rId44" Type="http://schemas.openxmlformats.org/officeDocument/2006/relationships/hyperlink" Target="https://www.lumni.fr/video/calculer-le-perimetre-d-un-rectangle-d-un-carre-et-d-un-disque" TargetMode="External"/><Relationship Id="rId52" Type="http://schemas.openxmlformats.org/officeDocument/2006/relationships/hyperlink" Target="https://www.lumni.fr/video/representation-des-donnees-tableaux-histogrammes-diagrammes-circulaires-26-mai" TargetMode="External"/><Relationship Id="rId60" Type="http://schemas.openxmlformats.org/officeDocument/2006/relationships/hyperlink" Target="https://ressources.sesamath.net/matoumatheux/www/num/probleme/classer.htm" TargetMode="External"/><Relationship Id="rId65" Type="http://schemas.openxmlformats.org/officeDocument/2006/relationships/hyperlink" Target="https://www.service-public.fr/particuliers/vosdroits/N20376" TargetMode="External"/><Relationship Id="rId73" Type="http://schemas.openxmlformats.org/officeDocument/2006/relationships/hyperlink" Target="https://www.lafinancepourtous.com/" TargetMode="External"/><Relationship Id="rId78" Type="http://schemas.openxmlformats.org/officeDocument/2006/relationships/hyperlink" Target="https://ressources.sesamath.net/matoumatheux/www/accueilniveaux/accueilpratiques4.htm" TargetMode="External"/><Relationship Id="rId81" Type="http://schemas.openxmlformats.org/officeDocument/2006/relationships/drawing" Target="../drawings/drawing9.xml"/><Relationship Id="rId4" Type="http://schemas.openxmlformats.org/officeDocument/2006/relationships/hyperlink" Target="http://matoumatheux.ac-rennes.fr/num/proportionnalite/6/far.htm" TargetMode="External"/><Relationship Id="rId9" Type="http://schemas.openxmlformats.org/officeDocument/2006/relationships/hyperlink" Target="http://matoumatheux.ac-rennes.fr/cours/mesures/convlong.htm" TargetMode="External"/><Relationship Id="rId13" Type="http://schemas.openxmlformats.org/officeDocument/2006/relationships/hyperlink" Target="http://matoumatheux.ac-rennes.fr/geom/cercle/Bebert11.htm" TargetMode="External"/><Relationship Id="rId18" Type="http://schemas.openxmlformats.org/officeDocument/2006/relationships/hyperlink" Target="http://matoumatheux.mschpff.eu/geom/solides/6/ruban.html" TargetMode="External"/><Relationship Id="rId39" Type="http://schemas.openxmlformats.org/officeDocument/2006/relationships/hyperlink" Target="https://www.lumni.fr/serie/la-maison-lumni-lycee" TargetMode="External"/><Relationship Id="rId34" Type="http://schemas.openxmlformats.org/officeDocument/2006/relationships/hyperlink" Target="http://matoumatheux.ac-rennes.fr/num/courbe/casserole.htm" TargetMode="External"/><Relationship Id="rId50" Type="http://schemas.openxmlformats.org/officeDocument/2006/relationships/hyperlink" Target="https://www.lumni.fr/video/mesurer-et-convertir-des-durees" TargetMode="External"/><Relationship Id="rId55" Type="http://schemas.openxmlformats.org/officeDocument/2006/relationships/hyperlink" Target="https://www.reseau-canope.fr/cpro-education.html" TargetMode="External"/><Relationship Id="rId76" Type="http://schemas.openxmlformats.org/officeDocument/2006/relationships/hyperlink" Target="http://matoumatheux.mschpff.eu/accueil.html" TargetMode="External"/><Relationship Id="rId7" Type="http://schemas.openxmlformats.org/officeDocument/2006/relationships/hyperlink" Target="http://matoumatheux.ac-rennes.fr/num/numeration/doigt.htm" TargetMode="External"/><Relationship Id="rId71" Type="http://schemas.openxmlformats.org/officeDocument/2006/relationships/hyperlink" Target="http://cle.ens-lyon.fr/" TargetMode="External"/><Relationship Id="rId2" Type="http://schemas.openxmlformats.org/officeDocument/2006/relationships/hyperlink" Target="https://ressources.sesamath.net/matoumatheux/www/num/fractions/6/poisson.htm" TargetMode="External"/><Relationship Id="rId29" Type="http://schemas.openxmlformats.org/officeDocument/2006/relationships/hyperlink" Target="https://ressources.sesamath.net/matoumatheux/www/num/fractions/6/fractionsM2.htm" TargetMode="External"/><Relationship Id="rId24" Type="http://schemas.openxmlformats.org/officeDocument/2006/relationships/hyperlink" Target="http://matoumatheux.mschpff.eu/num/fractions/6/menthe1.html" TargetMode="External"/><Relationship Id="rId40" Type="http://schemas.openxmlformats.org/officeDocument/2006/relationships/hyperlink" Target="https://lesfondamentaux.reseau-canope.fr/discipline/mathematiques/organisation-et-gestion-des-donnees/resolution-de-problemes/utiliser-la-regle-de-trois.html" TargetMode="External"/><Relationship Id="rId45" Type="http://schemas.openxmlformats.org/officeDocument/2006/relationships/hyperlink" Target="https://www.lumni.fr/video/les-fractions-10-avril" TargetMode="External"/><Relationship Id="rId66" Type="http://schemas.openxmlformats.org/officeDocument/2006/relationships/hyperlink" Target="https://cache.media.eduscol.education.fr/file/EFB/74/3/RA20_Lycee_GT_2-1-T_SES_BDF-ressources-complementaires_1302743.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youtube.com/watch?v=lpEcWRivwBM" TargetMode="External"/><Relationship Id="rId3" Type="http://schemas.openxmlformats.org/officeDocument/2006/relationships/hyperlink" Target="https://www.1formatik.com/6170/comment-faire-fonctionner-sites-jeux-flash-player-partir-2021" TargetMode="External"/><Relationship Id="rId7" Type="http://schemas.openxmlformats.org/officeDocument/2006/relationships/hyperlink" Target="https://www.youtube.com/watch?v=27d8EVtxfmc" TargetMode="External"/><Relationship Id="rId2" Type="http://schemas.openxmlformats.org/officeDocument/2006/relationships/hyperlink" Target="https://ruffle.rs/" TargetMode="External"/><Relationship Id="rId1" Type="http://schemas.openxmlformats.org/officeDocument/2006/relationships/hyperlink" Target="https://ruffle.rs/" TargetMode="External"/><Relationship Id="rId6" Type="http://schemas.openxmlformats.org/officeDocument/2006/relationships/hyperlink" Target="https://drive.google.com/file/d/1K7ut&#8230;" TargetMode="External"/><Relationship Id="rId5" Type="http://schemas.openxmlformats.org/officeDocument/2006/relationships/hyperlink" Target="https://www.youtube.com/watch?v=biRF6Nnpa-4" TargetMode="External"/><Relationship Id="rId10" Type="http://schemas.openxmlformats.org/officeDocument/2006/relationships/drawing" Target="../drawings/drawing10.xml"/><Relationship Id="rId4" Type="http://schemas.openxmlformats.org/officeDocument/2006/relationships/hyperlink" Target="https://www.youtube.com/watch?v=jG3oPspSPyM" TargetMode="External"/><Relationship Id="rId9" Type="http://schemas.openxmlformats.org/officeDocument/2006/relationships/hyperlink" Target="https://fr.myservername.com/how-open-swf-file"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support.office.com/en-us/article/IF-function-69AED7C9-4E8A-4755-A9BC-AA8BBFF73BE2"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18.xml"/><Relationship Id="rId1" Type="http://schemas.openxmlformats.org/officeDocument/2006/relationships/printerSettings" Target="../printerSettings/printerSettings15.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astucesinternet.com/modules/smartsection/item.php?itemid=85" TargetMode="External"/><Relationship Id="rId1" Type="http://schemas.openxmlformats.org/officeDocument/2006/relationships/hyperlink" Target="http://lecompagnon.info/excel/analyse.htm" TargetMode="External"/><Relationship Id="rId4"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8" Type="http://schemas.openxmlformats.org/officeDocument/2006/relationships/hyperlink" Target="http://www.espacegraphique.com/blog/art-floral/faire-un-gateau-vegetal-avec-les-fleurs-du-jardin-2724" TargetMode="External"/><Relationship Id="rId13" Type="http://schemas.openxmlformats.org/officeDocument/2006/relationships/printerSettings" Target="../printerSettings/printerSettings19.bin"/><Relationship Id="rId3" Type="http://schemas.openxmlformats.org/officeDocument/2006/relationships/hyperlink" Target="http://chefsimon.lemonde.fr/recettes" TargetMode="External"/><Relationship Id="rId7" Type="http://schemas.openxmlformats.org/officeDocument/2006/relationships/hyperlink" Target="https://www.youtube.com/results?search_query=wedding+cake" TargetMode="External"/><Relationship Id="rId12" Type="http://schemas.openxmlformats.org/officeDocument/2006/relationships/hyperlink" Target="https://www.youtube.com/user/lecochonetleboeuf/videos" TargetMode="External"/><Relationship Id="rId2" Type="http://schemas.openxmlformats.org/officeDocument/2006/relationships/hyperlink" Target="http://webtv.ac-versailles.fr/restauration/Patisserie" TargetMode="External"/><Relationship Id="rId1" Type="http://schemas.openxmlformats.org/officeDocument/2006/relationships/hyperlink" Target="http://webtv.ac-versailles.fr/restauration/Patisserie" TargetMode="External"/><Relationship Id="rId6" Type="http://schemas.openxmlformats.org/officeDocument/2006/relationships/hyperlink" Target="https://www.google.fr/search?q=wedding+cake&amp;espv=2&amp;biw=1600&amp;bih=861&amp;tbm=isch&amp;tbo=u&amp;source=univ&amp;sa=X&amp;ved=0ahUKEwiv0prUhKnKAhWB7xQKHddYAJ8QsAQIIQ&amp;dpr=0.9" TargetMode="External"/><Relationship Id="rId11" Type="http://schemas.openxmlformats.org/officeDocument/2006/relationships/hyperlink" Target="https://www.youtube.com/playlist?list=PLLtz9wrQZRVoJXVuZYVvgygM7gZpPmt-b" TargetMode="External"/><Relationship Id="rId5"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s://chefsimon.com/" TargetMode="External"/><Relationship Id="rId4" Type="http://schemas.openxmlformats.org/officeDocument/2006/relationships/hyperlink" Target="https://www.google.fr/webhp?sourceid=chrome-instant&amp;ion=1&amp;espv=2&amp;ie=UTF-8" TargetMode="External"/><Relationship Id="rId9" Type="http://schemas.openxmlformats.org/officeDocument/2006/relationships/hyperlink" Target="http://webtv.ac-versailles.fr/restauration/Cuisine" TargetMode="External"/><Relationship Id="rId14"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23.xml"/><Relationship Id="rId4"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s://bepo.fr/wiki/Menu" TargetMode="External"/><Relationship Id="rId7" Type="http://schemas.openxmlformats.org/officeDocument/2006/relationships/hyperlink" Target="https://www.youtube.com/watch?v=BEAwIv4fIw4"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2TmdhLLUsOQ" TargetMode="External"/><Relationship Id="rId5" Type="http://schemas.openxmlformats.org/officeDocument/2006/relationships/hyperlink" Target="https://www.premiers-clics.fr/cours-informatique/windows-convertir-un-cd-en-fichiers-mp3/"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8" Type="http://schemas.openxmlformats.org/officeDocument/2006/relationships/hyperlink" Target="http://www.nubel.be/fra/manual/liste_des_denrees_alimentaires.asp" TargetMode="External"/><Relationship Id="rId13" Type="http://schemas.openxmlformats.org/officeDocument/2006/relationships/hyperlink" Target="http://www.uprt.fr/mesimages/fichiers-uprt/pt-procedures-techniques/PT-bonnes-pratiques.doc" TargetMode="External"/><Relationship Id="rId18" Type="http://schemas.openxmlformats.org/officeDocument/2006/relationships/hyperlink" Target="http://www.agi67.fr/tutoriel/excel-tutoriel-video1" TargetMode="External"/><Relationship Id="rId3" Type="http://schemas.openxmlformats.org/officeDocument/2006/relationships/hyperlink" Target="http://www.aufeminin.com/fiche/cuisine/f14522-gelatine-et-agar-gar-principes-et-utilisations.html" TargetMode="External"/><Relationship Id="rId7" Type="http://schemas.openxmlformats.org/officeDocument/2006/relationships/hyperlink" Target="http://www.aliments.org/poids.htm" TargetMode="External"/><Relationship Id="rId12" Type="http://schemas.openxmlformats.org/officeDocument/2006/relationships/hyperlink" Target="http://miam-images.centerblog.net/rub-vaisselle-ustensiles-de-cuisson--3.html" TargetMode="External"/><Relationship Id="rId17" Type="http://schemas.openxmlformats.org/officeDocument/2006/relationships/hyperlink" Target="https://www.eyrolles.com/Chapitres/9782212127614/Chap-14_Barbary.pdf" TargetMode="External"/><Relationship Id="rId2"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16" Type="http://schemas.openxmlformats.org/officeDocument/2006/relationships/hyperlink" Target="https://www.excel-exercice.com/modulo-mod/" TargetMode="External"/><Relationship Id="rId1" Type="http://schemas.openxmlformats.org/officeDocument/2006/relationships/hyperlink" Target="https://fr.wikipedia.org/wiki/Gastro_Norm" TargetMode="External"/><Relationship Id="rId6"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 Type="http://schemas.openxmlformats.org/officeDocument/2006/relationships/hyperlink" Target="http://www.uprt.fr/mesimages/fichiers-uprt/ff-fiches-fabrication/ff-fiches-fabrication-maj-02-2015/ff-documents-divers-maj-02-2015/ff-tableau-cuisson.pdf" TargetMode="External"/><Relationship Id="rId5"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5" Type="http://schemas.openxmlformats.org/officeDocument/2006/relationships/hyperlink" Target="https://www.youtube.com/watch?v=zSpH3J0RKUQ" TargetMode="External"/><Relationship Id="rId10" Type="http://schemas.openxmlformats.org/officeDocument/2006/relationships/hyperlink" Target="http://www.uprt.fr/mesimages/fichiers-uprt/ff-fiches-fabrication/ff-fiches-fabrication-maj-02-2015/ff-documents-divers-maj-02-2015/ff-qualiterecettes2007.xls" TargetMode="External"/><Relationship Id="rId19" Type="http://schemas.openxmlformats.org/officeDocument/2006/relationships/drawing" Target="../drawings/drawing2.xml"/><Relationship Id="rId4" Type="http://schemas.openxmlformats.org/officeDocument/2006/relationships/hyperlink" Target="http://chefsimon.lemonde.fr/additifs/agar-agar.html" TargetMode="External"/><Relationship Id="rId9" Type="http://schemas.openxmlformats.org/officeDocument/2006/relationships/hyperlink" Target="http://www.crenoexpert.fr/flipbooks/expproduit/TABLEAUX-CALIBRES-FRUITS-2.pdf" TargetMode="External"/><Relationship Id="rId14" Type="http://schemas.openxmlformats.org/officeDocument/2006/relationships/hyperlink" Target="https://www.youtube.com/watch?v=oLiOogBFyqw"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hyperlink" Target="https://support.office.com/fr-fr/article/Afficher-les-relations-entre-formules-et-cellules-a59bef2b-3701-46bf-8ff1-d3518771d507" TargetMode="External"/><Relationship Id="rId7" Type="http://schemas.openxmlformats.org/officeDocument/2006/relationships/printerSettings" Target="../printerSettings/printerSettings23.bin"/><Relationship Id="rId2" Type="http://schemas.openxmlformats.org/officeDocument/2006/relationships/hyperlink" Target="https://support.office.com/fr-fr/article/Sp%C3%A9cifications-et-limites-relatives-%C3%A0-Excel-1672b34d-7043-467e-8e27-269d656771c3" TargetMode="External"/><Relationship Id="rId1" Type="http://schemas.openxmlformats.org/officeDocument/2006/relationships/hyperlink" Target="https://www.youtube.com/watch?v=ImOnZNKHBNU&amp;ab_channel=Tutech" TargetMode="External"/><Relationship Id="rId6" Type="http://schemas.openxmlformats.org/officeDocument/2006/relationships/hyperlink" Target="https://www.7-zip.fr/" TargetMode="External"/><Relationship Id="rId5" Type="http://schemas.openxmlformats.org/officeDocument/2006/relationships/hyperlink" Target="https://www.google.com/search?q=excel+audit-et-espionner-des-formules-sous-excel/&amp;rlz=1C1AVFC_enFR845FR845&amp;sxsrf=ALeKk00ZkuagfnESYXg-m2UrGlCtwMm4ng:1604142452301&amp;source=lnms&amp;tbm=vid&amp;sa=X&amp;ved=2ahUKEwjl6qao2N7sAhUr5eAKHeQECugQ_AUoAnoECAoQBA&amp;biw=1600&amp;bih=841" TargetMode="External"/><Relationship Id="rId4" Type="http://schemas.openxmlformats.org/officeDocument/2006/relationships/hyperlink" Target="http://lecompagnon.info/excel/analyse.htm"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24.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26.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25.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27.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26.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27.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mylittlerecettes.com/cap-patissier-les-oeufs-en-patisserie/" TargetMode="External"/><Relationship Id="rId2" Type="http://schemas.openxmlformats.org/officeDocument/2006/relationships/hyperlink" Target="http://www.cestmafournee.com/2013/06/quelles-quantites-pour-mon-moule.html" TargetMode="External"/><Relationship Id="rId1" Type="http://schemas.openxmlformats.org/officeDocument/2006/relationships/hyperlink" Target="http://www.cestmafournee.com/2013/06/quelles-quantites-pour-mon-moule.html" TargetMode="External"/><Relationship Id="rId5" Type="http://schemas.openxmlformats.org/officeDocument/2006/relationships/hyperlink" Target="http://www.uprt.fr/mesimages/fichiers-uprt/ff-fiches-fabrication/ff-fiches-fabrication-maj-02-2015/ff-documents-divers-maj-02-2015/ff-Croquis.xlsx" TargetMode="External"/><Relationship Id="rId4" Type="http://schemas.openxmlformats.org/officeDocument/2006/relationships/hyperlink" Target="http://www.uprt.fr/mesimages/fichiers-uprt/ff-fiches-fabrication/ff-fiches-fabrication-maj-02-2015/ff-documents-divers-maj-02-2015/ff-fiches-apprentis-Patissiers-07-03-2016.xls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3.xml"/><Relationship Id="rId2" Type="http://schemas.openxmlformats.org/officeDocument/2006/relationships/hyperlink" Target="http://www.1001cocktails.com/magazine/savoir-faire/cocktails-a-etages"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s://www.youtube.com/watch?v=qESfTUVs-rM" TargetMode="External"/><Relationship Id="rId5" Type="http://schemas.openxmlformats.org/officeDocument/2006/relationships/hyperlink" Target="https://www.youtube.com/watch?v=exqLsCla_X4" TargetMode="External"/><Relationship Id="rId4" Type="http://schemas.openxmlformats.org/officeDocument/2006/relationships/hyperlink" Target="http://www.cuisinealafrancaise.com/fr/2-poids-et-mesure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math.fr/cesite/presentation.php" TargetMode="External"/><Relationship Id="rId13" Type="http://schemas.openxmlformats.org/officeDocument/2006/relationships/hyperlink" Target="https://fr.wikihow.com/convertir-en-pourcentage" TargetMode="External"/><Relationship Id="rId18" Type="http://schemas.openxmlformats.org/officeDocument/2006/relationships/hyperlink" Target="https://www.youtube.com/watch?v=SgFaLduHeAE" TargetMode="External"/><Relationship Id="rId26" Type="http://schemas.openxmlformats.org/officeDocument/2006/relationships/hyperlink" Target="https://www.maths-et-tiques.fr/telech/Pourcent.pdf" TargetMode="External"/><Relationship Id="rId3" Type="http://schemas.openxmlformats.org/officeDocument/2006/relationships/hyperlink" Target="http://www.un-calcul.fr/calcul-comptabilite/comment-calculer-un-pourcentage-338" TargetMode="External"/><Relationship Id="rId21" Type="http://schemas.openxmlformats.org/officeDocument/2006/relationships/hyperlink" Target="https://www.youtube.com/watch?v=psIZ0y_8VVc" TargetMode="External"/><Relationship Id="rId7" Type="http://schemas.openxmlformats.org/officeDocument/2006/relationships/hyperlink" Target="https://www.deleze.name/marcel/culture/taux_composes/taux_simple.html" TargetMode="External"/><Relationship Id="rId12" Type="http://schemas.openxmlformats.org/officeDocument/2006/relationships/hyperlink" Target="http://fortimelp.fr/content/44-calculer-un-pourcentage" TargetMode="External"/><Relationship Id="rId17" Type="http://schemas.openxmlformats.org/officeDocument/2006/relationships/hyperlink" Target="http://www.capte-les-maths.com/pourcentage/les_pourcentages_p6.php" TargetMode="External"/><Relationship Id="rId25" Type="http://schemas.openxmlformats.org/officeDocument/2006/relationships/hyperlink" Target="https://www.youtube.com/watch?v=tSp2xkS-tKs" TargetMode="External"/><Relationship Id="rId2" Type="http://schemas.openxmlformats.org/officeDocument/2006/relationships/hyperlink" Target="http://www.lyc-monnet-juvisy.ac-versailles.fr/Diapomath.pdf" TargetMode="External"/><Relationship Id="rId16" Type="http://schemas.openxmlformats.org/officeDocument/2006/relationships/hyperlink" Target="https://www.youtube.com/watch?v=QTGvjmAhEHo" TargetMode="External"/><Relationship Id="rId20" Type="http://schemas.openxmlformats.org/officeDocument/2006/relationships/hyperlink" Target="https://www.youtube.com/watch?v=dWC54hCv0pc" TargetMode="External"/><Relationship Id="rId29" Type="http://schemas.openxmlformats.org/officeDocument/2006/relationships/drawing" Target="../drawings/drawing4.xml"/><Relationship Id="rId1" Type="http://schemas.openxmlformats.org/officeDocument/2006/relationships/hyperlink" Target="https://www.mathematiquesfaciles.com/pourcentages-calculer-un-pourcentage_2_19885.htm" TargetMode="External"/><Relationship Id="rId6" Type="http://schemas.openxmlformats.org/officeDocument/2006/relationships/hyperlink" Target="http://www.slate.fr/story/82029/soldes-calculer-rabais" TargetMode="External"/><Relationship Id="rId11" Type="http://schemas.openxmlformats.org/officeDocument/2006/relationships/hyperlink" Target="http://fabie.info.pagesperso-orange.fr/math/cours7.htm" TargetMode="External"/><Relationship Id="rId24" Type="http://schemas.openxmlformats.org/officeDocument/2006/relationships/hyperlink" Target="https://www.youtube.com/watch?v=_PTjJ7UD4eo" TargetMode="External"/><Relationship Id="rId5" Type="http://schemas.openxmlformats.org/officeDocument/2006/relationships/hyperlink" Target="http://www.capte-les-maths.com/pourcentage/les_pourcentages_p10.php" TargetMode="External"/><Relationship Id="rId15" Type="http://schemas.openxmlformats.org/officeDocument/2006/relationships/hyperlink" Target="https://www.youtube.com/watch?v=dQafvb2O01U" TargetMode="External"/><Relationship Id="rId23" Type="http://schemas.openxmlformats.org/officeDocument/2006/relationships/hyperlink" Target="https://www.youtube.com/watch?v=PyDvkMr3qfg" TargetMode="External"/><Relationship Id="rId28" Type="http://schemas.openxmlformats.org/officeDocument/2006/relationships/hyperlink" Target="https://www.economie.gouv.fr/files/files/directions_services/dgccrf/documentation/publications/depliants/poidsbrut_poidsnet.pdf" TargetMode="External"/><Relationship Id="rId10" Type="http://schemas.openxmlformats.org/officeDocument/2006/relationships/hyperlink" Target="https://fr.wikipedia.org/wiki/Pourcentage" TargetMode="External"/><Relationship Id="rId19" Type="http://schemas.openxmlformats.org/officeDocument/2006/relationships/hyperlink" Target="https://www.youtube.com/c/YMONKA" TargetMode="External"/><Relationship Id="rId4" Type="http://schemas.openxmlformats.org/officeDocument/2006/relationships/hyperlink" Target="http://calc.name/blog/comment-compter-le-pourcentage-de-tete-vite-et-facilement/" TargetMode="External"/><Relationship Id="rId9" Type="http://schemas.openxmlformats.org/officeDocument/2006/relationships/hyperlink" Target="https://www.cmath.fr/6eme/pourcentages/cours.php" TargetMode="External"/><Relationship Id="rId14" Type="http://schemas.openxmlformats.org/officeDocument/2006/relationships/hyperlink" Target="http://www.astuceshebdo.com/2012/03/comment-calculer-un-pourcentage-cas-n-1.html" TargetMode="External"/><Relationship Id="rId22" Type="http://schemas.openxmlformats.org/officeDocument/2006/relationships/hyperlink" Target="https://www.youtube.com/watch?v=mGDjvAcvigc" TargetMode="External"/><Relationship Id="rId27" Type="http://schemas.openxmlformats.org/officeDocument/2006/relationships/hyperlink" Target="http://www.maths-et-tiques.fr/index.php/cours-en-video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legalplace.fr/guides/contrat-de-travail-39h/" TargetMode="External"/><Relationship Id="rId7" Type="http://schemas.openxmlformats.org/officeDocument/2006/relationships/printerSettings" Target="../printerSettings/printerSettings3.bin"/><Relationship Id="rId2" Type="http://schemas.openxmlformats.org/officeDocument/2006/relationships/hyperlink" Target="https://contrat-de-travail.ooreka.fr/astuce/voir/455663/rtt-d-un-cadre" TargetMode="External"/><Relationship Id="rId1" Type="http://schemas.openxmlformats.org/officeDocument/2006/relationships/hyperlink" Target="http://formations-excel.blogspot.com/2017/04/la-fonction-nbsi-16-exemples.html" TargetMode="External"/><Relationship Id="rId6" Type="http://schemas.openxmlformats.org/officeDocument/2006/relationships/hyperlink" Target="https://www.eurecia.com/blog/conditions-des-jours-rtt/" TargetMode="External"/><Relationship Id="rId5" Type="http://schemas.openxmlformats.org/officeDocument/2006/relationships/hyperlink" Target="https://www.justifit.fr/b/guides/droit-travail/contenu-du-contrat-de-travail/" TargetMode="External"/><Relationship Id="rId10" Type="http://schemas.openxmlformats.org/officeDocument/2006/relationships/comments" Target="../comments1.xml"/><Relationship Id="rId4" Type="http://schemas.openxmlformats.org/officeDocument/2006/relationships/hyperlink" Target="https://www.coover.fr/outils/calcul-rtt"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402"/>
  <sheetViews>
    <sheetView showZeros="0" tabSelected="1" showWhiteSpace="0" zoomScale="61" zoomScaleNormal="61" zoomScalePageLayoutView="58" workbookViewId="0">
      <selection activeCell="X15" sqref="X15"/>
    </sheetView>
  </sheetViews>
  <sheetFormatPr baseColWidth="10" defaultRowHeight="15"/>
  <cols>
    <col min="1" max="1" width="12.75" style="121" customWidth="1"/>
    <col min="2" max="6" width="11" style="121"/>
    <col min="7" max="7" width="7" style="121" customWidth="1"/>
    <col min="8" max="11" width="11" style="121"/>
    <col min="12" max="13" width="14" style="1" bestFit="1" customWidth="1"/>
    <col min="14" max="16" width="11" style="1"/>
    <col min="17" max="18" width="11" style="642"/>
    <col min="19" max="19" width="14.5" style="642" customWidth="1"/>
    <col min="20" max="22" width="11" style="642"/>
    <col min="23" max="23" width="15.125" style="642" customWidth="1"/>
    <col min="24" max="24" width="11.375" style="642" customWidth="1"/>
    <col min="25" max="25" width="16.125" style="642" bestFit="1" customWidth="1"/>
    <col min="26" max="16384" width="11" style="642"/>
  </cols>
  <sheetData>
    <row r="1" spans="1:32" ht="51.75" customHeight="1">
      <c r="A1" s="639"/>
      <c r="B1" s="639"/>
      <c r="C1" s="639"/>
      <c r="D1" s="639"/>
      <c r="E1" s="639"/>
      <c r="F1" s="639"/>
      <c r="G1" s="639"/>
      <c r="H1" s="639"/>
      <c r="I1" s="639"/>
      <c r="J1" s="639"/>
      <c r="K1" s="639"/>
      <c r="L1" s="640"/>
      <c r="M1" s="640"/>
      <c r="N1" s="640"/>
      <c r="O1" s="640"/>
      <c r="P1" s="640"/>
      <c r="Q1" s="641"/>
      <c r="R1" s="641"/>
      <c r="S1" s="641"/>
      <c r="T1" s="641"/>
      <c r="U1" s="641"/>
      <c r="V1" s="641"/>
      <c r="W1" s="641"/>
      <c r="X1" s="641"/>
      <c r="Y1" s="641"/>
      <c r="Z1" s="641"/>
      <c r="AA1" s="641"/>
      <c r="AB1" s="641"/>
      <c r="AC1" s="641"/>
      <c r="AD1" s="443"/>
      <c r="AE1" s="443"/>
      <c r="AF1" s="443"/>
    </row>
    <row r="2" spans="1:32" ht="40.5" customHeight="1">
      <c r="A2" s="639"/>
      <c r="B2" s="2587" t="s">
        <v>715</v>
      </c>
      <c r="C2" s="639"/>
      <c r="D2" s="639"/>
      <c r="E2" s="639"/>
      <c r="F2" s="639"/>
      <c r="G2" s="639"/>
      <c r="H2" s="639"/>
      <c r="I2" s="640"/>
      <c r="J2" s="639"/>
      <c r="K2" s="639"/>
      <c r="L2" s="640"/>
      <c r="M2" s="640"/>
      <c r="N2" s="640"/>
      <c r="O2" s="640"/>
      <c r="P2" s="640"/>
      <c r="Q2" s="641"/>
      <c r="R2" s="641"/>
      <c r="S2" s="641"/>
      <c r="T2" s="641"/>
      <c r="U2" s="641"/>
      <c r="V2" s="641"/>
      <c r="W2" s="648" t="s">
        <v>7774</v>
      </c>
      <c r="X2" s="648"/>
      <c r="Y2" s="641"/>
      <c r="Z2" s="641"/>
      <c r="AA2" s="641"/>
      <c r="AB2" s="641"/>
      <c r="AC2" s="641"/>
      <c r="AD2" s="443"/>
      <c r="AE2" s="443"/>
      <c r="AF2" s="443"/>
    </row>
    <row r="3" spans="1:32" ht="40.5" customHeight="1">
      <c r="A3" s="639"/>
      <c r="B3" s="644" t="s">
        <v>716</v>
      </c>
      <c r="C3" s="645"/>
      <c r="D3" s="639"/>
      <c r="E3" s="639"/>
      <c r="F3" s="639"/>
      <c r="G3" s="639"/>
      <c r="H3" s="639"/>
      <c r="I3" s="640"/>
      <c r="J3" s="639"/>
      <c r="K3" s="639"/>
      <c r="L3" s="640"/>
      <c r="M3" s="640"/>
      <c r="N3" s="640"/>
      <c r="O3" s="640"/>
      <c r="P3" s="640"/>
      <c r="Q3" s="641"/>
      <c r="R3" s="641"/>
      <c r="S3" s="641"/>
      <c r="T3" s="641"/>
      <c r="U3" s="641"/>
      <c r="V3" s="641"/>
      <c r="W3" s="2106" t="s">
        <v>7775</v>
      </c>
      <c r="X3" s="641"/>
      <c r="Y3" s="641"/>
      <c r="Z3" s="641"/>
      <c r="AA3" s="641"/>
      <c r="AB3" s="641"/>
      <c r="AC3" s="641"/>
      <c r="AD3" s="443"/>
      <c r="AE3" s="443"/>
      <c r="AF3" s="443"/>
    </row>
    <row r="4" spans="1:32" ht="40.5" customHeight="1">
      <c r="A4" s="639"/>
      <c r="B4" s="643" t="s">
        <v>1393</v>
      </c>
      <c r="C4" s="645"/>
      <c r="D4" s="639"/>
      <c r="E4" s="639"/>
      <c r="F4" s="639"/>
      <c r="G4" s="639"/>
      <c r="H4" s="639"/>
      <c r="I4" s="640"/>
      <c r="J4" s="639"/>
      <c r="K4" s="639"/>
      <c r="L4" s="640"/>
      <c r="M4" s="640"/>
      <c r="N4" s="640"/>
      <c r="O4" s="640"/>
      <c r="P4" s="640"/>
      <c r="Q4" s="641"/>
      <c r="R4" s="641"/>
      <c r="S4" s="641"/>
      <c r="T4" s="641"/>
      <c r="U4" s="641"/>
      <c r="V4" s="641"/>
      <c r="W4" s="2106" t="s">
        <v>714</v>
      </c>
      <c r="X4" s="641"/>
      <c r="Y4" s="641"/>
      <c r="Z4" s="641"/>
      <c r="AA4" s="641"/>
      <c r="AB4" s="641"/>
      <c r="AC4" s="641"/>
      <c r="AD4" s="443"/>
      <c r="AE4" s="443"/>
      <c r="AF4" s="443"/>
    </row>
    <row r="5" spans="1:32" ht="40.5" customHeight="1">
      <c r="A5" s="639"/>
      <c r="B5" s="644" t="s">
        <v>1394</v>
      </c>
      <c r="C5" s="645"/>
      <c r="D5" s="639"/>
      <c r="E5" s="639"/>
      <c r="F5" s="639"/>
      <c r="G5" s="639"/>
      <c r="H5" s="639"/>
      <c r="I5" s="640"/>
      <c r="J5" s="639"/>
      <c r="K5" s="639"/>
      <c r="L5" s="640"/>
      <c r="M5" s="640"/>
      <c r="N5" s="640"/>
      <c r="O5" s="640"/>
      <c r="P5" s="640"/>
      <c r="Q5" s="641"/>
      <c r="R5" s="641"/>
      <c r="S5" s="641"/>
      <c r="T5" s="641"/>
      <c r="U5" s="641"/>
      <c r="V5" s="641"/>
      <c r="W5" s="646"/>
      <c r="X5" s="641"/>
      <c r="Y5" s="641"/>
      <c r="Z5" s="641"/>
      <c r="AA5" s="641"/>
      <c r="AB5" s="641"/>
      <c r="AC5" s="641"/>
      <c r="AD5" s="443"/>
      <c r="AE5" s="443"/>
      <c r="AF5" s="443"/>
    </row>
    <row r="6" spans="1:32" ht="40.5" customHeight="1">
      <c r="A6" s="639"/>
      <c r="B6" s="644" t="s">
        <v>1395</v>
      </c>
      <c r="C6" s="645"/>
      <c r="D6" s="639"/>
      <c r="E6" s="639"/>
      <c r="F6" s="639"/>
      <c r="G6" s="639"/>
      <c r="H6" s="639"/>
      <c r="I6" s="640"/>
      <c r="J6" s="639"/>
      <c r="K6" s="639"/>
      <c r="L6" s="640"/>
      <c r="M6" s="640"/>
      <c r="N6" s="640"/>
      <c r="O6" s="640"/>
      <c r="P6" s="640"/>
      <c r="Q6" s="641"/>
      <c r="R6" s="641"/>
      <c r="S6" s="641"/>
      <c r="T6" s="641"/>
      <c r="U6" s="641"/>
      <c r="V6" s="641"/>
      <c r="W6" s="3015" t="str">
        <f ca="1">"Page "&amp;_xlfn.SHEET()&amp;" sur "&amp;_xlfn.SHEETS()</f>
        <v>Page 1 sur 37</v>
      </c>
      <c r="X6" s="3015"/>
      <c r="Y6" s="641"/>
      <c r="Z6" s="641"/>
      <c r="AA6" s="641"/>
      <c r="AB6" s="641"/>
      <c r="AC6" s="641"/>
      <c r="AD6" s="443"/>
      <c r="AE6" s="443"/>
      <c r="AF6" s="443"/>
    </row>
    <row r="7" spans="1:32" ht="40.5" customHeight="1">
      <c r="A7" s="639"/>
      <c r="B7" s="644" t="s">
        <v>1398</v>
      </c>
      <c r="C7" s="645"/>
      <c r="D7" s="639"/>
      <c r="E7" s="639"/>
      <c r="F7" s="639"/>
      <c r="G7" s="639"/>
      <c r="H7" s="639"/>
      <c r="I7" s="640"/>
      <c r="J7" s="639"/>
      <c r="K7" s="639"/>
      <c r="L7" s="640"/>
      <c r="M7" s="640"/>
      <c r="N7" s="640"/>
      <c r="O7" s="640"/>
      <c r="P7" s="640"/>
      <c r="Q7" s="641"/>
      <c r="R7" s="641"/>
      <c r="S7" s="641"/>
      <c r="T7" s="641"/>
      <c r="U7" s="641"/>
      <c r="V7" s="641"/>
      <c r="W7" s="646"/>
      <c r="X7" s="641"/>
      <c r="Y7" s="641"/>
      <c r="Z7" s="641"/>
      <c r="AA7" s="641"/>
      <c r="AB7" s="641"/>
      <c r="AC7" s="641"/>
      <c r="AD7" s="443"/>
      <c r="AE7" s="443"/>
      <c r="AF7" s="443"/>
    </row>
    <row r="8" spans="1:32" ht="40.5" customHeight="1">
      <c r="A8" s="639"/>
      <c r="B8" s="644"/>
      <c r="C8" s="645"/>
      <c r="D8" s="639"/>
      <c r="E8" s="639"/>
      <c r="F8" s="639"/>
      <c r="G8" s="639"/>
      <c r="H8" s="639"/>
      <c r="I8" s="640"/>
      <c r="J8" s="639"/>
      <c r="K8" s="639"/>
      <c r="L8" s="640"/>
      <c r="M8" s="640"/>
      <c r="N8" s="640"/>
      <c r="O8" s="640"/>
      <c r="P8" s="640"/>
      <c r="Q8" s="641"/>
      <c r="R8" s="641"/>
      <c r="S8" s="641"/>
      <c r="T8" s="641"/>
      <c r="U8" s="641"/>
      <c r="V8" s="641"/>
      <c r="W8" s="646"/>
      <c r="X8" s="641"/>
      <c r="Y8" s="641"/>
      <c r="Z8" s="641"/>
      <c r="AA8" s="641"/>
      <c r="AB8" s="641"/>
      <c r="AC8" s="641"/>
      <c r="AD8" s="443"/>
      <c r="AE8" s="443"/>
      <c r="AF8" s="443"/>
    </row>
    <row r="9" spans="1:32" ht="40.5" customHeight="1">
      <c r="A9" s="639"/>
      <c r="B9" s="4642" t="s">
        <v>2108</v>
      </c>
      <c r="C9" s="4642"/>
      <c r="D9" s="4642"/>
      <c r="E9" s="4642"/>
      <c r="F9" s="4642"/>
      <c r="G9" s="4642"/>
      <c r="H9" s="4642"/>
      <c r="I9" s="4642"/>
      <c r="J9" s="4642"/>
      <c r="K9" s="4642"/>
      <c r="L9" s="4642"/>
      <c r="M9" s="4642"/>
      <c r="N9" s="4642"/>
      <c r="O9" s="640"/>
      <c r="P9" s="640"/>
      <c r="Q9" s="641"/>
      <c r="R9" s="641"/>
      <c r="S9" s="641"/>
      <c r="T9" s="641"/>
      <c r="U9" s="641"/>
      <c r="V9" s="641"/>
      <c r="W9" s="646"/>
      <c r="X9" s="641"/>
      <c r="Y9" s="641"/>
      <c r="Z9" s="641"/>
      <c r="AA9" s="641"/>
      <c r="AB9" s="641"/>
      <c r="AC9" s="641"/>
      <c r="AD9" s="443"/>
      <c r="AE9" s="443"/>
      <c r="AF9" s="443"/>
    </row>
    <row r="10" spans="1:32" ht="40.5" customHeight="1">
      <c r="A10" s="639"/>
      <c r="B10" s="2324" t="s">
        <v>2194</v>
      </c>
      <c r="C10" s="2325"/>
      <c r="D10" s="2325"/>
      <c r="E10" s="2325"/>
      <c r="F10" s="2325"/>
      <c r="G10" s="2325"/>
      <c r="H10" s="2325"/>
      <c r="I10" s="2326"/>
      <c r="J10" s="2325"/>
      <c r="K10" s="2325"/>
      <c r="L10" s="2326"/>
      <c r="M10" s="2326"/>
      <c r="N10" s="2326"/>
      <c r="O10" s="640"/>
      <c r="P10" s="640"/>
      <c r="Q10" s="641"/>
      <c r="R10" s="641"/>
      <c r="S10" s="641"/>
      <c r="T10" s="641"/>
      <c r="U10" s="641"/>
      <c r="V10" s="641"/>
      <c r="W10" s="646"/>
      <c r="X10" s="641"/>
      <c r="Y10" s="641"/>
      <c r="Z10" s="641"/>
      <c r="AA10" s="641"/>
      <c r="AB10" s="641"/>
      <c r="AC10" s="641"/>
      <c r="AD10" s="443"/>
      <c r="AE10" s="443"/>
      <c r="AF10" s="443"/>
    </row>
    <row r="11" spans="1:32" ht="40.5" customHeight="1">
      <c r="A11" s="639"/>
      <c r="B11" s="2970" t="s">
        <v>2957</v>
      </c>
      <c r="C11" s="2325"/>
      <c r="D11" s="2325"/>
      <c r="E11" s="2325"/>
      <c r="F11" s="2325"/>
      <c r="G11" s="2325"/>
      <c r="H11" s="2325"/>
      <c r="I11" s="2326"/>
      <c r="J11" s="2325"/>
      <c r="K11" s="2325"/>
      <c r="L11" s="2326"/>
      <c r="M11" s="2326"/>
      <c r="N11" s="2326"/>
      <c r="O11" s="640"/>
      <c r="P11" s="640"/>
      <c r="Q11" s="641"/>
      <c r="R11" s="641"/>
      <c r="S11" s="641"/>
      <c r="T11" s="641"/>
      <c r="U11" s="641"/>
      <c r="V11" s="641"/>
      <c r="W11" s="646"/>
      <c r="X11" s="641"/>
      <c r="Y11" s="641"/>
      <c r="Z11" s="641"/>
      <c r="AA11" s="641"/>
      <c r="AB11" s="641"/>
      <c r="AC11" s="641"/>
      <c r="AD11" s="443"/>
      <c r="AE11" s="443"/>
      <c r="AF11" s="443"/>
    </row>
    <row r="12" spans="1:32" ht="40.5" customHeight="1">
      <c r="A12" s="639"/>
      <c r="B12" s="2324" t="s">
        <v>2110</v>
      </c>
      <c r="C12" s="2325"/>
      <c r="D12" s="2325"/>
      <c r="E12" s="2325"/>
      <c r="F12" s="2325"/>
      <c r="G12" s="2325"/>
      <c r="H12" s="2325"/>
      <c r="I12" s="2326"/>
      <c r="J12" s="2325"/>
      <c r="K12" s="2325"/>
      <c r="L12" s="2326"/>
      <c r="M12" s="2326"/>
      <c r="N12" s="2326"/>
      <c r="O12" s="640"/>
      <c r="P12" s="640"/>
      <c r="Q12" s="641"/>
      <c r="R12" s="641"/>
      <c r="S12" s="641"/>
      <c r="T12" s="641"/>
      <c r="U12" s="641"/>
      <c r="V12" s="641"/>
      <c r="W12" s="646"/>
      <c r="X12" s="641"/>
      <c r="Y12" s="641"/>
      <c r="Z12" s="641"/>
      <c r="AA12" s="641"/>
      <c r="AB12" s="641"/>
      <c r="AC12" s="641"/>
      <c r="AD12" s="443"/>
      <c r="AE12" s="443"/>
      <c r="AF12" s="443"/>
    </row>
    <row r="13" spans="1:32" ht="40.5" customHeight="1">
      <c r="A13" s="639"/>
      <c r="B13" s="2326" t="s">
        <v>2934</v>
      </c>
      <c r="C13" s="2325"/>
      <c r="D13" s="2325"/>
      <c r="E13" s="2325"/>
      <c r="F13" s="2325"/>
      <c r="G13" s="2325"/>
      <c r="H13" s="2325"/>
      <c r="I13" s="2326"/>
      <c r="J13" s="2325"/>
      <c r="K13" s="2325"/>
      <c r="L13" s="2326"/>
      <c r="M13" s="2326"/>
      <c r="N13" s="2326"/>
      <c r="O13" s="640"/>
      <c r="P13" s="640"/>
      <c r="Q13" s="641"/>
      <c r="R13" s="641"/>
      <c r="S13" s="641"/>
      <c r="T13" s="641"/>
      <c r="U13" s="641"/>
      <c r="V13" s="641"/>
      <c r="W13" s="646"/>
      <c r="X13" s="641"/>
      <c r="Y13" s="641"/>
      <c r="Z13" s="641"/>
      <c r="AA13" s="641"/>
      <c r="AB13" s="641"/>
      <c r="AC13" s="641"/>
      <c r="AD13" s="443"/>
      <c r="AE13" s="443"/>
      <c r="AF13" s="443"/>
    </row>
    <row r="14" spans="1:32" ht="40.5" customHeight="1">
      <c r="A14" s="639"/>
      <c r="B14" s="2325" t="s">
        <v>2935</v>
      </c>
      <c r="C14" s="2325"/>
      <c r="D14" s="2325"/>
      <c r="E14" s="2325"/>
      <c r="F14" s="2325"/>
      <c r="G14" s="2325"/>
      <c r="H14" s="2325"/>
      <c r="I14" s="2326"/>
      <c r="J14" s="2325"/>
      <c r="K14" s="2325"/>
      <c r="L14" s="2326"/>
      <c r="M14" s="2326"/>
      <c r="N14" s="2326"/>
      <c r="O14" s="640"/>
      <c r="P14" s="640"/>
      <c r="Q14" s="641"/>
      <c r="R14" s="641"/>
      <c r="S14" s="641"/>
      <c r="T14" s="641"/>
      <c r="U14" s="641"/>
      <c r="V14" s="641"/>
      <c r="W14" s="646"/>
      <c r="X14" s="641"/>
      <c r="Y14" s="641"/>
      <c r="Z14" s="641"/>
      <c r="AA14" s="641"/>
      <c r="AB14" s="641"/>
      <c r="AC14" s="641"/>
      <c r="AD14" s="443"/>
      <c r="AE14" s="443"/>
      <c r="AF14" s="443"/>
    </row>
    <row r="15" spans="1:32" ht="40.5" customHeight="1">
      <c r="A15" s="639"/>
      <c r="B15" s="2324" t="s">
        <v>2951</v>
      </c>
      <c r="C15" s="2324"/>
      <c r="D15" s="2325"/>
      <c r="E15" s="2325"/>
      <c r="F15" s="2325"/>
      <c r="G15" s="2325"/>
      <c r="H15" s="2325"/>
      <c r="I15" s="2326"/>
      <c r="J15" s="2325"/>
      <c r="K15" s="2325"/>
      <c r="L15" s="2326"/>
      <c r="M15" s="2326"/>
      <c r="N15" s="2326"/>
      <c r="O15" s="640"/>
      <c r="P15" s="640"/>
      <c r="Q15" s="641"/>
      <c r="R15" s="641"/>
      <c r="S15" s="641"/>
      <c r="T15" s="641"/>
      <c r="U15" s="641"/>
      <c r="V15" s="641"/>
      <c r="W15" s="646"/>
      <c r="X15" s="641"/>
      <c r="Y15" s="641"/>
      <c r="Z15" s="641"/>
      <c r="AA15" s="641"/>
      <c r="AB15" s="641"/>
      <c r="AC15" s="641"/>
      <c r="AD15" s="443"/>
      <c r="AE15" s="443"/>
      <c r="AF15" s="443"/>
    </row>
    <row r="16" spans="1:32" ht="40.5" customHeight="1">
      <c r="A16" s="639"/>
      <c r="B16" s="2324" t="s">
        <v>2952</v>
      </c>
      <c r="C16" s="2324"/>
      <c r="D16" s="2325"/>
      <c r="E16" s="2325"/>
      <c r="F16" s="2325"/>
      <c r="G16" s="2325"/>
      <c r="H16" s="2325"/>
      <c r="I16" s="2326"/>
      <c r="J16" s="2325"/>
      <c r="K16" s="2325"/>
      <c r="L16" s="2326"/>
      <c r="M16" s="2326"/>
      <c r="N16" s="2326"/>
      <c r="O16" s="640"/>
      <c r="P16" s="640"/>
      <c r="Q16" s="641"/>
      <c r="R16" s="641"/>
      <c r="S16" s="641"/>
      <c r="T16" s="641"/>
      <c r="U16" s="641"/>
      <c r="V16" s="641"/>
      <c r="W16" s="646"/>
      <c r="X16" s="641"/>
      <c r="Y16" s="641"/>
      <c r="Z16" s="641"/>
      <c r="AA16" s="641"/>
      <c r="AB16" s="641"/>
      <c r="AC16" s="641"/>
      <c r="AD16" s="443"/>
      <c r="AE16" s="443"/>
      <c r="AF16" s="443"/>
    </row>
    <row r="17" spans="1:32" ht="40.5" customHeight="1">
      <c r="A17" s="639"/>
      <c r="B17" s="2324" t="s">
        <v>2953</v>
      </c>
      <c r="C17" s="2324"/>
      <c r="D17" s="2325"/>
      <c r="E17" s="2325"/>
      <c r="F17" s="2325"/>
      <c r="G17" s="2325"/>
      <c r="H17" s="2325"/>
      <c r="I17" s="2326"/>
      <c r="J17" s="2325"/>
      <c r="K17" s="2325"/>
      <c r="L17" s="2326"/>
      <c r="M17" s="2326"/>
      <c r="N17" s="2326"/>
      <c r="O17" s="640"/>
      <c r="P17" s="640"/>
      <c r="Q17" s="641"/>
      <c r="R17" s="641"/>
      <c r="S17" s="641"/>
      <c r="T17" s="641"/>
      <c r="U17" s="641"/>
      <c r="V17" s="641"/>
      <c r="W17" s="646"/>
      <c r="X17" s="641"/>
      <c r="Y17" s="641"/>
      <c r="Z17" s="641"/>
      <c r="AA17" s="641"/>
      <c r="AB17" s="641"/>
      <c r="AC17" s="641"/>
      <c r="AD17" s="443"/>
      <c r="AE17" s="443"/>
      <c r="AF17" s="443"/>
    </row>
    <row r="18" spans="1:32" ht="40.5" customHeight="1">
      <c r="A18" s="639"/>
      <c r="B18" s="2324" t="s">
        <v>208</v>
      </c>
      <c r="C18" s="2324"/>
      <c r="D18" s="2325"/>
      <c r="E18" s="2325"/>
      <c r="F18" s="2325"/>
      <c r="G18" s="2325"/>
      <c r="H18" s="2325"/>
      <c r="I18" s="2326"/>
      <c r="J18" s="2325"/>
      <c r="K18" s="2325"/>
      <c r="L18" s="2326"/>
      <c r="M18" s="2326"/>
      <c r="N18" s="2326"/>
      <c r="O18" s="640"/>
      <c r="P18" s="640"/>
      <c r="Q18" s="641"/>
      <c r="R18" s="641"/>
      <c r="S18" s="641"/>
      <c r="T18" s="641"/>
      <c r="U18" s="641"/>
      <c r="V18" s="641"/>
      <c r="W18" s="646"/>
      <c r="X18" s="641"/>
      <c r="Y18" s="641"/>
      <c r="Z18" s="641"/>
      <c r="AA18" s="641"/>
      <c r="AB18" s="641"/>
      <c r="AC18" s="641"/>
      <c r="AD18" s="443"/>
      <c r="AE18" s="443"/>
      <c r="AF18" s="443"/>
    </row>
    <row r="19" spans="1:32" ht="40.5" customHeight="1">
      <c r="A19" s="639"/>
      <c r="B19" s="2324" t="s">
        <v>2948</v>
      </c>
      <c r="C19" s="2324"/>
      <c r="D19" s="2325"/>
      <c r="E19" s="2325"/>
      <c r="F19" s="2325"/>
      <c r="G19" s="2325"/>
      <c r="H19" s="2325"/>
      <c r="I19" s="2326"/>
      <c r="J19" s="2325"/>
      <c r="K19" s="2325"/>
      <c r="L19" s="2326"/>
      <c r="M19" s="2326"/>
      <c r="N19" s="2326"/>
      <c r="O19" s="640"/>
      <c r="P19" s="640"/>
      <c r="Q19" s="641"/>
      <c r="R19" s="641"/>
      <c r="S19" s="641"/>
      <c r="T19" s="641"/>
      <c r="U19" s="641"/>
      <c r="V19" s="641"/>
      <c r="W19" s="646"/>
      <c r="X19" s="641"/>
      <c r="Y19" s="641"/>
      <c r="Z19" s="641"/>
      <c r="AA19" s="641"/>
      <c r="AB19" s="641"/>
      <c r="AC19" s="641"/>
      <c r="AD19" s="443"/>
      <c r="AE19" s="443"/>
      <c r="AF19" s="443"/>
    </row>
    <row r="20" spans="1:32" ht="40.5" customHeight="1">
      <c r="A20" s="639"/>
      <c r="B20" s="2325" t="s">
        <v>2941</v>
      </c>
      <c r="C20" s="2324"/>
      <c r="D20" s="2325"/>
      <c r="E20" s="2325"/>
      <c r="F20" s="2325"/>
      <c r="G20" s="2325"/>
      <c r="H20" s="2325"/>
      <c r="I20" s="2326"/>
      <c r="J20" s="2325"/>
      <c r="K20" s="2325"/>
      <c r="L20" s="2326"/>
      <c r="M20" s="2326"/>
      <c r="N20" s="2326"/>
      <c r="O20" s="640"/>
      <c r="P20" s="640"/>
      <c r="Q20" s="641"/>
      <c r="R20" s="641"/>
      <c r="S20" s="641"/>
      <c r="T20" s="641"/>
      <c r="U20" s="641"/>
      <c r="V20" s="641"/>
      <c r="W20" s="646"/>
      <c r="X20" s="641"/>
      <c r="Y20" s="641"/>
      <c r="Z20" s="641"/>
      <c r="AA20" s="641"/>
      <c r="AB20" s="641"/>
      <c r="AC20" s="641"/>
      <c r="AD20" s="443"/>
      <c r="AE20" s="443"/>
      <c r="AF20" s="443"/>
    </row>
    <row r="21" spans="1:32" ht="40.5" customHeight="1">
      <c r="A21" s="639"/>
      <c r="B21" s="2325" t="s">
        <v>2940</v>
      </c>
      <c r="C21" s="2324"/>
      <c r="D21" s="2325"/>
      <c r="E21" s="2325"/>
      <c r="F21" s="2325"/>
      <c r="G21" s="2325"/>
      <c r="H21" s="2325"/>
      <c r="I21" s="2326"/>
      <c r="J21" s="2325"/>
      <c r="K21" s="2325"/>
      <c r="L21" s="2326"/>
      <c r="M21" s="2326"/>
      <c r="N21" s="2326"/>
      <c r="O21" s="640"/>
      <c r="P21" s="640"/>
      <c r="Q21" s="641"/>
      <c r="R21" s="641"/>
      <c r="S21" s="641"/>
      <c r="T21" s="641"/>
      <c r="U21" s="641"/>
      <c r="V21" s="641"/>
      <c r="W21" s="646"/>
      <c r="X21" s="641"/>
      <c r="Y21" s="641"/>
      <c r="Z21" s="641"/>
      <c r="AA21" s="641"/>
      <c r="AB21" s="641"/>
      <c r="AC21" s="641"/>
      <c r="AD21" s="443"/>
      <c r="AE21" s="443"/>
      <c r="AF21" s="443"/>
    </row>
    <row r="22" spans="1:32" ht="40.5" customHeight="1">
      <c r="A22" s="639"/>
      <c r="B22" s="2324" t="s">
        <v>2954</v>
      </c>
      <c r="C22" s="2324"/>
      <c r="D22" s="2325"/>
      <c r="E22" s="2325"/>
      <c r="F22" s="2325"/>
      <c r="G22" s="2325"/>
      <c r="H22" s="2325"/>
      <c r="I22" s="2326"/>
      <c r="J22" s="2325"/>
      <c r="K22" s="2325"/>
      <c r="L22" s="2326"/>
      <c r="M22" s="2326"/>
      <c r="N22" s="2326"/>
      <c r="O22" s="640"/>
      <c r="P22" s="640"/>
      <c r="Q22" s="641"/>
      <c r="R22" s="641"/>
      <c r="S22" s="641"/>
      <c r="T22" s="641"/>
      <c r="U22" s="641"/>
      <c r="V22" s="641"/>
      <c r="W22" s="646"/>
      <c r="X22" s="641"/>
      <c r="Y22" s="641"/>
      <c r="Z22" s="641"/>
      <c r="AA22" s="641"/>
      <c r="AB22" s="641"/>
      <c r="AC22" s="641"/>
      <c r="AD22" s="443"/>
      <c r="AE22" s="443"/>
      <c r="AF22" s="443"/>
    </row>
    <row r="23" spans="1:32" ht="40.5" customHeight="1">
      <c r="A23" s="639"/>
      <c r="B23" s="2324" t="s">
        <v>2949</v>
      </c>
      <c r="C23" s="2324"/>
      <c r="D23" s="2325"/>
      <c r="E23" s="2325"/>
      <c r="F23" s="2325"/>
      <c r="G23" s="2325"/>
      <c r="H23" s="2325"/>
      <c r="I23" s="2326"/>
      <c r="J23" s="2325"/>
      <c r="K23" s="2325"/>
      <c r="L23" s="2326"/>
      <c r="M23" s="2326"/>
      <c r="N23" s="2326"/>
      <c r="O23" s="640"/>
      <c r="P23" s="640"/>
      <c r="Q23" s="641"/>
      <c r="R23" s="641"/>
      <c r="S23" s="641"/>
      <c r="T23" s="641"/>
      <c r="U23" s="641"/>
      <c r="V23" s="641"/>
      <c r="W23" s="646"/>
      <c r="X23" s="641"/>
      <c r="Y23" s="641"/>
      <c r="Z23" s="641"/>
      <c r="AA23" s="641"/>
      <c r="AB23" s="641"/>
      <c r="AC23" s="641"/>
      <c r="AD23" s="443"/>
      <c r="AE23" s="443"/>
      <c r="AF23" s="443"/>
    </row>
    <row r="24" spans="1:32" ht="40.5" customHeight="1">
      <c r="A24" s="639"/>
      <c r="B24" s="2324" t="s">
        <v>2956</v>
      </c>
      <c r="C24" s="2325"/>
      <c r="D24" s="2325"/>
      <c r="E24" s="2325"/>
      <c r="F24" s="2325"/>
      <c r="G24" s="2325"/>
      <c r="H24" s="2325"/>
      <c r="I24" s="2326"/>
      <c r="J24" s="2325"/>
      <c r="K24" s="2325"/>
      <c r="L24" s="2326"/>
      <c r="M24" s="2326"/>
      <c r="N24" s="2326"/>
      <c r="O24" s="640"/>
      <c r="P24" s="640"/>
      <c r="Q24" s="641"/>
      <c r="R24" s="641"/>
      <c r="S24" s="641"/>
      <c r="T24" s="641"/>
      <c r="U24" s="641"/>
      <c r="V24" s="641"/>
      <c r="W24" s="646"/>
      <c r="X24" s="641"/>
      <c r="Y24" s="641"/>
      <c r="Z24" s="641"/>
      <c r="AA24" s="641"/>
      <c r="AB24" s="641"/>
      <c r="AC24" s="641"/>
      <c r="AD24" s="443"/>
      <c r="AE24" s="443"/>
      <c r="AF24" s="443"/>
    </row>
    <row r="25" spans="1:32" ht="40.5" customHeight="1">
      <c r="A25" s="639"/>
      <c r="B25" s="2325" t="s">
        <v>2946</v>
      </c>
      <c r="C25" s="2325"/>
      <c r="D25" s="2325"/>
      <c r="E25" s="2325"/>
      <c r="F25" s="2325"/>
      <c r="G25" s="2325"/>
      <c r="H25" s="2325"/>
      <c r="I25" s="2326"/>
      <c r="J25" s="2325"/>
      <c r="K25" s="2325"/>
      <c r="L25" s="2326"/>
      <c r="M25" s="2326"/>
      <c r="N25" s="2326"/>
      <c r="O25" s="640"/>
      <c r="P25" s="640"/>
      <c r="Q25" s="641"/>
      <c r="R25" s="641"/>
      <c r="S25" s="641"/>
      <c r="T25" s="641"/>
      <c r="U25" s="641"/>
      <c r="V25" s="641"/>
      <c r="W25" s="646"/>
      <c r="X25" s="641"/>
      <c r="Y25" s="641"/>
      <c r="Z25" s="641"/>
      <c r="AA25" s="641"/>
      <c r="AB25" s="641"/>
      <c r="AC25" s="641"/>
      <c r="AD25" s="443"/>
      <c r="AE25" s="443"/>
      <c r="AF25" s="443"/>
    </row>
    <row r="26" spans="1:32" ht="40.5" customHeight="1">
      <c r="A26" s="639"/>
      <c r="B26" s="2325" t="s">
        <v>2947</v>
      </c>
      <c r="C26" s="2325"/>
      <c r="D26" s="2325"/>
      <c r="E26" s="2325"/>
      <c r="F26" s="2325"/>
      <c r="G26" s="2325"/>
      <c r="H26" s="2325"/>
      <c r="I26" s="2326"/>
      <c r="J26" s="2325"/>
      <c r="K26" s="2325"/>
      <c r="L26" s="2326"/>
      <c r="M26" s="2326"/>
      <c r="N26" s="2326"/>
      <c r="O26" s="640"/>
      <c r="P26" s="640"/>
      <c r="Q26" s="641"/>
      <c r="R26" s="641"/>
      <c r="S26" s="641"/>
      <c r="T26" s="641"/>
      <c r="U26" s="641"/>
      <c r="V26" s="641"/>
      <c r="W26" s="646"/>
      <c r="X26" s="641"/>
      <c r="Y26" s="641"/>
      <c r="Z26" s="641"/>
      <c r="AA26" s="641"/>
      <c r="AB26" s="641"/>
      <c r="AC26" s="641"/>
      <c r="AD26" s="443"/>
      <c r="AE26" s="443"/>
      <c r="AF26" s="443"/>
    </row>
    <row r="27" spans="1:32" ht="40.5" customHeight="1">
      <c r="A27" s="639"/>
      <c r="B27" s="2324" t="s">
        <v>2955</v>
      </c>
      <c r="C27" s="2325"/>
      <c r="D27" s="2325"/>
      <c r="E27" s="2325"/>
      <c r="F27" s="2325"/>
      <c r="G27" s="2325"/>
      <c r="H27" s="2325"/>
      <c r="I27" s="2326"/>
      <c r="J27" s="2325"/>
      <c r="K27" s="2325"/>
      <c r="L27" s="2326"/>
      <c r="M27" s="2326"/>
      <c r="N27" s="2326"/>
      <c r="O27" s="640"/>
      <c r="P27" s="640"/>
      <c r="Q27" s="641"/>
      <c r="R27" s="641"/>
      <c r="S27" s="641"/>
      <c r="T27" s="641"/>
      <c r="U27" s="641"/>
      <c r="V27" s="641"/>
      <c r="W27" s="646"/>
      <c r="X27" s="641"/>
      <c r="Y27" s="641"/>
      <c r="Z27" s="641"/>
      <c r="AA27" s="641"/>
      <c r="AB27" s="641"/>
      <c r="AC27" s="641"/>
      <c r="AD27" s="443"/>
      <c r="AE27" s="443"/>
      <c r="AF27" s="443"/>
    </row>
    <row r="28" spans="1:32" ht="40.5" customHeight="1">
      <c r="A28" s="639"/>
      <c r="B28" s="2325" t="s">
        <v>2936</v>
      </c>
      <c r="C28" s="2325"/>
      <c r="D28" s="2325"/>
      <c r="E28" s="2325"/>
      <c r="F28" s="2325"/>
      <c r="G28" s="2325"/>
      <c r="H28" s="2325"/>
      <c r="I28" s="2326"/>
      <c r="J28" s="2325"/>
      <c r="K28" s="2325"/>
      <c r="L28" s="2326"/>
      <c r="M28" s="2326"/>
      <c r="N28" s="2326"/>
      <c r="O28" s="640"/>
      <c r="P28" s="640"/>
      <c r="Q28" s="641"/>
      <c r="R28" s="641"/>
      <c r="S28" s="641"/>
      <c r="T28" s="641"/>
      <c r="U28" s="641"/>
      <c r="V28" s="641"/>
      <c r="W28" s="646"/>
      <c r="X28" s="641"/>
      <c r="Y28" s="641"/>
      <c r="Z28" s="641"/>
      <c r="AA28" s="641"/>
      <c r="AB28" s="641"/>
      <c r="AC28" s="641"/>
      <c r="AD28" s="443"/>
      <c r="AE28" s="443"/>
      <c r="AF28" s="443"/>
    </row>
    <row r="29" spans="1:32" ht="40.5" customHeight="1">
      <c r="A29" s="639"/>
      <c r="B29" s="2325" t="s">
        <v>2937</v>
      </c>
      <c r="C29" s="2325"/>
      <c r="D29" s="2325"/>
      <c r="E29" s="2325"/>
      <c r="F29" s="2325"/>
      <c r="G29" s="2325"/>
      <c r="H29" s="2325"/>
      <c r="I29" s="2326"/>
      <c r="J29" s="2325"/>
      <c r="K29" s="2325"/>
      <c r="L29" s="2326"/>
      <c r="M29" s="2326"/>
      <c r="N29" s="2326"/>
      <c r="O29" s="640"/>
      <c r="P29" s="640"/>
      <c r="Q29" s="641"/>
      <c r="R29" s="641"/>
      <c r="S29" s="641"/>
      <c r="T29" s="641"/>
      <c r="U29" s="641"/>
      <c r="V29" s="641"/>
      <c r="W29" s="646"/>
      <c r="X29" s="641"/>
      <c r="Y29" s="641"/>
      <c r="Z29" s="641"/>
      <c r="AA29" s="641"/>
      <c r="AB29" s="641"/>
      <c r="AC29" s="641"/>
      <c r="AD29" s="443"/>
      <c r="AE29" s="443"/>
      <c r="AF29" s="443"/>
    </row>
    <row r="30" spans="1:32" ht="40.5" customHeight="1">
      <c r="A30" s="639"/>
      <c r="B30" s="2326" t="s">
        <v>2510</v>
      </c>
      <c r="C30" s="2325"/>
      <c r="D30" s="2325"/>
      <c r="E30" s="2325"/>
      <c r="F30" s="2325"/>
      <c r="G30" s="2325"/>
      <c r="H30" s="2325"/>
      <c r="I30" s="2326"/>
      <c r="J30" s="2325"/>
      <c r="K30" s="2325"/>
      <c r="L30" s="2326"/>
      <c r="M30" s="2326"/>
      <c r="N30" s="2326"/>
      <c r="O30" s="640"/>
      <c r="P30" s="640"/>
      <c r="Q30" s="641"/>
      <c r="R30" s="641"/>
      <c r="S30" s="641"/>
      <c r="T30" s="641"/>
      <c r="U30" s="641"/>
      <c r="V30" s="641"/>
      <c r="W30" s="646"/>
      <c r="X30" s="641"/>
      <c r="Y30" s="641"/>
      <c r="Z30" s="641"/>
      <c r="AA30" s="641"/>
      <c r="AB30" s="641"/>
      <c r="AC30" s="641"/>
      <c r="AD30" s="443"/>
      <c r="AE30" s="443"/>
      <c r="AF30" s="443"/>
    </row>
    <row r="31" spans="1:32" ht="40.5" customHeight="1">
      <c r="A31" s="639"/>
      <c r="B31" s="2325" t="s">
        <v>2938</v>
      </c>
      <c r="C31" s="2325"/>
      <c r="D31" s="2325"/>
      <c r="E31" s="2325"/>
      <c r="F31" s="2325"/>
      <c r="G31" s="2325"/>
      <c r="H31" s="2325"/>
      <c r="I31" s="2326"/>
      <c r="J31" s="2325"/>
      <c r="K31" s="2325"/>
      <c r="L31" s="2326"/>
      <c r="M31" s="2326"/>
      <c r="N31" s="2326"/>
      <c r="O31" s="640"/>
      <c r="P31" s="640"/>
      <c r="Q31" s="641"/>
      <c r="R31" s="641"/>
      <c r="S31" s="641"/>
      <c r="T31" s="641"/>
      <c r="U31" s="641"/>
      <c r="V31" s="641"/>
      <c r="W31" s="646"/>
      <c r="X31" s="641"/>
      <c r="Y31" s="641"/>
      <c r="Z31" s="641"/>
      <c r="AA31" s="641"/>
      <c r="AB31" s="641"/>
      <c r="AC31" s="641"/>
      <c r="AD31" s="443"/>
      <c r="AE31" s="443"/>
      <c r="AF31" s="443"/>
    </row>
    <row r="32" spans="1:32" ht="40.5" customHeight="1">
      <c r="A32" s="639"/>
      <c r="B32" s="2325" t="s">
        <v>2939</v>
      </c>
      <c r="C32" s="2325"/>
      <c r="D32" s="2325"/>
      <c r="E32" s="2325"/>
      <c r="F32" s="2325"/>
      <c r="G32" s="2325"/>
      <c r="H32" s="2325"/>
      <c r="I32" s="2326"/>
      <c r="J32" s="2325"/>
      <c r="K32" s="2325"/>
      <c r="L32" s="2326"/>
      <c r="M32" s="2326"/>
      <c r="N32" s="2326"/>
      <c r="O32" s="640"/>
      <c r="P32" s="640"/>
      <c r="Q32" s="641"/>
      <c r="R32" s="641"/>
      <c r="S32" s="641"/>
      <c r="T32" s="641"/>
      <c r="U32" s="641"/>
      <c r="V32" s="641"/>
      <c r="W32" s="646"/>
      <c r="X32" s="641"/>
      <c r="Y32" s="641"/>
      <c r="Z32" s="641"/>
      <c r="AA32" s="641"/>
      <c r="AB32" s="641"/>
      <c r="AC32" s="641"/>
      <c r="AD32" s="443"/>
      <c r="AE32" s="443"/>
      <c r="AF32" s="443"/>
    </row>
    <row r="33" spans="1:32" ht="40.5" customHeight="1">
      <c r="A33" s="639"/>
      <c r="B33" s="2325" t="s">
        <v>2942</v>
      </c>
      <c r="C33" s="2325"/>
      <c r="D33" s="2325"/>
      <c r="E33" s="2325"/>
      <c r="F33" s="2325"/>
      <c r="G33" s="2325"/>
      <c r="H33" s="2325"/>
      <c r="I33" s="2326"/>
      <c r="J33" s="2325"/>
      <c r="K33" s="2325"/>
      <c r="L33" s="2326"/>
      <c r="M33" s="2326"/>
      <c r="N33" s="2326"/>
      <c r="O33" s="640"/>
      <c r="P33" s="640"/>
      <c r="Q33" s="641"/>
      <c r="R33" s="641"/>
      <c r="S33" s="641"/>
      <c r="T33" s="641"/>
      <c r="U33" s="641"/>
      <c r="V33" s="641"/>
      <c r="W33" s="646"/>
      <c r="X33" s="641"/>
      <c r="Y33" s="641"/>
      <c r="Z33" s="641"/>
      <c r="AA33" s="641"/>
      <c r="AB33" s="641"/>
      <c r="AC33" s="641"/>
      <c r="AD33" s="443"/>
      <c r="AE33" s="443"/>
      <c r="AF33" s="443"/>
    </row>
    <row r="34" spans="1:32" ht="40.5" customHeight="1">
      <c r="A34" s="639"/>
      <c r="B34" s="2325" t="s">
        <v>2641</v>
      </c>
      <c r="C34" s="2325"/>
      <c r="D34" s="2325"/>
      <c r="E34" s="2325"/>
      <c r="F34" s="2325"/>
      <c r="G34" s="2325"/>
      <c r="H34" s="2325"/>
      <c r="I34" s="2326"/>
      <c r="J34" s="2325"/>
      <c r="K34" s="2325"/>
      <c r="L34" s="2326"/>
      <c r="M34" s="2326"/>
      <c r="N34" s="2326"/>
      <c r="O34" s="640"/>
      <c r="P34" s="640"/>
      <c r="Q34" s="641"/>
      <c r="R34" s="641"/>
      <c r="S34" s="641"/>
      <c r="T34" s="641"/>
      <c r="U34" s="641"/>
      <c r="V34" s="641"/>
      <c r="W34" s="646"/>
      <c r="X34" s="641"/>
      <c r="Y34" s="641"/>
      <c r="Z34" s="641"/>
      <c r="AA34" s="641"/>
      <c r="AB34" s="641"/>
      <c r="AC34" s="641"/>
      <c r="AD34" s="443"/>
      <c r="AE34" s="443"/>
      <c r="AF34" s="443"/>
    </row>
    <row r="35" spans="1:32" ht="40.5" customHeight="1">
      <c r="A35" s="639"/>
      <c r="B35" s="2325" t="s">
        <v>2666</v>
      </c>
      <c r="C35" s="2325"/>
      <c r="D35" s="2325"/>
      <c r="E35" s="2325"/>
      <c r="F35" s="2325"/>
      <c r="G35" s="2325"/>
      <c r="H35" s="2325"/>
      <c r="I35" s="2326"/>
      <c r="J35" s="2325"/>
      <c r="K35" s="2325"/>
      <c r="L35" s="2326"/>
      <c r="M35" s="2326"/>
      <c r="N35" s="2326"/>
      <c r="O35" s="640"/>
      <c r="P35" s="640"/>
      <c r="Q35" s="641"/>
      <c r="R35" s="641"/>
      <c r="S35" s="641"/>
      <c r="T35" s="641"/>
      <c r="U35" s="641"/>
      <c r="V35" s="641"/>
      <c r="W35" s="646"/>
      <c r="X35" s="641"/>
      <c r="Y35" s="641"/>
      <c r="Z35" s="641"/>
      <c r="AA35" s="641"/>
      <c r="AB35" s="641"/>
      <c r="AC35" s="641"/>
      <c r="AD35" s="443"/>
      <c r="AE35" s="443"/>
      <c r="AF35" s="443"/>
    </row>
    <row r="36" spans="1:32" ht="40.5" customHeight="1">
      <c r="A36" s="639"/>
      <c r="B36" s="2325" t="s">
        <v>2943</v>
      </c>
      <c r="C36" s="2325"/>
      <c r="D36" s="2325"/>
      <c r="E36" s="2325"/>
      <c r="F36" s="2325"/>
      <c r="G36" s="2325"/>
      <c r="H36" s="2325"/>
      <c r="I36" s="2326"/>
      <c r="J36" s="2325"/>
      <c r="K36" s="2325"/>
      <c r="L36" s="2326"/>
      <c r="M36" s="2326"/>
      <c r="N36" s="2326"/>
      <c r="O36" s="640"/>
      <c r="P36" s="640"/>
      <c r="Q36" s="641"/>
      <c r="R36" s="641"/>
      <c r="S36" s="641"/>
      <c r="T36" s="641"/>
      <c r="U36" s="641"/>
      <c r="V36" s="641"/>
      <c r="W36" s="646"/>
      <c r="X36" s="641"/>
      <c r="Y36" s="641"/>
      <c r="Z36" s="641"/>
      <c r="AA36" s="641"/>
      <c r="AB36" s="641"/>
      <c r="AC36" s="641"/>
      <c r="AD36" s="443"/>
      <c r="AE36" s="443"/>
      <c r="AF36" s="443"/>
    </row>
    <row r="37" spans="1:32" ht="40.5" customHeight="1">
      <c r="A37" s="639"/>
      <c r="B37" s="2325" t="s">
        <v>2944</v>
      </c>
      <c r="C37" s="2325"/>
      <c r="D37" s="2325"/>
      <c r="E37" s="2325"/>
      <c r="F37" s="2325"/>
      <c r="G37" s="2325"/>
      <c r="H37" s="2325"/>
      <c r="I37" s="2326"/>
      <c r="J37" s="2325"/>
      <c r="K37" s="2325"/>
      <c r="L37" s="2326"/>
      <c r="M37" s="2326"/>
      <c r="N37" s="2326"/>
      <c r="O37" s="640"/>
      <c r="P37" s="640"/>
      <c r="Q37" s="641"/>
      <c r="R37" s="641"/>
      <c r="S37" s="641"/>
      <c r="T37" s="641"/>
      <c r="U37" s="641"/>
      <c r="V37" s="641"/>
      <c r="W37" s="646"/>
      <c r="X37" s="641"/>
      <c r="Y37" s="641"/>
      <c r="Z37" s="641"/>
      <c r="AA37" s="641"/>
      <c r="AB37" s="641"/>
      <c r="AC37" s="641"/>
      <c r="AD37" s="443"/>
      <c r="AE37" s="443"/>
      <c r="AF37" s="443"/>
    </row>
    <row r="38" spans="1:32" ht="40.5" customHeight="1">
      <c r="A38" s="639"/>
      <c r="B38" s="2325" t="s">
        <v>2945</v>
      </c>
      <c r="C38" s="2325"/>
      <c r="D38" s="2325"/>
      <c r="E38" s="2325"/>
      <c r="F38" s="2325"/>
      <c r="G38" s="2325"/>
      <c r="H38" s="2325"/>
      <c r="I38" s="2326"/>
      <c r="J38" s="2325"/>
      <c r="K38" s="2325"/>
      <c r="L38" s="2326"/>
      <c r="M38" s="2326"/>
      <c r="N38" s="2326"/>
      <c r="O38" s="640"/>
      <c r="P38" s="640"/>
      <c r="Q38" s="641"/>
      <c r="R38" s="641"/>
      <c r="S38" s="641"/>
      <c r="T38" s="641"/>
      <c r="U38" s="641"/>
      <c r="V38" s="641"/>
      <c r="W38" s="646"/>
      <c r="X38" s="641"/>
      <c r="Y38" s="641"/>
      <c r="Z38" s="641"/>
      <c r="AA38" s="641"/>
      <c r="AB38" s="641"/>
      <c r="AC38" s="641"/>
      <c r="AD38" s="443"/>
      <c r="AE38" s="443"/>
      <c r="AF38" s="443"/>
    </row>
    <row r="39" spans="1:32" ht="40.5" customHeight="1">
      <c r="A39" s="639"/>
      <c r="B39" s="2325" t="s">
        <v>2950</v>
      </c>
      <c r="C39" s="2325"/>
      <c r="D39" s="2325"/>
      <c r="E39" s="2325"/>
      <c r="F39" s="2325"/>
      <c r="G39" s="2325"/>
      <c r="H39" s="2325"/>
      <c r="I39" s="2326"/>
      <c r="J39" s="2325"/>
      <c r="K39" s="2325"/>
      <c r="L39" s="2326"/>
      <c r="M39" s="2326"/>
      <c r="N39" s="2326"/>
      <c r="O39" s="640"/>
      <c r="P39" s="640"/>
      <c r="Q39" s="641"/>
      <c r="R39" s="641"/>
      <c r="S39" s="641"/>
      <c r="T39" s="641"/>
      <c r="U39" s="641"/>
      <c r="V39" s="641"/>
      <c r="W39" s="646"/>
      <c r="X39" s="641"/>
      <c r="Y39" s="641"/>
      <c r="Z39" s="641"/>
      <c r="AA39" s="641"/>
      <c r="AB39" s="641"/>
      <c r="AC39" s="641"/>
      <c r="AD39" s="443"/>
      <c r="AE39" s="443"/>
      <c r="AF39" s="443"/>
    </row>
    <row r="40" spans="1:32" ht="40.5" customHeight="1">
      <c r="A40" s="639"/>
      <c r="B40" s="2324" t="s">
        <v>2111</v>
      </c>
      <c r="C40" s="2325"/>
      <c r="D40" s="2325"/>
      <c r="E40" s="2325"/>
      <c r="F40" s="2325"/>
      <c r="G40" s="2325"/>
      <c r="H40" s="2325"/>
      <c r="I40" s="2326"/>
      <c r="J40" s="2325"/>
      <c r="K40" s="2325"/>
      <c r="L40" s="2326"/>
      <c r="M40" s="2326"/>
      <c r="N40" s="2326"/>
      <c r="O40" s="640"/>
      <c r="P40" s="640"/>
      <c r="Q40" s="641"/>
      <c r="R40" s="641"/>
      <c r="S40" s="641"/>
      <c r="T40" s="641"/>
      <c r="U40" s="641"/>
      <c r="V40" s="641"/>
      <c r="W40" s="646"/>
      <c r="X40" s="641"/>
      <c r="Y40" s="641"/>
      <c r="Z40" s="641"/>
      <c r="AA40" s="641"/>
      <c r="AB40" s="641"/>
      <c r="AC40" s="641"/>
      <c r="AD40" s="443"/>
      <c r="AE40" s="443"/>
      <c r="AF40" s="443"/>
    </row>
    <row r="41" spans="1:32" ht="40.5" customHeight="1">
      <c r="A41" s="639"/>
      <c r="B41" s="2324" t="s">
        <v>7773</v>
      </c>
      <c r="C41" s="2324"/>
      <c r="D41" s="2325"/>
      <c r="E41" s="2325"/>
      <c r="F41" s="2325"/>
      <c r="G41" s="2325"/>
      <c r="H41" s="2325"/>
      <c r="I41" s="2326"/>
      <c r="J41" s="2325"/>
      <c r="K41" s="2325"/>
      <c r="L41" s="2326"/>
      <c r="M41" s="2326"/>
      <c r="N41" s="2326"/>
      <c r="O41" s="640"/>
      <c r="P41" s="640"/>
      <c r="Q41" s="641"/>
      <c r="R41" s="641"/>
      <c r="S41" s="641"/>
      <c r="T41" s="641"/>
      <c r="U41" s="641"/>
      <c r="V41" s="641"/>
      <c r="W41" s="646"/>
      <c r="X41" s="641"/>
      <c r="Y41" s="641"/>
      <c r="Z41" s="641"/>
      <c r="AA41" s="641"/>
      <c r="AB41" s="641"/>
      <c r="AC41" s="641"/>
      <c r="AD41" s="443"/>
      <c r="AE41" s="443"/>
      <c r="AF41" s="443"/>
    </row>
    <row r="42" spans="1:32" ht="40.5" customHeight="1">
      <c r="A42" s="639"/>
      <c r="B42" s="641"/>
      <c r="C42" s="641"/>
      <c r="D42" s="641"/>
      <c r="E42" s="641"/>
      <c r="F42" s="641"/>
      <c r="G42" s="641"/>
      <c r="H42" s="641"/>
      <c r="I42" s="641"/>
      <c r="J42" s="641"/>
      <c r="K42" s="641"/>
      <c r="L42" s="641"/>
      <c r="M42" s="641"/>
      <c r="N42" s="641"/>
      <c r="O42" s="641"/>
      <c r="P42" s="641"/>
      <c r="Q42" s="641"/>
      <c r="R42" s="641"/>
      <c r="S42" s="641"/>
      <c r="T42" s="641"/>
      <c r="U42" s="641"/>
      <c r="V42" s="641"/>
      <c r="W42" s="646"/>
      <c r="X42" s="641"/>
      <c r="Y42" s="641"/>
      <c r="Z42" s="641"/>
      <c r="AA42" s="641"/>
      <c r="AB42" s="641"/>
      <c r="AC42" s="641"/>
      <c r="AD42" s="443"/>
      <c r="AE42" s="443"/>
      <c r="AF42" s="443"/>
    </row>
    <row r="43" spans="1:32" ht="40.5" customHeight="1">
      <c r="A43" s="2797" t="s">
        <v>723</v>
      </c>
      <c r="B43" s="4646" t="s">
        <v>2805</v>
      </c>
      <c r="C43" s="4646"/>
      <c r="D43" s="4646"/>
      <c r="E43" s="4646"/>
      <c r="F43" s="4646"/>
      <c r="G43" s="4646"/>
      <c r="H43" s="4646"/>
      <c r="I43" s="4646"/>
      <c r="J43" s="4646"/>
      <c r="K43" s="4646"/>
      <c r="L43" s="4646"/>
      <c r="M43" s="4646"/>
      <c r="N43" s="4646"/>
      <c r="O43" s="640"/>
      <c r="P43" s="640"/>
      <c r="Q43" s="641"/>
      <c r="R43" s="641"/>
      <c r="S43" s="641"/>
      <c r="T43" s="641"/>
      <c r="U43" s="641"/>
      <c r="V43" s="641"/>
      <c r="W43" s="646"/>
      <c r="X43" s="641"/>
      <c r="Y43" s="641"/>
      <c r="Z43" s="641"/>
      <c r="AA43" s="641"/>
      <c r="AB43" s="641"/>
      <c r="AC43" s="641"/>
      <c r="AD43" s="443"/>
      <c r="AE43" s="443"/>
      <c r="AF43" s="443"/>
    </row>
    <row r="44" spans="1:32" ht="40.5" customHeight="1">
      <c r="A44" s="639"/>
      <c r="B44" s="644"/>
      <c r="C44" s="645"/>
      <c r="D44" s="639"/>
      <c r="E44" s="639"/>
      <c r="F44" s="639"/>
      <c r="G44" s="639"/>
      <c r="H44" s="639"/>
      <c r="I44" s="640"/>
      <c r="J44" s="639"/>
      <c r="K44" s="639"/>
      <c r="L44" s="640"/>
      <c r="M44" s="640"/>
      <c r="N44" s="640"/>
      <c r="O44" s="640"/>
      <c r="P44" s="640"/>
      <c r="Q44" s="641"/>
      <c r="R44" s="641"/>
      <c r="S44" s="641"/>
      <c r="T44" s="641"/>
      <c r="U44" s="641"/>
      <c r="V44" s="641"/>
      <c r="W44" s="646"/>
      <c r="X44" s="641"/>
      <c r="Y44" s="641"/>
      <c r="Z44" s="641"/>
      <c r="AA44" s="641"/>
      <c r="AB44" s="641"/>
      <c r="AC44" s="641"/>
      <c r="AD44" s="443"/>
      <c r="AE44" s="443"/>
      <c r="AF44" s="443"/>
    </row>
    <row r="45" spans="1:32" ht="40.5" customHeight="1">
      <c r="A45" s="639"/>
      <c r="B45" s="644" t="s">
        <v>2958</v>
      </c>
      <c r="C45" s="645"/>
      <c r="D45" s="639"/>
      <c r="E45" s="639"/>
      <c r="F45" s="639"/>
      <c r="G45" s="639"/>
      <c r="H45" s="639"/>
      <c r="I45" s="640"/>
      <c r="J45" s="639"/>
      <c r="K45" s="639"/>
      <c r="L45" s="640"/>
      <c r="M45" s="640"/>
      <c r="N45" s="640"/>
      <c r="O45" s="640"/>
      <c r="P45" s="640"/>
      <c r="Q45" s="641"/>
      <c r="R45" s="641"/>
      <c r="S45" s="641"/>
      <c r="T45" s="641"/>
      <c r="U45" s="641"/>
      <c r="V45" s="641"/>
      <c r="W45" s="646"/>
      <c r="X45" s="641"/>
      <c r="Y45" s="641"/>
      <c r="Z45" s="641"/>
      <c r="AA45" s="641"/>
      <c r="AB45" s="641"/>
      <c r="AC45" s="641"/>
      <c r="AD45" s="443"/>
      <c r="AE45" s="443"/>
      <c r="AF45" s="443"/>
    </row>
    <row r="46" spans="1:32" ht="40.5" customHeight="1">
      <c r="A46" s="639"/>
      <c r="B46" s="644"/>
      <c r="C46" s="644" t="s">
        <v>1396</v>
      </c>
      <c r="D46" s="639"/>
      <c r="E46" s="639"/>
      <c r="F46" s="639"/>
      <c r="G46" s="639"/>
      <c r="H46" s="639"/>
      <c r="I46" s="640"/>
      <c r="J46" s="639"/>
      <c r="K46" s="639"/>
      <c r="L46" s="640"/>
      <c r="M46" s="640"/>
      <c r="N46" s="640"/>
      <c r="O46" s="640"/>
      <c r="P46" s="640"/>
      <c r="Q46" s="641"/>
      <c r="R46" s="641"/>
      <c r="S46" s="641"/>
      <c r="T46" s="641"/>
      <c r="U46" s="641"/>
      <c r="V46" s="641"/>
      <c r="W46" s="646"/>
      <c r="X46" s="641"/>
      <c r="Y46" s="641"/>
      <c r="Z46" s="641"/>
      <c r="AA46" s="641"/>
      <c r="AB46" s="641"/>
      <c r="AC46" s="641"/>
      <c r="AD46" s="443"/>
      <c r="AE46" s="443"/>
      <c r="AF46" s="443"/>
    </row>
    <row r="47" spans="1:32" ht="40.5" customHeight="1">
      <c r="A47" s="639"/>
      <c r="B47" s="644"/>
      <c r="C47" s="644" t="s">
        <v>1516</v>
      </c>
      <c r="D47" s="639"/>
      <c r="E47" s="639"/>
      <c r="F47" s="639"/>
      <c r="G47" s="639"/>
      <c r="H47" s="639"/>
      <c r="I47" s="640"/>
      <c r="J47" s="639"/>
      <c r="K47" s="2025" t="s">
        <v>70</v>
      </c>
      <c r="L47" s="644" t="s">
        <v>1518</v>
      </c>
      <c r="M47" s="640"/>
      <c r="N47" s="640"/>
      <c r="O47" s="640"/>
      <c r="P47" s="640"/>
      <c r="Q47" s="641"/>
      <c r="R47" s="641"/>
      <c r="S47" s="641"/>
      <c r="T47" s="641"/>
      <c r="U47" s="641"/>
      <c r="V47" s="641"/>
      <c r="W47" s="646"/>
      <c r="X47" s="641"/>
      <c r="Y47" s="641"/>
      <c r="Z47" s="641"/>
      <c r="AA47" s="641"/>
      <c r="AB47" s="641"/>
      <c r="AC47" s="641"/>
      <c r="AD47" s="443"/>
      <c r="AE47" s="443"/>
      <c r="AF47" s="443"/>
    </row>
    <row r="48" spans="1:32" ht="40.5" customHeight="1">
      <c r="A48" s="639"/>
      <c r="B48" s="644"/>
      <c r="C48" s="644" t="s">
        <v>1517</v>
      </c>
      <c r="D48" s="639"/>
      <c r="E48" s="639"/>
      <c r="F48" s="639"/>
      <c r="G48" s="639"/>
      <c r="H48" s="639"/>
      <c r="I48" s="640"/>
      <c r="J48" s="639"/>
      <c r="K48" s="639"/>
      <c r="L48" s="640"/>
      <c r="M48" s="640"/>
      <c r="N48" s="640"/>
      <c r="O48" s="640"/>
      <c r="P48" s="640"/>
      <c r="Q48" s="641"/>
      <c r="R48" s="641"/>
      <c r="S48" s="641"/>
      <c r="T48" s="641"/>
      <c r="U48" s="641"/>
      <c r="V48" s="641"/>
      <c r="W48" s="646"/>
      <c r="X48" s="641"/>
      <c r="Y48" s="641"/>
      <c r="Z48" s="641"/>
      <c r="AA48" s="641"/>
      <c r="AB48" s="641"/>
      <c r="AC48" s="641"/>
      <c r="AD48" s="443"/>
      <c r="AE48" s="443"/>
      <c r="AF48" s="443"/>
    </row>
    <row r="49" spans="1:32" ht="40.5" customHeight="1">
      <c r="A49" s="639"/>
      <c r="B49" s="644"/>
      <c r="C49" s="644" t="s">
        <v>1519</v>
      </c>
      <c r="D49" s="639"/>
      <c r="E49" s="639"/>
      <c r="F49" s="639"/>
      <c r="G49" s="639"/>
      <c r="H49" s="639"/>
      <c r="I49" s="640"/>
      <c r="J49" s="639"/>
      <c r="K49" s="639"/>
      <c r="L49" s="640"/>
      <c r="M49" s="640"/>
      <c r="N49" s="640"/>
      <c r="O49" s="640"/>
      <c r="P49" s="640"/>
      <c r="Q49" s="641"/>
      <c r="R49" s="641"/>
      <c r="S49" s="641"/>
      <c r="T49" s="641"/>
      <c r="U49" s="641"/>
      <c r="V49" s="641"/>
      <c r="W49" s="646"/>
      <c r="X49" s="641"/>
      <c r="Y49" s="641"/>
      <c r="Z49" s="641"/>
      <c r="AA49" s="641"/>
      <c r="AB49" s="641"/>
      <c r="AC49" s="641"/>
      <c r="AD49" s="443"/>
      <c r="AE49" s="443"/>
      <c r="AF49" s="443"/>
    </row>
    <row r="50" spans="1:32" ht="40.5" customHeight="1">
      <c r="A50" s="639"/>
      <c r="B50" s="644"/>
      <c r="C50" s="644"/>
      <c r="D50" s="639"/>
      <c r="E50" s="639"/>
      <c r="F50" s="639"/>
      <c r="G50" s="639"/>
      <c r="H50" s="639"/>
      <c r="I50" s="640"/>
      <c r="J50" s="639"/>
      <c r="K50" s="639"/>
      <c r="L50" s="640"/>
      <c r="M50" s="640"/>
      <c r="N50" s="640"/>
      <c r="O50" s="640"/>
      <c r="P50" s="640"/>
      <c r="Q50" s="641"/>
      <c r="R50" s="641"/>
      <c r="S50" s="641"/>
      <c r="T50" s="641"/>
      <c r="U50" s="641"/>
      <c r="V50" s="641"/>
      <c r="W50" s="646"/>
      <c r="X50" s="641"/>
      <c r="Y50" s="641"/>
      <c r="Z50" s="641"/>
      <c r="AA50" s="641"/>
      <c r="AB50" s="641"/>
      <c r="AC50" s="641"/>
      <c r="AD50" s="443"/>
      <c r="AE50" s="443"/>
      <c r="AF50" s="443"/>
    </row>
    <row r="51" spans="1:32" ht="40.5" customHeight="1">
      <c r="A51" s="639"/>
      <c r="B51" s="644"/>
      <c r="C51" s="2025" t="s">
        <v>70</v>
      </c>
      <c r="D51" s="4643" t="s">
        <v>1514</v>
      </c>
      <c r="E51" s="4644"/>
      <c r="F51" s="4644"/>
      <c r="G51" s="4644"/>
      <c r="H51" s="4644"/>
      <c r="I51" s="4644"/>
      <c r="J51" s="4644"/>
      <c r="K51" s="4644"/>
      <c r="L51" s="4644"/>
      <c r="M51" s="4644"/>
      <c r="N51" s="640"/>
      <c r="O51" s="640"/>
      <c r="P51" s="640"/>
      <c r="Q51" s="640"/>
      <c r="R51" s="640"/>
      <c r="S51" s="640"/>
      <c r="T51" s="641"/>
      <c r="U51" s="641"/>
      <c r="V51" s="641"/>
      <c r="W51" s="646"/>
      <c r="X51" s="641"/>
      <c r="Y51" s="641"/>
      <c r="Z51" s="641"/>
      <c r="AA51" s="641"/>
      <c r="AB51" s="641"/>
      <c r="AC51" s="641"/>
      <c r="AD51" s="443"/>
      <c r="AE51" s="443"/>
      <c r="AF51" s="443"/>
    </row>
    <row r="52" spans="1:32" ht="40.5" customHeight="1">
      <c r="A52" s="639"/>
      <c r="B52" s="644"/>
      <c r="C52" s="4647" t="s">
        <v>1515</v>
      </c>
      <c r="D52" s="4648" t="str">
        <f>ADDRESS(ROW(),COLUMN(),4)</f>
        <v>D52</v>
      </c>
      <c r="E52" s="4649"/>
      <c r="F52" s="4652" t="str">
        <f ca="1">MID(CELL("filename",D52),SEARCH("[",CELL("filename",D52))+1,SEARCH("]",CELL("filename",D52))-SEARCH("[",CELL("filename",D52))-1)</f>
        <v>ff-22-formats-formules-pourcentages.xlsx</v>
      </c>
      <c r="G52" s="4652"/>
      <c r="H52" s="4652"/>
      <c r="I52" s="4652"/>
      <c r="J52" s="4652"/>
      <c r="K52" s="4652"/>
      <c r="L52" s="4652"/>
      <c r="M52" s="2585">
        <v>2</v>
      </c>
      <c r="N52" s="640"/>
      <c r="O52" s="2026" t="str">
        <f>$D$52</f>
        <v>D52</v>
      </c>
      <c r="P52" s="644" t="s">
        <v>2416</v>
      </c>
      <c r="Q52" s="640"/>
      <c r="R52" s="641"/>
      <c r="S52" s="641"/>
      <c r="T52" s="641"/>
      <c r="U52" s="641"/>
      <c r="V52" s="641"/>
      <c r="W52" s="646"/>
      <c r="X52" s="641"/>
      <c r="Y52" s="641"/>
      <c r="Z52" s="641"/>
      <c r="AA52" s="641"/>
      <c r="AB52" s="641"/>
      <c r="AC52" s="641"/>
      <c r="AD52" s="443"/>
      <c r="AE52" s="443"/>
      <c r="AF52" s="443"/>
    </row>
    <row r="53" spans="1:32" ht="40.5" customHeight="1">
      <c r="A53" s="639"/>
      <c r="B53" s="644"/>
      <c r="C53" s="4647"/>
      <c r="D53" s="4650" t="s">
        <v>1170</v>
      </c>
      <c r="E53" s="4651"/>
      <c r="F53" s="4653" t="s">
        <v>1171</v>
      </c>
      <c r="G53" s="4654"/>
      <c r="H53" s="4654"/>
      <c r="I53" s="4654"/>
      <c r="J53" s="4654"/>
      <c r="K53" s="2565" t="s">
        <v>1172</v>
      </c>
      <c r="L53" s="2571">
        <v>1000</v>
      </c>
      <c r="M53" s="2564"/>
      <c r="N53" s="640"/>
      <c r="O53" s="640"/>
      <c r="P53" s="640"/>
      <c r="Q53" s="640"/>
      <c r="R53" s="641"/>
      <c r="S53" s="641"/>
      <c r="T53" s="641"/>
      <c r="U53" s="641"/>
      <c r="V53" s="641"/>
      <c r="W53" s="646"/>
      <c r="X53" s="641"/>
      <c r="Y53" s="641"/>
      <c r="Z53" s="641"/>
      <c r="AA53" s="641"/>
      <c r="AB53" s="641"/>
      <c r="AC53" s="641"/>
      <c r="AD53" s="443"/>
      <c r="AE53" s="443"/>
      <c r="AF53" s="443"/>
    </row>
    <row r="54" spans="1:32" ht="40.5" customHeight="1">
      <c r="A54" s="639"/>
      <c r="B54" s="644"/>
      <c r="C54" s="4647"/>
      <c r="D54" s="4650"/>
      <c r="E54" s="4651"/>
      <c r="F54" s="4653" t="s">
        <v>1173</v>
      </c>
      <c r="G54" s="4654"/>
      <c r="H54" s="4654"/>
      <c r="I54" s="4654"/>
      <c r="J54" s="4654"/>
      <c r="K54" s="2566" t="s">
        <v>1174</v>
      </c>
      <c r="L54" s="2572">
        <v>0.6</v>
      </c>
      <c r="M54" s="2572">
        <v>0.8</v>
      </c>
      <c r="N54" s="640"/>
      <c r="O54" s="2027" t="str">
        <f ca="1">F52</f>
        <v>ff-22-formats-formules-pourcentages.xlsx</v>
      </c>
      <c r="P54" s="2"/>
      <c r="Q54" s="2"/>
      <c r="R54" s="2"/>
      <c r="S54" s="2"/>
      <c r="T54" s="2"/>
      <c r="U54" s="641"/>
      <c r="V54" s="641"/>
      <c r="W54" s="646"/>
      <c r="X54" s="641"/>
      <c r="Y54" s="641"/>
      <c r="Z54" s="641"/>
      <c r="AA54" s="641"/>
      <c r="AB54" s="641"/>
      <c r="AC54" s="641"/>
      <c r="AD54" s="443"/>
      <c r="AE54" s="443"/>
      <c r="AF54" s="443"/>
    </row>
    <row r="55" spans="1:32" ht="40.5" customHeight="1" thickBot="1">
      <c r="A55" s="639"/>
      <c r="B55" s="644"/>
      <c r="C55" s="4647"/>
      <c r="D55" s="4650"/>
      <c r="E55" s="4651"/>
      <c r="F55" s="4653" t="s">
        <v>1175</v>
      </c>
      <c r="G55" s="4654"/>
      <c r="H55" s="4654"/>
      <c r="I55" s="4654"/>
      <c r="J55" s="4654"/>
      <c r="K55" s="2567" t="s">
        <v>1176</v>
      </c>
      <c r="L55" s="2573"/>
      <c r="M55" s="2577">
        <v>0.3</v>
      </c>
      <c r="N55" s="640"/>
      <c r="O55" s="640"/>
      <c r="P55" s="640"/>
      <c r="Q55" s="640"/>
      <c r="R55" s="640"/>
      <c r="S55" s="640"/>
      <c r="T55" s="641"/>
      <c r="U55" s="641"/>
      <c r="V55" s="641"/>
      <c r="W55" s="646"/>
      <c r="X55" s="641"/>
      <c r="Y55" s="641"/>
      <c r="Z55" s="641"/>
      <c r="AA55" s="641"/>
      <c r="AB55" s="641"/>
      <c r="AC55" s="641"/>
      <c r="AD55" s="443"/>
      <c r="AE55" s="443"/>
      <c r="AF55" s="443"/>
    </row>
    <row r="56" spans="1:32" ht="40.5" customHeight="1">
      <c r="A56" s="639"/>
      <c r="B56" s="644"/>
      <c r="C56" s="4647"/>
      <c r="D56" s="4650" t="s">
        <v>1177</v>
      </c>
      <c r="E56" s="4651"/>
      <c r="F56" s="4653" t="s">
        <v>1178</v>
      </c>
      <c r="G56" s="4654"/>
      <c r="H56" s="4654"/>
      <c r="I56" s="4654"/>
      <c r="J56" s="4654"/>
      <c r="K56" s="2568" t="s">
        <v>1179</v>
      </c>
      <c r="L56" s="2574">
        <f>L53/(1+L54)</f>
        <v>625</v>
      </c>
      <c r="M56" s="2574">
        <f>L56*M55/(1+M55)</f>
        <v>144.23076923076923</v>
      </c>
      <c r="N56" s="640"/>
      <c r="O56" s="644" t="s">
        <v>1522</v>
      </c>
      <c r="P56" s="640"/>
      <c r="Q56" s="640"/>
      <c r="R56" s="644"/>
      <c r="S56" s="640"/>
      <c r="T56" s="641"/>
      <c r="U56" s="641"/>
      <c r="V56" s="641"/>
      <c r="W56" s="646"/>
      <c r="X56" s="641"/>
      <c r="Y56" s="641"/>
      <c r="Z56" s="641"/>
      <c r="AA56" s="641"/>
      <c r="AB56" s="641"/>
      <c r="AC56" s="641"/>
      <c r="AD56" s="443"/>
      <c r="AE56" s="443"/>
      <c r="AF56" s="443"/>
    </row>
    <row r="57" spans="1:32" ht="40.5" customHeight="1">
      <c r="A57" s="639"/>
      <c r="B57" s="644"/>
      <c r="C57" s="4647"/>
      <c r="D57" s="4650"/>
      <c r="E57" s="4651"/>
      <c r="F57" s="4653" t="s">
        <v>1180</v>
      </c>
      <c r="G57" s="4654"/>
      <c r="H57" s="4654"/>
      <c r="I57" s="4654"/>
      <c r="J57" s="4654"/>
      <c r="K57" s="2569" t="s">
        <v>1181</v>
      </c>
      <c r="L57" s="2575">
        <f>L53*L54/(1+L54)</f>
        <v>375</v>
      </c>
      <c r="M57" s="2575">
        <f>M56*M54</f>
        <v>115.38461538461539</v>
      </c>
      <c r="N57" s="640"/>
      <c r="O57" s="2028" t="s">
        <v>2417</v>
      </c>
      <c r="P57" s="640"/>
      <c r="Q57" s="640"/>
      <c r="R57" s="2028"/>
      <c r="S57" s="640"/>
      <c r="T57" s="641"/>
      <c r="U57" s="641"/>
      <c r="V57" s="641"/>
      <c r="W57" s="646"/>
      <c r="X57" s="641"/>
      <c r="Y57" s="641"/>
      <c r="Z57" s="641"/>
      <c r="AA57" s="641"/>
      <c r="AB57" s="641"/>
      <c r="AC57" s="641"/>
      <c r="AD57" s="443"/>
      <c r="AE57" s="443"/>
      <c r="AF57" s="443"/>
    </row>
    <row r="58" spans="1:32" ht="40.5" customHeight="1">
      <c r="A58" s="639"/>
      <c r="B58" s="644"/>
      <c r="C58" s="4647"/>
      <c r="D58" s="4650"/>
      <c r="E58" s="4651"/>
      <c r="F58" s="4653" t="s">
        <v>1182</v>
      </c>
      <c r="G58" s="4654"/>
      <c r="H58" s="4654"/>
      <c r="I58" s="4654"/>
      <c r="J58" s="4654"/>
      <c r="K58" s="2569" t="s">
        <v>1183</v>
      </c>
      <c r="L58" s="2575">
        <f>L56-M56</f>
        <v>480.76923076923077</v>
      </c>
      <c r="M58" s="2575"/>
      <c r="N58" s="640"/>
      <c r="O58" s="640"/>
      <c r="P58" s="640"/>
      <c r="Q58" s="641"/>
      <c r="R58" s="641"/>
      <c r="S58" s="641"/>
      <c r="T58" s="641"/>
      <c r="U58" s="641"/>
      <c r="V58" s="641"/>
      <c r="W58" s="646"/>
      <c r="X58" s="641"/>
      <c r="Y58" s="641"/>
      <c r="Z58" s="641"/>
      <c r="AA58" s="641"/>
      <c r="AB58" s="641"/>
      <c r="AC58" s="641"/>
      <c r="AD58" s="443"/>
      <c r="AE58" s="443"/>
      <c r="AF58" s="443"/>
    </row>
    <row r="59" spans="1:32" ht="40.5" customHeight="1">
      <c r="A59" s="639"/>
      <c r="B59" s="644"/>
      <c r="C59" s="4647"/>
      <c r="D59" s="4650"/>
      <c r="E59" s="4651"/>
      <c r="F59" s="4653" t="s">
        <v>1184</v>
      </c>
      <c r="G59" s="4654"/>
      <c r="H59" s="4654"/>
      <c r="I59" s="4654"/>
      <c r="J59" s="4654"/>
      <c r="K59" s="2570" t="s">
        <v>1185</v>
      </c>
      <c r="L59" s="2576">
        <f>L57-M57</f>
        <v>259.61538461538464</v>
      </c>
      <c r="M59" s="2576"/>
      <c r="N59" s="640"/>
      <c r="O59" s="640"/>
      <c r="P59" s="640"/>
      <c r="Q59" s="641"/>
      <c r="R59" s="641"/>
      <c r="S59" s="641"/>
      <c r="T59" s="641"/>
      <c r="U59" s="641"/>
      <c r="V59" s="641"/>
      <c r="W59" s="646"/>
      <c r="X59" s="641"/>
      <c r="Y59" s="641"/>
      <c r="Z59" s="641"/>
      <c r="AA59" s="641"/>
      <c r="AB59" s="641"/>
      <c r="AC59" s="641"/>
      <c r="AD59" s="443"/>
      <c r="AE59" s="443"/>
      <c r="AF59" s="443"/>
    </row>
    <row r="60" spans="1:32" ht="40.5" customHeight="1">
      <c r="A60" s="639"/>
      <c r="B60" s="644"/>
      <c r="C60" s="4647"/>
      <c r="D60" s="2560" t="s">
        <v>1186</v>
      </c>
      <c r="E60" s="2561"/>
      <c r="F60" s="1229"/>
      <c r="G60" s="1229"/>
      <c r="H60" s="1229"/>
      <c r="I60" s="1229"/>
      <c r="J60" s="634"/>
      <c r="K60" s="2578"/>
      <c r="L60" s="2314"/>
      <c r="M60" s="2314"/>
      <c r="N60" s="640"/>
      <c r="O60" s="640"/>
      <c r="P60" s="640"/>
      <c r="Q60" s="641"/>
      <c r="R60" s="641"/>
      <c r="S60" s="641"/>
      <c r="T60" s="641"/>
      <c r="U60" s="641"/>
      <c r="V60" s="641"/>
      <c r="W60" s="646"/>
      <c r="X60" s="641"/>
      <c r="Y60" s="641"/>
      <c r="Z60" s="641"/>
      <c r="AA60" s="641"/>
      <c r="AB60" s="641"/>
      <c r="AC60" s="641"/>
      <c r="AD60" s="443"/>
      <c r="AE60" s="443"/>
      <c r="AF60" s="443"/>
    </row>
    <row r="61" spans="1:32" ht="40.5" customHeight="1">
      <c r="A61" s="639"/>
      <c r="B61" s="644"/>
      <c r="C61" s="4647"/>
      <c r="D61" s="2562" t="s">
        <v>365</v>
      </c>
      <c r="E61" s="2563" t="s">
        <v>1187</v>
      </c>
      <c r="F61" s="1481"/>
      <c r="G61" s="1481"/>
      <c r="H61" s="634"/>
      <c r="I61" s="634"/>
      <c r="J61" s="634"/>
      <c r="K61" s="2579"/>
      <c r="L61" s="2314"/>
      <c r="M61" s="2314"/>
      <c r="N61" s="640"/>
      <c r="O61" s="640"/>
      <c r="P61" s="640"/>
      <c r="Q61" s="641"/>
      <c r="R61" s="641"/>
      <c r="S61" s="641"/>
      <c r="T61" s="641"/>
      <c r="U61" s="641"/>
      <c r="V61" s="641"/>
      <c r="W61" s="646"/>
      <c r="X61" s="641"/>
      <c r="Y61" s="641"/>
      <c r="Z61" s="641"/>
      <c r="AA61" s="641"/>
      <c r="AB61" s="641"/>
      <c r="AC61" s="641"/>
      <c r="AD61" s="443"/>
      <c r="AE61" s="443"/>
      <c r="AF61" s="443"/>
    </row>
    <row r="62" spans="1:32" ht="40.5" customHeight="1">
      <c r="A62" s="639"/>
      <c r="B62" s="644"/>
      <c r="C62" s="4647"/>
      <c r="D62" s="2562" t="s">
        <v>365</v>
      </c>
      <c r="E62" s="2563" t="s">
        <v>1080</v>
      </c>
      <c r="F62" s="1481"/>
      <c r="G62" s="1481"/>
      <c r="H62" s="634"/>
      <c r="I62" s="634"/>
      <c r="J62" s="634"/>
      <c r="K62" s="2579"/>
      <c r="L62" s="2314"/>
      <c r="M62" s="2314"/>
      <c r="N62" s="640"/>
      <c r="O62" s="640"/>
      <c r="P62" s="640"/>
      <c r="Q62" s="641"/>
      <c r="R62" s="641"/>
      <c r="S62" s="641"/>
      <c r="T62" s="641"/>
      <c r="U62" s="641"/>
      <c r="V62" s="641"/>
      <c r="W62" s="646"/>
      <c r="X62" s="641"/>
      <c r="Y62" s="641"/>
      <c r="Z62" s="641"/>
      <c r="AA62" s="641"/>
      <c r="AB62" s="641"/>
      <c r="AC62" s="641"/>
      <c r="AD62" s="443"/>
      <c r="AE62" s="443"/>
      <c r="AF62" s="443"/>
    </row>
    <row r="63" spans="1:32" ht="40.5" customHeight="1" thickBot="1">
      <c r="A63" s="639"/>
      <c r="B63" s="644"/>
      <c r="C63" s="4647"/>
      <c r="D63" s="2580" t="s">
        <v>1002</v>
      </c>
      <c r="E63" s="2581"/>
      <c r="F63" s="2581"/>
      <c r="G63" s="2581"/>
      <c r="H63" s="2581"/>
      <c r="I63" s="2581"/>
      <c r="J63" s="2582"/>
      <c r="K63" s="2583"/>
      <c r="L63" s="2584"/>
      <c r="M63" s="2314"/>
      <c r="N63" s="640"/>
      <c r="O63" s="640"/>
      <c r="P63" s="640"/>
      <c r="Q63" s="641"/>
      <c r="R63" s="641"/>
      <c r="S63" s="641"/>
      <c r="T63" s="641"/>
      <c r="U63" s="641"/>
      <c r="V63" s="641"/>
      <c r="W63" s="646"/>
      <c r="X63" s="641"/>
      <c r="Y63" s="641"/>
      <c r="Z63" s="641"/>
      <c r="AA63" s="641"/>
      <c r="AB63" s="641"/>
      <c r="AC63" s="641"/>
      <c r="AD63" s="443"/>
      <c r="AE63" s="443"/>
      <c r="AF63" s="443"/>
    </row>
    <row r="64" spans="1:32" ht="40.5" customHeight="1">
      <c r="A64" s="639"/>
      <c r="B64" s="644"/>
      <c r="C64" s="644"/>
      <c r="D64" s="639"/>
      <c r="E64" s="639"/>
      <c r="F64" s="639"/>
      <c r="G64" s="639"/>
      <c r="H64" s="639"/>
      <c r="I64" s="640"/>
      <c r="J64" s="639"/>
      <c r="K64" s="639"/>
      <c r="L64" s="640"/>
      <c r="M64" s="640"/>
      <c r="N64" s="640"/>
      <c r="O64" s="640"/>
      <c r="P64" s="640"/>
      <c r="Q64" s="641"/>
      <c r="R64" s="641"/>
      <c r="S64" s="641"/>
      <c r="T64" s="641"/>
      <c r="U64" s="641"/>
      <c r="V64" s="641"/>
      <c r="W64" s="646"/>
      <c r="X64" s="641"/>
      <c r="Y64" s="641"/>
      <c r="Z64" s="641"/>
      <c r="AA64" s="641"/>
      <c r="AB64" s="641"/>
      <c r="AC64" s="641"/>
      <c r="AD64" s="443"/>
      <c r="AE64" s="443"/>
      <c r="AF64" s="443"/>
    </row>
    <row r="65" spans="1:33" ht="40.5" customHeight="1">
      <c r="A65" s="639"/>
      <c r="B65" s="644" t="s">
        <v>1397</v>
      </c>
      <c r="C65" s="639"/>
      <c r="D65" s="639"/>
      <c r="E65" s="639"/>
      <c r="F65" s="639"/>
      <c r="G65" s="639"/>
      <c r="H65" s="639"/>
      <c r="I65" s="640"/>
      <c r="J65" s="639"/>
      <c r="K65" s="639"/>
      <c r="L65" s="640"/>
      <c r="M65" s="640"/>
      <c r="N65" s="640"/>
      <c r="O65" s="640"/>
      <c r="P65" s="640"/>
      <c r="Q65" s="641"/>
      <c r="R65" s="641"/>
      <c r="S65" s="641"/>
      <c r="T65" s="641"/>
      <c r="U65" s="641"/>
      <c r="V65" s="641"/>
      <c r="W65" s="641"/>
      <c r="X65" s="641"/>
      <c r="Y65" s="641"/>
      <c r="Z65" s="641"/>
      <c r="AA65" s="641"/>
      <c r="AB65" s="641"/>
      <c r="AC65" s="641"/>
      <c r="AD65" s="443"/>
      <c r="AE65" s="443"/>
      <c r="AF65" s="443"/>
    </row>
    <row r="66" spans="1:33" ht="40.5" customHeight="1">
      <c r="A66" s="639"/>
      <c r="B66" s="644" t="s">
        <v>1521</v>
      </c>
      <c r="C66" s="645"/>
      <c r="D66" s="639"/>
      <c r="E66" s="639"/>
      <c r="F66" s="639"/>
      <c r="G66" s="639"/>
      <c r="H66" s="639"/>
      <c r="I66" s="640"/>
      <c r="J66" s="639"/>
      <c r="K66" s="639"/>
      <c r="L66" s="640"/>
      <c r="M66" s="640"/>
      <c r="N66" s="640"/>
      <c r="O66" s="640"/>
      <c r="P66" s="640"/>
      <c r="Q66" s="641"/>
      <c r="R66" s="641"/>
      <c r="S66" s="641"/>
      <c r="T66" s="641"/>
      <c r="U66" s="641"/>
      <c r="V66" s="641"/>
      <c r="W66" s="641"/>
      <c r="X66" s="641"/>
      <c r="Y66" s="641"/>
      <c r="Z66" s="641"/>
      <c r="AA66" s="641"/>
      <c r="AB66" s="641"/>
      <c r="AC66" s="641"/>
      <c r="AD66" s="443"/>
      <c r="AE66" s="443"/>
      <c r="AF66" s="443"/>
    </row>
    <row r="67" spans="1:33" ht="40.5" customHeight="1">
      <c r="A67" s="639"/>
      <c r="B67" s="3034" t="s">
        <v>2998</v>
      </c>
      <c r="C67" s="3025"/>
      <c r="D67" s="3025"/>
      <c r="E67" s="4591" t="str">
        <f ca="1">CELL("nomfichier")</f>
        <v>D:\Données\Copie_ancien_DD\0-UPRT.fait\1-UPRT.FR-SITE-WEB\ff-fiches-fabrications\ff-fiches-fabrication-maj-08-2020\[ff-22-formats-formules-pourcentages.xlsx]Epurer.un.texte</v>
      </c>
      <c r="F67" s="639"/>
      <c r="G67" s="639"/>
      <c r="H67" s="639"/>
      <c r="I67" s="640"/>
      <c r="J67" s="639"/>
      <c r="K67" s="639"/>
      <c r="L67" s="640"/>
      <c r="M67" s="640"/>
      <c r="N67" s="640"/>
      <c r="O67" s="640"/>
      <c r="P67" s="640"/>
      <c r="Q67" s="641"/>
      <c r="R67" s="641"/>
      <c r="S67" s="641"/>
      <c r="T67" s="641"/>
      <c r="U67" s="641"/>
      <c r="V67" s="641"/>
      <c r="W67" s="641"/>
      <c r="X67" s="641"/>
      <c r="Y67" s="641"/>
      <c r="Z67" s="639"/>
      <c r="AA67" s="639"/>
      <c r="AB67" s="641"/>
      <c r="AC67" s="641"/>
      <c r="AD67" s="443"/>
      <c r="AE67" s="443"/>
      <c r="AF67" s="443"/>
    </row>
    <row r="68" spans="1:33" ht="40.5" customHeight="1">
      <c r="A68" s="639"/>
      <c r="B68" s="3034"/>
      <c r="C68" s="3025"/>
      <c r="D68" s="3025"/>
      <c r="E68" s="4591"/>
      <c r="F68" s="639"/>
      <c r="G68" s="639"/>
      <c r="H68" s="639"/>
      <c r="I68" s="640"/>
      <c r="J68" s="639"/>
      <c r="K68" s="639"/>
      <c r="L68" s="640"/>
      <c r="M68" s="640"/>
      <c r="N68" s="640"/>
      <c r="O68" s="640"/>
      <c r="P68" s="640"/>
      <c r="Q68" s="641"/>
      <c r="R68" s="641"/>
      <c r="S68" s="641"/>
      <c r="T68" s="641"/>
      <c r="U68" s="641"/>
      <c r="V68" s="641"/>
      <c r="W68" s="641"/>
      <c r="X68" s="641"/>
      <c r="Y68" s="641"/>
      <c r="Z68" s="639"/>
      <c r="AA68" s="639"/>
      <c r="AB68" s="641"/>
      <c r="AC68" s="641"/>
      <c r="AD68" s="443"/>
      <c r="AE68" s="443"/>
      <c r="AF68" s="443"/>
    </row>
    <row r="69" spans="1:33" s="2128" customFormat="1" ht="40.5" customHeight="1">
      <c r="A69" s="2125"/>
      <c r="B69" s="4592"/>
      <c r="C69" s="4593" t="s">
        <v>7776</v>
      </c>
      <c r="D69" s="4594"/>
      <c r="E69" s="4594"/>
      <c r="F69" s="4594"/>
      <c r="G69" s="4594"/>
      <c r="H69" s="4594"/>
      <c r="I69" s="4595"/>
      <c r="J69" s="4594"/>
      <c r="K69" s="4594"/>
      <c r="L69" s="4595"/>
      <c r="M69" s="4595"/>
      <c r="N69" s="4595"/>
      <c r="O69" s="4595"/>
      <c r="P69" s="4595"/>
      <c r="Q69" s="4596"/>
      <c r="R69" s="4597"/>
      <c r="S69" s="4597"/>
      <c r="T69" s="4597"/>
      <c r="U69" s="4597"/>
      <c r="V69" s="4597"/>
      <c r="W69" s="4597"/>
      <c r="X69" s="4597"/>
      <c r="Y69" s="4597"/>
      <c r="Z69" s="2125"/>
      <c r="AA69" s="2125"/>
      <c r="AB69" s="2126"/>
      <c r="AC69" s="2126"/>
      <c r="AD69" s="2127"/>
      <c r="AE69" s="2127"/>
      <c r="AF69" s="2127"/>
    </row>
    <row r="70" spans="1:33" s="2128" customFormat="1" ht="40.5" customHeight="1">
      <c r="A70" s="2125"/>
      <c r="B70" s="4592"/>
      <c r="C70" s="4594"/>
      <c r="D70" s="4594"/>
      <c r="E70" s="4594"/>
      <c r="F70" s="4594"/>
      <c r="G70" s="4594"/>
      <c r="H70" s="4594"/>
      <c r="I70" s="4595"/>
      <c r="J70" s="4594"/>
      <c r="K70" s="4594"/>
      <c r="L70" s="4595"/>
      <c r="M70" s="4595"/>
      <c r="N70" s="4595"/>
      <c r="O70" s="4595"/>
      <c r="P70" s="4595"/>
      <c r="Q70" s="4598" t="s">
        <v>7777</v>
      </c>
      <c r="R70" s="4599" t="s">
        <v>7778</v>
      </c>
      <c r="S70" s="4600"/>
      <c r="T70" s="4600"/>
      <c r="U70" s="4600"/>
      <c r="V70" s="4600"/>
      <c r="W70" s="4600"/>
      <c r="X70" s="4600"/>
      <c r="Y70" s="4600"/>
      <c r="Z70" s="2125"/>
      <c r="AA70" s="4583"/>
      <c r="AB70" s="4583"/>
      <c r="AC70" s="2126"/>
      <c r="AD70" s="2127"/>
      <c r="AE70" s="2127"/>
      <c r="AF70" s="2127"/>
    </row>
    <row r="71" spans="1:33" s="2128" customFormat="1" ht="40.5" customHeight="1">
      <c r="A71" s="2125"/>
      <c r="B71" s="4592"/>
      <c r="C71" s="4594" t="s">
        <v>7779</v>
      </c>
      <c r="D71" s="4594"/>
      <c r="E71" s="4594"/>
      <c r="F71" s="4594"/>
      <c r="G71" s="4594"/>
      <c r="H71" s="4594"/>
      <c r="I71" s="4595"/>
      <c r="J71" s="4594"/>
      <c r="K71" s="4594"/>
      <c r="L71" s="4595"/>
      <c r="M71" s="4595"/>
      <c r="N71" s="4595"/>
      <c r="O71" s="4595"/>
      <c r="P71" s="4595"/>
      <c r="Q71" s="4592"/>
      <c r="R71" s="4600"/>
      <c r="S71" s="4600"/>
      <c r="T71" s="4600"/>
      <c r="U71" s="4600"/>
      <c r="V71" s="4600"/>
      <c r="W71" s="4600"/>
      <c r="X71" s="4600"/>
      <c r="Y71" s="4600"/>
      <c r="Z71" s="2125"/>
      <c r="AA71" s="4583"/>
      <c r="AB71" s="4583"/>
      <c r="AC71" s="2126"/>
      <c r="AD71" s="2127"/>
      <c r="AE71" s="2127"/>
      <c r="AF71" s="2127"/>
    </row>
    <row r="72" spans="1:33" s="2128" customFormat="1" ht="40.5" customHeight="1">
      <c r="A72" s="2125"/>
      <c r="B72" s="4592"/>
      <c r="C72" s="4594"/>
      <c r="D72" s="4594"/>
      <c r="E72" s="4594"/>
      <c r="F72" s="4594"/>
      <c r="G72" s="4594"/>
      <c r="H72" s="4594"/>
      <c r="I72" s="4595"/>
      <c r="J72" s="4594"/>
      <c r="K72" s="4594"/>
      <c r="L72" s="4595"/>
      <c r="M72" s="4595"/>
      <c r="N72" s="4595"/>
      <c r="O72" s="4595"/>
      <c r="P72" s="4595"/>
      <c r="Q72" s="4601" t="s">
        <v>7780</v>
      </c>
      <c r="R72" s="4599" t="s">
        <v>7781</v>
      </c>
      <c r="S72" s="4600"/>
      <c r="T72" s="4600"/>
      <c r="U72" s="4600"/>
      <c r="V72" s="4600"/>
      <c r="W72" s="4600"/>
      <c r="X72" s="4600"/>
      <c r="Y72" s="4602" t="s">
        <v>230</v>
      </c>
      <c r="Z72" s="2125"/>
      <c r="AA72" s="4583"/>
      <c r="AB72" s="4583"/>
      <c r="AC72" s="2126"/>
      <c r="AD72" s="2127"/>
      <c r="AE72" s="2127"/>
      <c r="AF72" s="2127"/>
    </row>
    <row r="73" spans="1:33" s="2128" customFormat="1" ht="40.5" customHeight="1">
      <c r="A73" s="2125"/>
      <c r="B73" s="4592"/>
      <c r="C73" s="4594"/>
      <c r="D73" s="4594" t="s">
        <v>7782</v>
      </c>
      <c r="E73" s="4594"/>
      <c r="F73" s="4594"/>
      <c r="G73" s="4594"/>
      <c r="H73" s="4594"/>
      <c r="I73" s="4595"/>
      <c r="J73" s="4594"/>
      <c r="K73" s="4594"/>
      <c r="L73" s="4595"/>
      <c r="M73" s="4595"/>
      <c r="N73" s="4595"/>
      <c r="O73" s="4595"/>
      <c r="P73" s="4595"/>
      <c r="Q73" s="4592"/>
      <c r="R73" s="4600"/>
      <c r="S73" s="4600"/>
      <c r="T73" s="4600"/>
      <c r="U73" s="4600"/>
      <c r="V73" s="4600"/>
      <c r="W73" s="4600"/>
      <c r="X73" s="4600"/>
      <c r="Y73" s="4602" t="s">
        <v>230</v>
      </c>
      <c r="Z73" s="2125"/>
      <c r="AA73" s="4583"/>
      <c r="AB73" s="4583"/>
      <c r="AC73" s="2126"/>
      <c r="AD73" s="2127"/>
      <c r="AE73" s="2127"/>
      <c r="AF73" s="2127"/>
    </row>
    <row r="74" spans="1:33" s="2128" customFormat="1" ht="40.5" customHeight="1">
      <c r="A74" s="2125"/>
      <c r="B74" s="4592"/>
      <c r="C74" s="4594"/>
      <c r="D74" s="4594" t="s">
        <v>7783</v>
      </c>
      <c r="E74" s="4594"/>
      <c r="F74" s="4594"/>
      <c r="G74" s="4594"/>
      <c r="H74" s="4594"/>
      <c r="I74" s="4595"/>
      <c r="J74" s="4594"/>
      <c r="K74" s="4594"/>
      <c r="L74" s="4595"/>
      <c r="M74" s="4595"/>
      <c r="N74" s="4595"/>
      <c r="O74" s="4595"/>
      <c r="P74" s="4595"/>
      <c r="Q74" s="4592"/>
      <c r="R74" s="4600"/>
      <c r="S74" s="4600"/>
      <c r="T74" s="4600"/>
      <c r="U74" s="4600"/>
      <c r="V74" s="4600"/>
      <c r="W74" s="4600"/>
      <c r="X74" s="4600"/>
      <c r="Y74" s="4602" t="s">
        <v>230</v>
      </c>
      <c r="Z74" s="2125"/>
      <c r="AA74" s="4583"/>
      <c r="AB74" s="4583"/>
      <c r="AC74" s="2126"/>
      <c r="AD74" s="2127"/>
      <c r="AE74" s="2127"/>
      <c r="AF74" s="2127"/>
    </row>
    <row r="75" spans="1:33" s="2128" customFormat="1" ht="40.5" customHeight="1">
      <c r="A75" s="2125"/>
      <c r="B75" s="4592"/>
      <c r="C75" s="4594"/>
      <c r="D75" s="4594"/>
      <c r="E75" s="4594"/>
      <c r="F75" s="4594"/>
      <c r="G75" s="4594"/>
      <c r="H75" s="4594"/>
      <c r="I75" s="4595"/>
      <c r="J75" s="4594"/>
      <c r="K75" s="4594"/>
      <c r="L75" s="4595"/>
      <c r="M75" s="4595"/>
      <c r="N75" s="4595"/>
      <c r="O75" s="4595"/>
      <c r="P75" s="4595"/>
      <c r="Q75" s="4601" t="s">
        <v>7784</v>
      </c>
      <c r="R75" s="4599" t="s">
        <v>7785</v>
      </c>
      <c r="S75" s="4600"/>
      <c r="T75" s="4600"/>
      <c r="U75" s="4600"/>
      <c r="V75" s="4600"/>
      <c r="W75" s="4600"/>
      <c r="X75" s="4600"/>
      <c r="Y75" s="4602" t="s">
        <v>230</v>
      </c>
      <c r="Z75" s="2125"/>
      <c r="AA75" s="4583"/>
      <c r="AB75" s="4583"/>
      <c r="AC75" s="2126"/>
      <c r="AD75" s="2127"/>
      <c r="AE75" s="2127"/>
      <c r="AF75" s="2127"/>
    </row>
    <row r="76" spans="1:33" s="2128" customFormat="1" ht="40.5" customHeight="1">
      <c r="A76" s="2125"/>
      <c r="B76" s="4592"/>
      <c r="C76" s="4594"/>
      <c r="D76" s="4594"/>
      <c r="E76" s="4594"/>
      <c r="F76" s="4594"/>
      <c r="G76" s="4594"/>
      <c r="H76" s="4594"/>
      <c r="I76" s="4595"/>
      <c r="J76" s="4594"/>
      <c r="K76" s="4594"/>
      <c r="L76" s="4595"/>
      <c r="M76" s="4595"/>
      <c r="N76" s="4595"/>
      <c r="O76" s="4595"/>
      <c r="P76" s="4595"/>
      <c r="Q76" s="4601" t="s">
        <v>7786</v>
      </c>
      <c r="R76" s="4599" t="s">
        <v>7787</v>
      </c>
      <c r="S76" s="4600"/>
      <c r="T76" s="4600"/>
      <c r="U76" s="4600"/>
      <c r="V76" s="4600"/>
      <c r="W76" s="4600"/>
      <c r="X76" s="4600"/>
      <c r="Y76" s="4602" t="s">
        <v>230</v>
      </c>
      <c r="Z76" s="2125"/>
      <c r="AA76" s="4583"/>
      <c r="AB76" s="4583"/>
      <c r="AC76" s="2126"/>
      <c r="AD76" s="2127"/>
      <c r="AE76" s="2127"/>
      <c r="AF76" s="2127"/>
    </row>
    <row r="77" spans="1:33" s="2128" customFormat="1" ht="40.5" customHeight="1">
      <c r="A77" s="2125"/>
      <c r="B77" s="4592"/>
      <c r="C77" s="4594"/>
      <c r="D77" s="4594"/>
      <c r="E77" s="4594"/>
      <c r="F77" s="4594"/>
      <c r="G77" s="4594"/>
      <c r="H77" s="4594"/>
      <c r="I77" s="4595"/>
      <c r="J77" s="4594"/>
      <c r="K77" s="4594"/>
      <c r="L77" s="4595"/>
      <c r="M77" s="4595"/>
      <c r="N77" s="4595"/>
      <c r="O77" s="4595"/>
      <c r="P77" s="4595"/>
      <c r="Q77" s="4603" t="s">
        <v>7788</v>
      </c>
      <c r="R77" s="4600"/>
      <c r="S77" s="4600"/>
      <c r="T77" s="4600"/>
      <c r="U77" s="4600"/>
      <c r="V77" s="4600"/>
      <c r="W77" s="4600"/>
      <c r="X77" s="4600"/>
      <c r="Y77" s="4602" t="s">
        <v>230</v>
      </c>
      <c r="Z77" s="2125"/>
      <c r="AA77" s="4583"/>
      <c r="AB77" s="4583"/>
      <c r="AC77" s="2126"/>
      <c r="AD77" s="2127"/>
      <c r="AE77" s="2127"/>
      <c r="AF77" s="2127"/>
    </row>
    <row r="78" spans="1:33" s="2127" customFormat="1" ht="30" customHeight="1">
      <c r="A78" s="2125"/>
      <c r="B78" s="4594"/>
      <c r="C78" s="4604"/>
      <c r="D78" s="4594"/>
      <c r="E78" s="4594"/>
      <c r="F78" s="4594"/>
      <c r="G78" s="4594"/>
      <c r="H78" s="4594"/>
      <c r="I78" s="4594"/>
      <c r="J78" s="4594"/>
      <c r="K78" s="4594"/>
      <c r="L78" s="4595"/>
      <c r="M78" s="4595"/>
      <c r="N78" s="4595"/>
      <c r="O78" s="4595"/>
      <c r="P78" s="4595"/>
      <c r="Q78" s="4605" t="s">
        <v>7789</v>
      </c>
      <c r="R78" s="4599" t="s">
        <v>7790</v>
      </c>
      <c r="S78" s="4600"/>
      <c r="T78" s="4600"/>
      <c r="U78" s="4600"/>
      <c r="V78" s="4600"/>
      <c r="W78" s="4600"/>
      <c r="X78" s="4600"/>
      <c r="Y78" s="4602" t="s">
        <v>230</v>
      </c>
      <c r="Z78" s="2125"/>
      <c r="AA78" s="4583"/>
      <c r="AB78" s="4583"/>
      <c r="AC78" s="2126"/>
      <c r="AG78" s="2128"/>
    </row>
    <row r="79" spans="1:33" s="2127" customFormat="1" ht="30" customHeight="1">
      <c r="A79" s="2125"/>
      <c r="B79" s="4594"/>
      <c r="C79" s="4604"/>
      <c r="D79" s="4594"/>
      <c r="E79" s="4594"/>
      <c r="F79" s="4594"/>
      <c r="G79" s="4594"/>
      <c r="H79" s="4594"/>
      <c r="I79" s="4594"/>
      <c r="J79" s="4594"/>
      <c r="K79" s="4594"/>
      <c r="L79" s="4595"/>
      <c r="M79" s="4595"/>
      <c r="N79" s="4595"/>
      <c r="O79" s="4595"/>
      <c r="P79" s="4595"/>
      <c r="Q79" s="4605" t="s">
        <v>7791</v>
      </c>
      <c r="R79" s="4599" t="s">
        <v>7792</v>
      </c>
      <c r="S79" s="4600"/>
      <c r="T79" s="4600"/>
      <c r="U79" s="4600"/>
      <c r="V79" s="4600"/>
      <c r="W79" s="4600"/>
      <c r="X79" s="4600"/>
      <c r="Y79" s="4602" t="s">
        <v>230</v>
      </c>
      <c r="Z79" s="2125"/>
      <c r="AA79" s="4583"/>
      <c r="AB79" s="4583"/>
      <c r="AC79" s="2126"/>
      <c r="AG79" s="2128"/>
    </row>
    <row r="80" spans="1:33" s="2127" customFormat="1" ht="30" customHeight="1">
      <c r="A80" s="2125"/>
      <c r="B80" s="4594"/>
      <c r="C80" s="4604"/>
      <c r="D80" s="4594"/>
      <c r="E80" s="4594"/>
      <c r="F80" s="4594"/>
      <c r="G80" s="4594"/>
      <c r="H80" s="4594"/>
      <c r="I80" s="4594"/>
      <c r="J80" s="4594"/>
      <c r="K80" s="4594"/>
      <c r="L80" s="4595"/>
      <c r="M80" s="4595"/>
      <c r="N80" s="4595"/>
      <c r="O80" s="4595"/>
      <c r="P80" s="4595"/>
      <c r="Q80" s="4605" t="s">
        <v>7793</v>
      </c>
      <c r="R80" s="4599" t="s">
        <v>7794</v>
      </c>
      <c r="S80" s="4600"/>
      <c r="T80" s="4600"/>
      <c r="U80" s="4600"/>
      <c r="V80" s="4600"/>
      <c r="W80" s="4600"/>
      <c r="X80" s="4600"/>
      <c r="Y80" s="4602" t="s">
        <v>230</v>
      </c>
      <c r="Z80" s="2125"/>
      <c r="AA80" s="4583"/>
      <c r="AB80" s="4583"/>
      <c r="AC80" s="2126"/>
      <c r="AG80" s="2128"/>
    </row>
    <row r="81" spans="1:33" s="2127" customFormat="1" ht="30" customHeight="1">
      <c r="A81" s="2125"/>
      <c r="B81" s="4594"/>
      <c r="C81" s="4594"/>
      <c r="D81" s="4594"/>
      <c r="E81" s="4594"/>
      <c r="F81" s="4594"/>
      <c r="G81" s="4594"/>
      <c r="H81" s="4594"/>
      <c r="I81" s="4594"/>
      <c r="J81" s="4594"/>
      <c r="K81" s="4594"/>
      <c r="L81" s="4595"/>
      <c r="M81" s="4595"/>
      <c r="N81" s="4595"/>
      <c r="O81" s="4595"/>
      <c r="P81" s="4595"/>
      <c r="Q81" s="4592"/>
      <c r="R81" s="4600"/>
      <c r="S81" s="4600"/>
      <c r="T81" s="4600"/>
      <c r="U81" s="4600"/>
      <c r="V81" s="4600"/>
      <c r="W81" s="4600"/>
      <c r="X81" s="4600"/>
      <c r="Y81" s="4600"/>
      <c r="Z81" s="4583"/>
      <c r="AA81" s="4583"/>
      <c r="AB81" s="4583"/>
      <c r="AC81" s="2126"/>
      <c r="AG81" s="2128"/>
    </row>
    <row r="82" spans="1:33" s="2127" customFormat="1" ht="30" customHeight="1">
      <c r="A82" s="2125"/>
      <c r="B82" s="4594"/>
      <c r="C82" s="4594"/>
      <c r="D82" s="4594"/>
      <c r="E82" s="4594"/>
      <c r="F82" s="4594"/>
      <c r="G82" s="4594"/>
      <c r="H82" s="4594"/>
      <c r="I82" s="4594"/>
      <c r="J82" s="4594"/>
      <c r="K82" s="4594"/>
      <c r="L82" s="4595"/>
      <c r="M82" s="4595"/>
      <c r="N82" s="4595"/>
      <c r="O82" s="4595"/>
      <c r="P82" s="4595"/>
      <c r="Q82" s="4605" t="s">
        <v>7795</v>
      </c>
      <c r="R82" s="4599" t="s">
        <v>7796</v>
      </c>
      <c r="S82" s="4600"/>
      <c r="T82" s="4600"/>
      <c r="U82" s="4600"/>
      <c r="V82" s="4600"/>
      <c r="W82" s="4600"/>
      <c r="X82" s="4600"/>
      <c r="Y82" s="4600"/>
      <c r="Z82" s="4583"/>
      <c r="AA82" s="4583"/>
      <c r="AB82" s="4583"/>
      <c r="AC82" s="2126"/>
      <c r="AG82" s="2128"/>
    </row>
    <row r="83" spans="1:33" s="2127" customFormat="1" ht="30" customHeight="1">
      <c r="A83" s="2125"/>
      <c r="B83" s="4594"/>
      <c r="C83" s="4594"/>
      <c r="D83" s="4594"/>
      <c r="E83" s="4594"/>
      <c r="F83" s="4594"/>
      <c r="G83" s="4594"/>
      <c r="H83" s="4594"/>
      <c r="I83" s="4594"/>
      <c r="J83" s="4594"/>
      <c r="K83" s="4594"/>
      <c r="L83" s="4595"/>
      <c r="M83" s="4595"/>
      <c r="N83" s="4595"/>
      <c r="O83" s="4595"/>
      <c r="P83" s="4595"/>
      <c r="Q83" s="4605"/>
      <c r="R83" s="4599"/>
      <c r="S83" s="4600"/>
      <c r="T83" s="4600"/>
      <c r="U83" s="4600"/>
      <c r="V83" s="4600"/>
      <c r="W83" s="4600"/>
      <c r="X83" s="4600"/>
      <c r="Y83" s="4600"/>
      <c r="Z83" s="4583"/>
      <c r="AA83" s="4583"/>
      <c r="AB83" s="4583"/>
      <c r="AC83" s="2126"/>
      <c r="AG83" s="2128"/>
    </row>
    <row r="84" spans="1:33" s="2127" customFormat="1" ht="30" customHeight="1">
      <c r="A84" s="2125"/>
      <c r="B84" s="4594"/>
      <c r="C84" s="4594"/>
      <c r="D84" s="4594"/>
      <c r="E84" s="4594"/>
      <c r="F84" s="4594"/>
      <c r="G84" s="4594"/>
      <c r="H84" s="4594"/>
      <c r="I84" s="4594"/>
      <c r="J84" s="4594"/>
      <c r="K84" s="4594"/>
      <c r="L84" s="4595"/>
      <c r="M84" s="4595"/>
      <c r="N84" s="4595"/>
      <c r="O84" s="4595"/>
      <c r="P84" s="4595"/>
      <c r="Q84" s="4605" t="s">
        <v>7797</v>
      </c>
      <c r="R84" s="4599" t="s">
        <v>7798</v>
      </c>
      <c r="S84" s="4599"/>
      <c r="T84" s="4600"/>
      <c r="U84" s="4600"/>
      <c r="V84" s="4600"/>
      <c r="W84" s="4600"/>
      <c r="X84" s="4600"/>
      <c r="Y84" s="4600"/>
      <c r="Z84" s="4583"/>
      <c r="AA84" s="4583"/>
      <c r="AB84" s="4583"/>
      <c r="AC84" s="2126"/>
      <c r="AG84" s="2128"/>
    </row>
    <row r="85" spans="1:33" s="2127" customFormat="1" ht="30" customHeight="1">
      <c r="A85" s="2125"/>
      <c r="B85" s="4594"/>
      <c r="C85" s="4594"/>
      <c r="D85" s="4594"/>
      <c r="E85" s="4594"/>
      <c r="F85" s="4594"/>
      <c r="G85" s="4594"/>
      <c r="H85" s="4594"/>
      <c r="I85" s="4594"/>
      <c r="J85" s="4594"/>
      <c r="K85" s="4594"/>
      <c r="L85" s="4595"/>
      <c r="M85" s="4595"/>
      <c r="N85" s="4595"/>
      <c r="O85" s="4595"/>
      <c r="P85" s="4595"/>
      <c r="Q85" s="4605"/>
      <c r="R85" s="4599"/>
      <c r="S85" s="4600"/>
      <c r="T85" s="4600"/>
      <c r="U85" s="4600"/>
      <c r="V85" s="4600"/>
      <c r="W85" s="4600"/>
      <c r="X85" s="4600"/>
      <c r="Y85" s="4600"/>
      <c r="Z85" s="4583"/>
      <c r="AA85" s="4583"/>
      <c r="AB85" s="4583"/>
      <c r="AC85" s="2126"/>
      <c r="AG85" s="2128"/>
    </row>
    <row r="86" spans="1:33" s="2127" customFormat="1" ht="30" customHeight="1">
      <c r="A86" s="2125"/>
      <c r="B86" s="4594"/>
      <c r="C86" s="4594"/>
      <c r="D86" s="4594"/>
      <c r="E86" s="4594"/>
      <c r="F86" s="4594"/>
      <c r="G86" s="4594"/>
      <c r="H86" s="4594"/>
      <c r="I86" s="4594"/>
      <c r="J86" s="4594"/>
      <c r="K86" s="4594"/>
      <c r="L86" s="4595"/>
      <c r="M86" s="4595"/>
      <c r="N86" s="4595"/>
      <c r="O86" s="4595"/>
      <c r="P86" s="4595"/>
      <c r="Q86" s="4605" t="s">
        <v>7799</v>
      </c>
      <c r="R86" s="4599" t="s">
        <v>7800</v>
      </c>
      <c r="S86" s="4600"/>
      <c r="T86" s="4600"/>
      <c r="U86" s="4600"/>
      <c r="V86" s="4600"/>
      <c r="W86" s="4600"/>
      <c r="X86" s="4600"/>
      <c r="Y86" s="4600"/>
      <c r="Z86" s="4583"/>
      <c r="AA86" s="4583"/>
      <c r="AB86" s="4583"/>
      <c r="AC86" s="2126"/>
      <c r="AG86" s="2128"/>
    </row>
    <row r="87" spans="1:33" s="2127" customFormat="1" ht="30" customHeight="1">
      <c r="A87" s="2125"/>
      <c r="B87" s="4594"/>
      <c r="C87" s="4594"/>
      <c r="D87" s="4594"/>
      <c r="E87" s="4594"/>
      <c r="F87" s="4594"/>
      <c r="G87" s="4594"/>
      <c r="H87" s="4594"/>
      <c r="I87" s="4594"/>
      <c r="J87" s="4594"/>
      <c r="K87" s="4594"/>
      <c r="L87" s="4595"/>
      <c r="M87" s="4595"/>
      <c r="N87" s="4595"/>
      <c r="O87" s="4595"/>
      <c r="P87" s="4595"/>
      <c r="Q87" s="4605"/>
      <c r="R87" s="4599"/>
      <c r="S87" s="4600"/>
      <c r="T87" s="4600"/>
      <c r="U87" s="4600"/>
      <c r="V87" s="4600"/>
      <c r="W87" s="4600"/>
      <c r="X87" s="4600"/>
      <c r="Y87" s="4600"/>
      <c r="Z87" s="4583"/>
      <c r="AA87" s="4583"/>
      <c r="AB87" s="4583"/>
      <c r="AC87" s="2126"/>
      <c r="AG87" s="2128"/>
    </row>
    <row r="88" spans="1:33" s="2127" customFormat="1" ht="30" customHeight="1">
      <c r="A88" s="2125"/>
      <c r="B88" s="4594"/>
      <c r="C88" s="4594"/>
      <c r="D88" s="4594"/>
      <c r="E88" s="4594"/>
      <c r="F88" s="4594"/>
      <c r="G88" s="4594"/>
      <c r="H88" s="4594"/>
      <c r="I88" s="4594"/>
      <c r="J88" s="4594"/>
      <c r="K88" s="4594"/>
      <c r="L88" s="4595"/>
      <c r="M88" s="4595"/>
      <c r="N88" s="4595"/>
      <c r="O88" s="4595"/>
      <c r="P88" s="4595"/>
      <c r="Q88" s="4605" t="s">
        <v>7801</v>
      </c>
      <c r="R88" s="4599" t="s">
        <v>7802</v>
      </c>
      <c r="S88" s="4600"/>
      <c r="T88" s="4600"/>
      <c r="U88" s="4600"/>
      <c r="V88" s="4600"/>
      <c r="W88" s="4600"/>
      <c r="X88" s="4600"/>
      <c r="Y88" s="4600"/>
      <c r="Z88" s="4583"/>
      <c r="AA88" s="4583"/>
      <c r="AB88" s="4583"/>
      <c r="AC88" s="2126"/>
      <c r="AG88" s="2128"/>
    </row>
    <row r="89" spans="1:33" s="2127" customFormat="1" ht="30" customHeight="1">
      <c r="A89" s="2125"/>
      <c r="B89" s="4594"/>
      <c r="C89" s="4594"/>
      <c r="D89" s="4594"/>
      <c r="E89" s="4594"/>
      <c r="F89" s="4594"/>
      <c r="G89" s="4594"/>
      <c r="H89" s="4594"/>
      <c r="I89" s="4594"/>
      <c r="J89" s="4594"/>
      <c r="K89" s="4594"/>
      <c r="L89" s="4595"/>
      <c r="M89" s="4595"/>
      <c r="N89" s="4595"/>
      <c r="O89" s="4595"/>
      <c r="P89" s="4595"/>
      <c r="Q89" s="4605"/>
      <c r="R89" s="4599"/>
      <c r="S89" s="4600"/>
      <c r="T89" s="4600"/>
      <c r="U89" s="4600"/>
      <c r="V89" s="4600"/>
      <c r="W89" s="4600"/>
      <c r="X89" s="4600"/>
      <c r="Y89" s="4600"/>
      <c r="Z89" s="4583"/>
      <c r="AA89" s="4583"/>
      <c r="AB89" s="4583"/>
      <c r="AC89" s="2126"/>
      <c r="AG89" s="2128"/>
    </row>
    <row r="90" spans="1:33" s="2127" customFormat="1" ht="30" customHeight="1">
      <c r="A90" s="2125"/>
      <c r="B90" s="4594"/>
      <c r="C90" s="4594"/>
      <c r="D90" s="4594"/>
      <c r="E90" s="4594"/>
      <c r="F90" s="4594"/>
      <c r="G90" s="4594"/>
      <c r="H90" s="4594"/>
      <c r="I90" s="4594"/>
      <c r="J90" s="4594"/>
      <c r="K90" s="4594"/>
      <c r="L90" s="4595"/>
      <c r="M90" s="4595"/>
      <c r="N90" s="4595"/>
      <c r="O90" s="4595"/>
      <c r="P90" s="4595"/>
      <c r="Q90" s="4605" t="s">
        <v>7803</v>
      </c>
      <c r="R90" s="4599" t="s">
        <v>7804</v>
      </c>
      <c r="S90" s="4600"/>
      <c r="T90" s="4600"/>
      <c r="U90" s="4600"/>
      <c r="V90" s="4600"/>
      <c r="W90" s="4600"/>
      <c r="X90" s="4600"/>
      <c r="Y90" s="4600"/>
      <c r="Z90" s="4583"/>
      <c r="AA90" s="4583"/>
      <c r="AB90" s="4583"/>
      <c r="AC90" s="2126"/>
      <c r="AG90" s="2128"/>
    </row>
    <row r="91" spans="1:33" s="2127" customFormat="1" ht="30" customHeight="1">
      <c r="A91" s="2125"/>
      <c r="B91" s="4594"/>
      <c r="C91" s="4594"/>
      <c r="D91" s="4594"/>
      <c r="E91" s="4594"/>
      <c r="F91" s="4594"/>
      <c r="G91" s="4594"/>
      <c r="H91" s="4594"/>
      <c r="I91" s="4594"/>
      <c r="J91" s="4594"/>
      <c r="K91" s="4594"/>
      <c r="L91" s="4595"/>
      <c r="M91" s="4595"/>
      <c r="N91" s="4595"/>
      <c r="O91" s="4595"/>
      <c r="P91" s="4595"/>
      <c r="Q91" s="4605"/>
      <c r="R91" s="4599"/>
      <c r="S91" s="4600"/>
      <c r="T91" s="4600"/>
      <c r="U91" s="4600"/>
      <c r="V91" s="4600"/>
      <c r="W91" s="4600"/>
      <c r="X91" s="4600"/>
      <c r="Y91" s="4600"/>
      <c r="Z91" s="4583"/>
      <c r="AA91" s="4583"/>
      <c r="AB91" s="4583"/>
      <c r="AC91" s="2126"/>
      <c r="AG91" s="2128"/>
    </row>
    <row r="92" spans="1:33" s="2127" customFormat="1" ht="30" customHeight="1">
      <c r="A92" s="2125"/>
      <c r="B92" s="4594"/>
      <c r="C92" s="4594"/>
      <c r="D92" s="4594"/>
      <c r="E92" s="4594"/>
      <c r="F92" s="4594"/>
      <c r="G92" s="4594"/>
      <c r="H92" s="4594"/>
      <c r="I92" s="4594"/>
      <c r="J92" s="4594"/>
      <c r="K92" s="4594"/>
      <c r="L92" s="4595"/>
      <c r="M92" s="4595"/>
      <c r="N92" s="4595"/>
      <c r="O92" s="4595"/>
      <c r="P92" s="4595"/>
      <c r="Q92" s="4605" t="s">
        <v>7805</v>
      </c>
      <c r="R92" s="4599" t="s">
        <v>7806</v>
      </c>
      <c r="S92" s="4600"/>
      <c r="T92" s="4600"/>
      <c r="U92" s="4600"/>
      <c r="V92" s="4600"/>
      <c r="W92" s="4600"/>
      <c r="X92" s="4600"/>
      <c r="Y92" s="4600"/>
      <c r="Z92" s="4583"/>
      <c r="AA92" s="4583"/>
      <c r="AB92" s="4583"/>
      <c r="AC92" s="2126"/>
      <c r="AG92" s="2128"/>
    </row>
    <row r="93" spans="1:33" s="2127" customFormat="1" ht="30" customHeight="1">
      <c r="A93" s="2125"/>
      <c r="B93" s="4594"/>
      <c r="C93" s="4594"/>
      <c r="D93" s="4594"/>
      <c r="E93" s="4594"/>
      <c r="F93" s="4594"/>
      <c r="G93" s="4594"/>
      <c r="H93" s="4594"/>
      <c r="I93" s="4594"/>
      <c r="J93" s="4594"/>
      <c r="K93" s="4594"/>
      <c r="L93" s="4595"/>
      <c r="M93" s="4595"/>
      <c r="N93" s="4595"/>
      <c r="O93" s="4595"/>
      <c r="P93" s="4595"/>
      <c r="Q93" s="4605"/>
      <c r="R93" s="4599"/>
      <c r="S93" s="4600"/>
      <c r="T93" s="4600"/>
      <c r="U93" s="4600"/>
      <c r="V93" s="4600"/>
      <c r="W93" s="4600"/>
      <c r="X93" s="4600"/>
      <c r="Y93" s="4600"/>
      <c r="Z93" s="4583"/>
      <c r="AA93" s="4583"/>
      <c r="AB93" s="4583"/>
      <c r="AC93" s="2126"/>
      <c r="AG93" s="2128"/>
    </row>
    <row r="94" spans="1:33" s="2127" customFormat="1" ht="30" customHeight="1">
      <c r="A94" s="2125"/>
      <c r="B94" s="4594"/>
      <c r="C94" s="4594"/>
      <c r="D94" s="4594"/>
      <c r="E94" s="4594"/>
      <c r="F94" s="4594"/>
      <c r="G94" s="4594"/>
      <c r="H94" s="4594"/>
      <c r="I94" s="4594"/>
      <c r="J94" s="4594"/>
      <c r="K94" s="4594"/>
      <c r="L94" s="4595"/>
      <c r="M94" s="4595"/>
      <c r="N94" s="4595"/>
      <c r="O94" s="4595"/>
      <c r="P94" s="4595"/>
      <c r="Q94" s="4606" t="s">
        <v>7807</v>
      </c>
      <c r="R94" s="4599"/>
      <c r="S94" s="4600"/>
      <c r="T94" s="4600"/>
      <c r="U94" s="4600"/>
      <c r="V94" s="4600"/>
      <c r="W94" s="4600"/>
      <c r="X94" s="4600"/>
      <c r="Y94" s="4600"/>
      <c r="Z94" s="4583"/>
      <c r="AA94" s="4583"/>
      <c r="AB94" s="4583"/>
      <c r="AC94" s="2126"/>
      <c r="AG94" s="2128"/>
    </row>
    <row r="95" spans="1:33" s="2127" customFormat="1" ht="30" customHeight="1">
      <c r="A95" s="2125"/>
      <c r="B95" s="4594"/>
      <c r="C95" s="4594"/>
      <c r="D95" s="4594"/>
      <c r="E95" s="4594"/>
      <c r="F95" s="4594"/>
      <c r="G95" s="4594"/>
      <c r="H95" s="4594"/>
      <c r="I95" s="4594"/>
      <c r="J95" s="4594"/>
      <c r="K95" s="4594"/>
      <c r="L95" s="4595"/>
      <c r="M95" s="4595"/>
      <c r="N95" s="4595"/>
      <c r="O95" s="4595"/>
      <c r="P95" s="4595"/>
      <c r="Q95" s="4605"/>
      <c r="R95" s="4599"/>
      <c r="S95" s="4600"/>
      <c r="T95" s="4600"/>
      <c r="U95" s="4600"/>
      <c r="V95" s="4600"/>
      <c r="W95" s="4600"/>
      <c r="X95" s="4600"/>
      <c r="Y95" s="4600"/>
      <c r="Z95" s="4583"/>
      <c r="AA95" s="4583"/>
      <c r="AB95" s="4583"/>
      <c r="AC95" s="2126"/>
      <c r="AG95" s="2128"/>
    </row>
    <row r="96" spans="1:33" s="2127" customFormat="1" ht="30" customHeight="1">
      <c r="A96" s="2125"/>
      <c r="B96" s="4594"/>
      <c r="C96" s="4594"/>
      <c r="D96" s="4594"/>
      <c r="E96" s="4594"/>
      <c r="F96" s="4594"/>
      <c r="G96" s="4594"/>
      <c r="H96" s="4594"/>
      <c r="I96" s="4594"/>
      <c r="J96" s="4594"/>
      <c r="K96" s="4594"/>
      <c r="L96" s="4595"/>
      <c r="M96" s="4595"/>
      <c r="N96" s="4595"/>
      <c r="O96" s="4595"/>
      <c r="P96" s="4595"/>
      <c r="Q96" s="4605" t="s">
        <v>7808</v>
      </c>
      <c r="R96" s="4599" t="s">
        <v>7809</v>
      </c>
      <c r="S96" s="4600"/>
      <c r="T96" s="4600"/>
      <c r="U96" s="4600"/>
      <c r="V96" s="4600"/>
      <c r="W96" s="4600"/>
      <c r="X96" s="4600"/>
      <c r="Y96" s="4600"/>
      <c r="Z96" s="4583"/>
      <c r="AA96" s="4583"/>
      <c r="AB96" s="4583"/>
      <c r="AC96" s="2126"/>
      <c r="AG96" s="2128"/>
    </row>
    <row r="97" spans="1:44" s="2127" customFormat="1" ht="30" customHeight="1">
      <c r="A97" s="2125"/>
      <c r="B97" s="4594"/>
      <c r="C97" s="4594"/>
      <c r="D97" s="4594"/>
      <c r="E97" s="4594"/>
      <c r="F97" s="4594"/>
      <c r="G97" s="4594"/>
      <c r="H97" s="4594"/>
      <c r="I97" s="4594"/>
      <c r="J97" s="4594"/>
      <c r="K97" s="4594"/>
      <c r="L97" s="4595"/>
      <c r="M97" s="4595"/>
      <c r="N97" s="4595"/>
      <c r="O97" s="4595"/>
      <c r="P97" s="4595"/>
      <c r="Q97" s="4592"/>
      <c r="R97" s="4600"/>
      <c r="S97" s="4600"/>
      <c r="T97" s="4600"/>
      <c r="U97" s="4600"/>
      <c r="V97" s="4600"/>
      <c r="W97" s="4600"/>
      <c r="X97" s="4600"/>
      <c r="Y97" s="4600"/>
      <c r="Z97" s="4583"/>
      <c r="AA97" s="4583"/>
      <c r="AB97" s="4583"/>
      <c r="AC97" s="2126"/>
      <c r="AG97" s="2128"/>
    </row>
    <row r="98" spans="1:44" s="2127" customFormat="1" ht="30" customHeight="1">
      <c r="A98" s="2125"/>
      <c r="B98" s="4594"/>
      <c r="C98" s="4594"/>
      <c r="D98" s="4594"/>
      <c r="E98" s="4594"/>
      <c r="F98" s="4594"/>
      <c r="G98" s="4594"/>
      <c r="H98" s="4594"/>
      <c r="I98" s="4594"/>
      <c r="J98" s="4594"/>
      <c r="K98" s="4594"/>
      <c r="L98" s="4595"/>
      <c r="M98" s="4595"/>
      <c r="N98" s="4595"/>
      <c r="O98" s="4595"/>
      <c r="P98" s="4595"/>
      <c r="Q98" s="4592"/>
      <c r="R98" s="4600"/>
      <c r="S98" s="4600"/>
      <c r="T98" s="4600"/>
      <c r="U98" s="4600"/>
      <c r="V98" s="4600"/>
      <c r="W98" s="4600"/>
      <c r="X98" s="4600"/>
      <c r="Y98" s="4600"/>
      <c r="Z98" s="4583"/>
      <c r="AA98" s="4583"/>
      <c r="AB98" s="4583"/>
      <c r="AC98" s="2126"/>
      <c r="AG98" s="2128"/>
    </row>
    <row r="99" spans="1:44" ht="40.5" customHeight="1">
      <c r="A99" s="639"/>
      <c r="B99" s="3034"/>
      <c r="C99" s="3025"/>
      <c r="D99" s="3025"/>
      <c r="E99" s="4591"/>
      <c r="F99" s="639"/>
      <c r="G99" s="639"/>
      <c r="H99" s="639"/>
      <c r="I99" s="640"/>
      <c r="J99" s="639"/>
      <c r="K99" s="639"/>
      <c r="L99" s="640"/>
      <c r="M99" s="640"/>
      <c r="N99" s="640"/>
      <c r="O99" s="640"/>
      <c r="P99" s="640"/>
      <c r="Q99" s="641"/>
      <c r="R99" s="641"/>
      <c r="S99" s="641"/>
      <c r="T99" s="641"/>
      <c r="U99" s="641"/>
      <c r="V99" s="641"/>
      <c r="W99" s="641"/>
      <c r="X99" s="641"/>
      <c r="Y99" s="641"/>
      <c r="Z99" s="639"/>
      <c r="AA99" s="639"/>
      <c r="AB99" s="641"/>
      <c r="AC99" s="641"/>
      <c r="AD99" s="443"/>
      <c r="AE99" s="443"/>
      <c r="AF99" s="443"/>
    </row>
    <row r="100" spans="1:44" s="443" customFormat="1" ht="30" customHeight="1">
      <c r="A100" s="639"/>
      <c r="B100" s="639"/>
      <c r="C100" s="639"/>
      <c r="D100" s="639"/>
      <c r="E100" s="639"/>
      <c r="F100" s="639"/>
      <c r="G100" s="639"/>
      <c r="H100" s="639"/>
      <c r="I100" s="639"/>
      <c r="J100" s="639"/>
      <c r="K100" s="639"/>
      <c r="L100" s="640"/>
      <c r="M100" s="640"/>
      <c r="N100" s="640"/>
      <c r="O100" s="640"/>
      <c r="P100" s="640"/>
      <c r="Q100" s="641"/>
      <c r="R100" s="641"/>
      <c r="S100" s="641"/>
      <c r="T100" s="641"/>
      <c r="U100" s="641"/>
      <c r="V100" s="641"/>
      <c r="W100" s="641"/>
      <c r="X100" s="641"/>
      <c r="Y100" s="641"/>
      <c r="Z100" s="641"/>
      <c r="AA100" s="641"/>
      <c r="AB100" s="641"/>
      <c r="AC100" s="641"/>
    </row>
    <row r="101" spans="1:44" ht="40.5" customHeight="1">
      <c r="A101" s="639"/>
      <c r="B101" s="2105" t="s">
        <v>1985</v>
      </c>
      <c r="C101" s="639"/>
      <c r="D101" s="639"/>
      <c r="E101" s="639"/>
      <c r="F101" s="639"/>
      <c r="G101" s="639"/>
      <c r="H101" s="639"/>
      <c r="I101" s="640"/>
      <c r="J101" s="639"/>
      <c r="K101" s="639"/>
      <c r="L101" s="640"/>
      <c r="M101" s="640"/>
      <c r="N101" s="640"/>
      <c r="O101" s="640"/>
      <c r="P101" s="640"/>
      <c r="Q101" s="2105" t="s">
        <v>1986</v>
      </c>
      <c r="R101" s="641"/>
      <c r="S101" s="641"/>
      <c r="T101" s="641"/>
      <c r="U101" s="641"/>
      <c r="V101" s="641"/>
      <c r="W101" s="641"/>
      <c r="X101" s="641"/>
      <c r="Y101" s="641"/>
      <c r="Z101" s="641"/>
      <c r="AA101" s="641"/>
      <c r="AB101" s="641"/>
      <c r="AC101" s="641"/>
      <c r="AD101" s="443"/>
      <c r="AE101" s="443"/>
      <c r="AF101" s="443"/>
      <c r="AG101" s="443"/>
      <c r="AH101" s="443"/>
      <c r="AI101" s="443"/>
      <c r="AJ101" s="443"/>
      <c r="AK101" s="443"/>
      <c r="AL101" s="443"/>
      <c r="AM101" s="443"/>
      <c r="AN101" s="443"/>
      <c r="AO101" s="443"/>
      <c r="AP101" s="443"/>
      <c r="AQ101" s="443"/>
      <c r="AR101" s="443"/>
    </row>
    <row r="102" spans="1:44" ht="40.5" customHeight="1">
      <c r="A102" s="639"/>
      <c r="B102" s="647"/>
      <c r="C102" s="2106" t="s">
        <v>1987</v>
      </c>
      <c r="D102" s="639"/>
      <c r="E102" s="2107" t="s">
        <v>587</v>
      </c>
      <c r="F102" s="640"/>
      <c r="G102" s="2108" t="s">
        <v>1988</v>
      </c>
      <c r="H102" s="639"/>
      <c r="I102" s="640"/>
      <c r="J102" s="644" t="s">
        <v>586</v>
      </c>
      <c r="K102" s="639"/>
      <c r="L102" s="640"/>
      <c r="M102" s="640"/>
      <c r="N102" s="640"/>
      <c r="O102" s="640"/>
      <c r="P102" s="640"/>
      <c r="Q102" s="2109" t="s">
        <v>1989</v>
      </c>
      <c r="R102" s="2110"/>
      <c r="S102" s="2111">
        <v>15.5</v>
      </c>
      <c r="T102" s="641"/>
      <c r="U102" s="2112">
        <v>15.5</v>
      </c>
      <c r="V102" s="641"/>
      <c r="W102" s="2113">
        <v>15.5</v>
      </c>
      <c r="X102" s="641"/>
      <c r="Y102" s="641"/>
      <c r="Z102" s="641"/>
      <c r="AA102" s="641"/>
      <c r="AB102" s="641"/>
      <c r="AC102" s="641"/>
      <c r="AD102" s="443"/>
      <c r="AE102" s="443"/>
      <c r="AF102" s="443"/>
      <c r="AG102" s="443"/>
      <c r="AH102" s="443"/>
      <c r="AI102" s="443"/>
      <c r="AJ102" s="443"/>
      <c r="AK102" s="443"/>
      <c r="AL102" s="443"/>
      <c r="AM102" s="443"/>
      <c r="AN102" s="443"/>
      <c r="AO102" s="443"/>
      <c r="AP102" s="443"/>
      <c r="AQ102" s="443"/>
      <c r="AR102" s="443"/>
    </row>
    <row r="103" spans="1:44" ht="40.5" customHeight="1">
      <c r="A103" s="639"/>
      <c r="B103" s="647"/>
      <c r="C103" s="2106" t="s">
        <v>589</v>
      </c>
      <c r="D103" s="639"/>
      <c r="E103" s="2107" t="s">
        <v>1990</v>
      </c>
      <c r="F103" s="640"/>
      <c r="G103" s="2108" t="s">
        <v>1991</v>
      </c>
      <c r="H103" s="639"/>
      <c r="I103" s="640"/>
      <c r="J103" s="644" t="s">
        <v>1992</v>
      </c>
      <c r="K103" s="639"/>
      <c r="L103" s="640"/>
      <c r="M103" s="640"/>
      <c r="N103" s="640"/>
      <c r="O103" s="640"/>
      <c r="P103" s="640"/>
      <c r="Q103" s="2114" t="s">
        <v>1993</v>
      </c>
      <c r="R103" s="2110"/>
      <c r="S103" s="2107" t="s">
        <v>1994</v>
      </c>
      <c r="T103" s="641"/>
      <c r="U103" s="2115" t="s">
        <v>1995</v>
      </c>
      <c r="V103" s="641"/>
      <c r="W103" s="2107" t="s">
        <v>1996</v>
      </c>
      <c r="X103" s="641"/>
      <c r="Y103" s="641"/>
      <c r="Z103" s="641"/>
      <c r="AA103" s="641"/>
      <c r="AB103" s="641"/>
      <c r="AC103" s="641"/>
      <c r="AD103" s="443"/>
      <c r="AE103" s="443"/>
      <c r="AF103" s="443"/>
      <c r="AG103" s="443"/>
      <c r="AH103" s="443"/>
      <c r="AI103" s="443"/>
      <c r="AJ103" s="443"/>
      <c r="AK103" s="443"/>
      <c r="AL103" s="443"/>
      <c r="AM103" s="443"/>
      <c r="AN103" s="443"/>
      <c r="AO103" s="443"/>
      <c r="AP103" s="443"/>
      <c r="AQ103" s="443"/>
      <c r="AR103" s="443"/>
    </row>
    <row r="104" spans="1:44" ht="40.5" customHeight="1">
      <c r="A104" s="639"/>
      <c r="B104" s="647"/>
      <c r="C104" s="639"/>
      <c r="D104" s="639"/>
      <c r="E104" s="639"/>
      <c r="F104" s="639"/>
      <c r="G104" s="639"/>
      <c r="H104" s="639"/>
      <c r="I104" s="640"/>
      <c r="J104" s="639"/>
      <c r="K104" s="639"/>
      <c r="L104" s="640"/>
      <c r="M104" s="640"/>
      <c r="N104" s="640"/>
      <c r="O104" s="640"/>
      <c r="P104" s="640"/>
      <c r="Q104" s="641"/>
      <c r="R104" s="641"/>
      <c r="S104" s="641"/>
      <c r="T104" s="641"/>
      <c r="U104" s="641"/>
      <c r="V104" s="641"/>
      <c r="W104" s="641"/>
      <c r="X104" s="641"/>
      <c r="Y104" s="641"/>
      <c r="Z104" s="641"/>
      <c r="AA104" s="641"/>
      <c r="AB104" s="641"/>
      <c r="AC104" s="641"/>
      <c r="AD104" s="443"/>
      <c r="AE104" s="443"/>
      <c r="AF104" s="443"/>
      <c r="AG104" s="443"/>
      <c r="AH104" s="443"/>
      <c r="AI104" s="443"/>
      <c r="AJ104" s="443"/>
      <c r="AK104" s="443"/>
      <c r="AL104" s="443"/>
      <c r="AM104" s="443"/>
      <c r="AN104" s="443"/>
      <c r="AO104" s="443"/>
      <c r="AP104" s="443"/>
      <c r="AQ104" s="443"/>
      <c r="AR104" s="443"/>
    </row>
    <row r="105" spans="1:44" ht="40.5" customHeight="1">
      <c r="A105" s="639"/>
      <c r="B105" s="2105" t="s">
        <v>1997</v>
      </c>
      <c r="C105" s="639"/>
      <c r="D105" s="639"/>
      <c r="E105" s="639"/>
      <c r="F105" s="639"/>
      <c r="G105" s="639"/>
      <c r="H105" s="639"/>
      <c r="I105" s="640"/>
      <c r="J105" s="639"/>
      <c r="K105" s="639"/>
      <c r="L105" s="640"/>
      <c r="M105" s="640"/>
      <c r="N105" s="640"/>
      <c r="O105" s="640"/>
      <c r="P105" s="640"/>
      <c r="Q105" s="641"/>
      <c r="R105" s="641"/>
      <c r="S105" s="641"/>
      <c r="T105" s="641"/>
      <c r="U105" s="641"/>
      <c r="V105" s="641"/>
      <c r="W105" s="641"/>
      <c r="X105" s="641"/>
      <c r="Y105" s="641"/>
      <c r="Z105" s="641"/>
      <c r="AA105" s="641"/>
      <c r="AB105" s="641"/>
      <c r="AC105" s="641"/>
      <c r="AD105" s="443"/>
      <c r="AE105" s="443"/>
      <c r="AF105" s="443"/>
      <c r="AG105" s="443"/>
      <c r="AH105" s="443"/>
      <c r="AI105" s="443"/>
      <c r="AJ105" s="443"/>
      <c r="AK105" s="443"/>
      <c r="AL105" s="443"/>
      <c r="AM105" s="443"/>
      <c r="AN105" s="443"/>
      <c r="AO105" s="443"/>
      <c r="AP105" s="443"/>
      <c r="AQ105" s="443"/>
      <c r="AR105" s="443"/>
    </row>
    <row r="106" spans="1:44" ht="40.5" customHeight="1">
      <c r="A106" s="639"/>
      <c r="B106" s="647"/>
      <c r="C106" s="2116" t="s">
        <v>1998</v>
      </c>
      <c r="D106" s="639"/>
      <c r="E106" s="639"/>
      <c r="F106" s="639"/>
      <c r="G106" s="639"/>
      <c r="H106" s="2117" t="s">
        <v>1999</v>
      </c>
      <c r="I106" s="2117"/>
      <c r="J106" s="639"/>
      <c r="K106" s="639"/>
      <c r="L106" s="640"/>
      <c r="M106" s="640"/>
      <c r="N106" s="640"/>
      <c r="O106" s="640"/>
      <c r="P106" s="2118" t="s">
        <v>2000</v>
      </c>
      <c r="Q106" s="2118"/>
      <c r="R106" s="641"/>
      <c r="S106" s="641"/>
      <c r="T106" s="641"/>
      <c r="U106" s="641"/>
      <c r="V106" s="2119" t="s">
        <v>2001</v>
      </c>
      <c r="W106" s="2119"/>
      <c r="X106" s="641"/>
      <c r="Y106" s="641"/>
      <c r="Z106" s="641"/>
      <c r="AA106" s="641"/>
      <c r="AB106" s="641"/>
      <c r="AC106" s="641"/>
      <c r="AD106" s="443"/>
      <c r="AE106" s="443"/>
      <c r="AF106" s="443"/>
      <c r="AG106" s="443"/>
      <c r="AH106" s="443"/>
      <c r="AI106" s="443"/>
      <c r="AJ106" s="443"/>
      <c r="AK106" s="443"/>
      <c r="AL106" s="443"/>
      <c r="AM106" s="443"/>
      <c r="AN106" s="443"/>
      <c r="AO106" s="443"/>
      <c r="AP106" s="443"/>
      <c r="AQ106" s="443"/>
      <c r="AR106" s="443"/>
    </row>
    <row r="107" spans="1:44" ht="40.5" customHeight="1">
      <c r="A107" s="639"/>
      <c r="B107" s="647"/>
      <c r="C107" s="2120" t="s">
        <v>2002</v>
      </c>
      <c r="D107" s="639"/>
      <c r="E107" s="639"/>
      <c r="F107" s="639"/>
      <c r="G107" s="639"/>
      <c r="H107" s="2121" t="s">
        <v>2003</v>
      </c>
      <c r="I107" s="2121"/>
      <c r="J107" s="639"/>
      <c r="K107" s="639"/>
      <c r="L107" s="640"/>
      <c r="M107" s="640"/>
      <c r="N107" s="640"/>
      <c r="O107" s="640"/>
      <c r="P107" s="2122" t="s">
        <v>2004</v>
      </c>
      <c r="Q107" s="2122"/>
      <c r="R107" s="641"/>
      <c r="S107" s="641"/>
      <c r="T107" s="641"/>
      <c r="U107" s="641"/>
      <c r="V107" s="2123" t="s">
        <v>2005</v>
      </c>
      <c r="W107" s="2123"/>
      <c r="X107" s="641"/>
      <c r="Y107" s="641"/>
      <c r="Z107" s="641"/>
      <c r="AA107" s="641"/>
      <c r="AB107" s="641"/>
      <c r="AC107" s="641"/>
      <c r="AD107" s="443"/>
      <c r="AE107" s="443"/>
      <c r="AF107" s="443"/>
      <c r="AG107" s="443"/>
      <c r="AH107" s="443"/>
      <c r="AI107" s="443"/>
      <c r="AJ107" s="443"/>
      <c r="AK107" s="443"/>
      <c r="AL107" s="443"/>
      <c r="AM107" s="443"/>
      <c r="AN107" s="443"/>
      <c r="AO107" s="443"/>
      <c r="AP107" s="443"/>
      <c r="AQ107" s="443"/>
      <c r="AR107" s="443"/>
    </row>
    <row r="108" spans="1:44" ht="40.5" customHeight="1">
      <c r="A108" s="639"/>
      <c r="B108" s="647"/>
      <c r="C108" s="2124" t="s">
        <v>2006</v>
      </c>
      <c r="D108" s="639"/>
      <c r="E108" s="639"/>
      <c r="F108" s="639"/>
      <c r="G108" s="639"/>
      <c r="H108" s="639"/>
      <c r="I108" s="640"/>
      <c r="J108" s="639"/>
      <c r="K108" s="639"/>
      <c r="L108" s="640"/>
      <c r="M108" s="640"/>
      <c r="N108" s="640"/>
      <c r="O108" s="640"/>
      <c r="P108" s="640"/>
      <c r="Q108" s="641"/>
      <c r="R108" s="641"/>
      <c r="S108" s="641"/>
      <c r="T108" s="641"/>
      <c r="U108" s="641"/>
      <c r="V108" s="641"/>
      <c r="W108" s="641"/>
      <c r="X108" s="641"/>
      <c r="Y108" s="641"/>
      <c r="Z108" s="641"/>
      <c r="AA108" s="641"/>
      <c r="AB108" s="641"/>
      <c r="AC108" s="641"/>
      <c r="AD108" s="443"/>
      <c r="AE108" s="443"/>
      <c r="AF108" s="443"/>
      <c r="AG108" s="443"/>
      <c r="AH108" s="443"/>
      <c r="AI108" s="443"/>
      <c r="AJ108" s="443"/>
      <c r="AK108" s="443"/>
      <c r="AL108" s="443"/>
      <c r="AM108" s="443"/>
      <c r="AN108" s="443"/>
      <c r="AO108" s="443"/>
      <c r="AP108" s="443"/>
      <c r="AQ108" s="443"/>
      <c r="AR108" s="443"/>
    </row>
    <row r="109" spans="1:44" s="2128" customFormat="1" ht="40.5" customHeight="1">
      <c r="A109" s="2125"/>
      <c r="B109" s="2105" t="s">
        <v>2959</v>
      </c>
      <c r="C109" s="2125"/>
      <c r="D109" s="2125"/>
      <c r="E109" s="2125"/>
      <c r="F109" s="2125"/>
      <c r="G109" s="2125"/>
      <c r="H109" s="2125"/>
      <c r="I109" s="2293"/>
      <c r="J109" s="2125"/>
      <c r="K109" s="2125"/>
      <c r="L109" s="2293"/>
      <c r="M109" s="2293"/>
      <c r="N109" s="2293"/>
      <c r="O109" s="2293"/>
      <c r="P109" s="2293"/>
      <c r="Q109" s="2126"/>
      <c r="R109" s="2126"/>
      <c r="S109" s="2126"/>
      <c r="T109" s="2126"/>
      <c r="U109" s="2126"/>
      <c r="V109" s="2126"/>
      <c r="W109" s="2126"/>
      <c r="X109" s="2126"/>
      <c r="Y109" s="2126"/>
      <c r="Z109" s="2126"/>
      <c r="AA109" s="2126"/>
      <c r="AB109" s="2126"/>
      <c r="AC109" s="2126"/>
      <c r="AD109" s="443"/>
      <c r="AE109" s="443"/>
      <c r="AF109" s="443"/>
      <c r="AG109" s="443"/>
    </row>
    <row r="110" spans="1:44" s="2128" customFormat="1" ht="40.5" customHeight="1">
      <c r="A110" s="2125"/>
      <c r="B110" s="2129"/>
      <c r="C110" s="2971" t="s">
        <v>55</v>
      </c>
      <c r="D110" s="2972" t="s">
        <v>44</v>
      </c>
      <c r="E110" s="2973" t="s">
        <v>46</v>
      </c>
      <c r="F110" s="2974" t="s">
        <v>457</v>
      </c>
      <c r="G110" s="2975" t="s">
        <v>469</v>
      </c>
      <c r="H110" s="2976" t="s">
        <v>464</v>
      </c>
      <c r="I110" s="2977" t="s">
        <v>461</v>
      </c>
      <c r="J110" s="2978" t="s">
        <v>455</v>
      </c>
      <c r="K110" s="2979" t="s">
        <v>467</v>
      </c>
      <c r="L110" s="2980" t="s">
        <v>459</v>
      </c>
      <c r="M110" s="2981" t="s">
        <v>601</v>
      </c>
      <c r="N110" s="2982" t="s">
        <v>600</v>
      </c>
      <c r="O110" s="2983" t="s">
        <v>599</v>
      </c>
      <c r="P110" s="2974" t="s">
        <v>598</v>
      </c>
      <c r="Q110" s="2984" t="s">
        <v>639</v>
      </c>
      <c r="R110" s="2985" t="s">
        <v>638</v>
      </c>
      <c r="S110" s="2986" t="s">
        <v>637</v>
      </c>
      <c r="T110" s="2987" t="s">
        <v>636</v>
      </c>
      <c r="U110" s="2988" t="s">
        <v>633</v>
      </c>
      <c r="V110" s="2973" t="s">
        <v>632</v>
      </c>
      <c r="W110" s="2126"/>
      <c r="X110" s="2126"/>
      <c r="Y110" s="2126"/>
      <c r="Z110" s="2126"/>
      <c r="AA110" s="2126"/>
      <c r="AB110" s="2126"/>
      <c r="AC110" s="2126"/>
      <c r="AD110" s="443"/>
      <c r="AE110" s="443"/>
      <c r="AF110" s="443"/>
      <c r="AG110" s="443"/>
    </row>
    <row r="111" spans="1:44" s="2128" customFormat="1" ht="40.5" customHeight="1">
      <c r="A111" s="2125"/>
      <c r="B111" s="2129"/>
      <c r="C111" s="2125"/>
      <c r="D111" s="2125"/>
      <c r="E111" s="2125"/>
      <c r="F111" s="2125"/>
      <c r="G111" s="2125"/>
      <c r="H111" s="2125"/>
      <c r="I111" s="2293"/>
      <c r="J111" s="2125"/>
      <c r="K111" s="2125"/>
      <c r="L111" s="2293"/>
      <c r="M111" s="2293"/>
      <c r="N111" s="2293"/>
      <c r="O111" s="2293"/>
      <c r="P111" s="2293"/>
      <c r="Q111" s="2126"/>
      <c r="R111" s="2126"/>
      <c r="S111" s="2126"/>
      <c r="T111" s="2126"/>
      <c r="U111" s="2126"/>
      <c r="V111" s="2126"/>
      <c r="W111" s="2126"/>
      <c r="X111" s="2126"/>
      <c r="Y111" s="2126"/>
      <c r="Z111" s="2126"/>
      <c r="AA111" s="2126"/>
      <c r="AB111" s="2126"/>
      <c r="AC111" s="2126"/>
      <c r="AD111" s="443"/>
      <c r="AE111" s="443"/>
      <c r="AF111" s="443"/>
      <c r="AG111" s="443"/>
    </row>
    <row r="112" spans="1:44" s="2128" customFormat="1" ht="40.5" customHeight="1">
      <c r="A112" s="2125"/>
      <c r="B112" s="2129"/>
      <c r="C112" s="2989" t="s">
        <v>55</v>
      </c>
      <c r="D112" s="2989" t="s">
        <v>44</v>
      </c>
      <c r="E112" s="2989" t="s">
        <v>46</v>
      </c>
      <c r="F112" s="2989" t="s">
        <v>457</v>
      </c>
      <c r="G112" s="2989" t="s">
        <v>469</v>
      </c>
      <c r="H112" s="2989" t="s">
        <v>464</v>
      </c>
      <c r="I112" s="2989" t="s">
        <v>461</v>
      </c>
      <c r="J112" s="2989" t="s">
        <v>455</v>
      </c>
      <c r="K112" s="2989" t="s">
        <v>467</v>
      </c>
      <c r="L112" s="2989" t="s">
        <v>459</v>
      </c>
      <c r="M112" s="2989" t="s">
        <v>601</v>
      </c>
      <c r="N112" s="2989" t="s">
        <v>600</v>
      </c>
      <c r="O112" s="2989" t="s">
        <v>599</v>
      </c>
      <c r="P112" s="2989" t="s">
        <v>598</v>
      </c>
      <c r="Q112" s="2989" t="s">
        <v>639</v>
      </c>
      <c r="R112" s="2989" t="s">
        <v>638</v>
      </c>
      <c r="S112" s="2989" t="s">
        <v>637</v>
      </c>
      <c r="T112" s="2989" t="s">
        <v>636</v>
      </c>
      <c r="U112" s="2989" t="s">
        <v>633</v>
      </c>
      <c r="V112" s="2989" t="s">
        <v>632</v>
      </c>
      <c r="W112" s="2126"/>
      <c r="X112" s="2126"/>
      <c r="Y112" s="2126"/>
      <c r="Z112" s="2126"/>
      <c r="AA112" s="2126"/>
      <c r="AB112" s="2126"/>
      <c r="AC112" s="2126"/>
      <c r="AD112" s="443"/>
      <c r="AE112" s="443"/>
      <c r="AF112" s="443"/>
      <c r="AG112" s="443"/>
    </row>
    <row r="113" spans="1:33" s="2128" customFormat="1" ht="40.5" customHeight="1">
      <c r="A113" s="2125"/>
      <c r="B113" s="2129"/>
      <c r="C113" s="2125"/>
      <c r="D113" s="2125"/>
      <c r="E113" s="2125"/>
      <c r="F113" s="2125"/>
      <c r="G113" s="2125"/>
      <c r="H113" s="2125"/>
      <c r="I113" s="2293"/>
      <c r="J113" s="2125"/>
      <c r="K113" s="2125"/>
      <c r="L113" s="2293"/>
      <c r="M113" s="2293"/>
      <c r="N113" s="2293"/>
      <c r="O113" s="2293"/>
      <c r="P113" s="2293"/>
      <c r="Q113" s="2126"/>
      <c r="R113" s="2126"/>
      <c r="S113" s="2126"/>
      <c r="T113" s="2126"/>
      <c r="U113" s="2126"/>
      <c r="V113" s="2126"/>
      <c r="W113" s="2126"/>
      <c r="X113" s="2126"/>
      <c r="Y113" s="2126"/>
      <c r="Z113" s="2126"/>
      <c r="AA113" s="2126"/>
      <c r="AB113" s="2126"/>
      <c r="AC113" s="2126"/>
      <c r="AD113" s="443"/>
      <c r="AE113" s="443"/>
      <c r="AF113" s="443"/>
      <c r="AG113" s="443"/>
    </row>
    <row r="114" spans="1:33" s="2128" customFormat="1" ht="40.5" customHeight="1">
      <c r="A114" s="2125"/>
      <c r="B114" s="2129"/>
      <c r="C114" s="2990">
        <v>1</v>
      </c>
      <c r="D114" s="2990" t="s">
        <v>2960</v>
      </c>
      <c r="E114" s="2990" t="s">
        <v>2961</v>
      </c>
      <c r="F114" s="2990" t="s">
        <v>2962</v>
      </c>
      <c r="G114" s="2990" t="s">
        <v>2963</v>
      </c>
      <c r="H114" s="2990" t="s">
        <v>2964</v>
      </c>
      <c r="I114" s="2990" t="s">
        <v>2965</v>
      </c>
      <c r="J114" s="2990" t="s">
        <v>2966</v>
      </c>
      <c r="K114" s="2990" t="s">
        <v>2967</v>
      </c>
      <c r="L114" s="2990" t="s">
        <v>2968</v>
      </c>
      <c r="M114" s="2990" t="s">
        <v>2969</v>
      </c>
      <c r="N114" s="2990" t="s">
        <v>2970</v>
      </c>
      <c r="O114" s="2990" t="s">
        <v>2971</v>
      </c>
      <c r="P114" s="2990" t="s">
        <v>2972</v>
      </c>
      <c r="Q114" s="2990" t="s">
        <v>2973</v>
      </c>
      <c r="R114" s="2990" t="s">
        <v>2974</v>
      </c>
      <c r="S114" s="2990" t="s">
        <v>2975</v>
      </c>
      <c r="T114" s="2990" t="s">
        <v>2976</v>
      </c>
      <c r="U114" s="2990" t="s">
        <v>2977</v>
      </c>
      <c r="V114" s="2990" t="s">
        <v>2978</v>
      </c>
      <c r="W114" s="2126"/>
      <c r="X114" s="2126"/>
      <c r="Y114" s="2126"/>
      <c r="Z114" s="2126"/>
      <c r="AA114" s="2126"/>
      <c r="AB114" s="2126"/>
      <c r="AC114" s="2126"/>
      <c r="AD114" s="443"/>
      <c r="AE114" s="443"/>
      <c r="AF114" s="443"/>
      <c r="AG114" s="443"/>
    </row>
    <row r="115" spans="1:33" s="2128" customFormat="1" ht="40.5" customHeight="1">
      <c r="A115" s="2125"/>
      <c r="B115" s="2129"/>
      <c r="C115" s="2125"/>
      <c r="D115" s="2125"/>
      <c r="E115" s="2125"/>
      <c r="F115" s="2125"/>
      <c r="G115" s="2125"/>
      <c r="H115" s="2125"/>
      <c r="I115" s="2293"/>
      <c r="J115" s="2125"/>
      <c r="K115" s="2125"/>
      <c r="L115" s="2293"/>
      <c r="M115" s="2293"/>
      <c r="N115" s="2293"/>
      <c r="O115" s="2293"/>
      <c r="P115" s="2293"/>
      <c r="Q115" s="2126"/>
      <c r="R115" s="2126"/>
      <c r="S115" s="2126"/>
      <c r="T115" s="2126"/>
      <c r="U115" s="2126"/>
      <c r="V115" s="2126"/>
      <c r="W115" s="2126"/>
      <c r="X115" s="2126"/>
      <c r="Y115" s="2126"/>
      <c r="Z115" s="2126"/>
      <c r="AA115" s="2126"/>
      <c r="AB115" s="2126"/>
      <c r="AC115" s="2126"/>
      <c r="AD115" s="443"/>
      <c r="AE115" s="443"/>
      <c r="AF115" s="443"/>
      <c r="AG115" s="443"/>
    </row>
    <row r="116" spans="1:33" s="2128" customFormat="1" ht="40.5" customHeight="1">
      <c r="A116" s="2125"/>
      <c r="B116" s="2129"/>
      <c r="C116" s="2991">
        <v>1</v>
      </c>
      <c r="D116" s="2992">
        <v>2</v>
      </c>
      <c r="E116" s="2991">
        <v>3</v>
      </c>
      <c r="F116" s="2992">
        <v>4</v>
      </c>
      <c r="G116" s="2991">
        <v>5</v>
      </c>
      <c r="H116" s="2992">
        <v>6</v>
      </c>
      <c r="I116" s="2991">
        <v>7</v>
      </c>
      <c r="J116" s="2992">
        <v>8</v>
      </c>
      <c r="K116" s="2991">
        <v>9</v>
      </c>
      <c r="L116" s="2992">
        <v>10</v>
      </c>
      <c r="M116" s="2991">
        <v>11</v>
      </c>
      <c r="N116" s="2992">
        <v>12</v>
      </c>
      <c r="O116" s="2991">
        <v>13</v>
      </c>
      <c r="P116" s="2992">
        <v>14</v>
      </c>
      <c r="Q116" s="2991">
        <v>15</v>
      </c>
      <c r="R116" s="2992">
        <v>16</v>
      </c>
      <c r="S116" s="2991">
        <v>17</v>
      </c>
      <c r="T116" s="2992">
        <v>18</v>
      </c>
      <c r="U116" s="2991">
        <v>19</v>
      </c>
      <c r="V116" s="2992">
        <v>20</v>
      </c>
      <c r="W116" s="2126"/>
      <c r="X116" s="2126"/>
      <c r="Y116" s="2126"/>
      <c r="Z116" s="2126"/>
      <c r="AA116" s="2126"/>
      <c r="AB116" s="2126"/>
      <c r="AC116" s="2126"/>
      <c r="AD116" s="443"/>
      <c r="AE116" s="443"/>
      <c r="AF116" s="443"/>
      <c r="AG116" s="443"/>
    </row>
    <row r="117" spans="1:33" s="2128" customFormat="1" ht="40.5" customHeight="1">
      <c r="A117" s="2125"/>
      <c r="B117" s="2129"/>
      <c r="C117" s="2125"/>
      <c r="D117" s="2125"/>
      <c r="E117" s="2125"/>
      <c r="F117" s="2125"/>
      <c r="G117" s="2125"/>
      <c r="H117" s="2125"/>
      <c r="I117" s="2293"/>
      <c r="J117" s="2125"/>
      <c r="K117" s="2125"/>
      <c r="L117" s="2293"/>
      <c r="M117" s="2293"/>
      <c r="N117" s="2293"/>
      <c r="O117" s="2293"/>
      <c r="P117" s="2293"/>
      <c r="Q117" s="2126"/>
      <c r="R117" s="2126"/>
      <c r="S117" s="2126"/>
      <c r="T117" s="2126"/>
      <c r="U117" s="2126"/>
      <c r="V117" s="2126"/>
      <c r="W117" s="2126"/>
      <c r="X117" s="2126"/>
      <c r="Y117" s="2126"/>
      <c r="Z117" s="2126"/>
      <c r="AA117" s="2126"/>
      <c r="AB117" s="2126"/>
      <c r="AC117" s="2126"/>
      <c r="AD117" s="443"/>
      <c r="AE117" s="443"/>
      <c r="AF117" s="443"/>
      <c r="AG117" s="443"/>
    </row>
    <row r="118" spans="1:33" s="2128" customFormat="1" ht="40.5" customHeight="1">
      <c r="A118" s="2125"/>
      <c r="B118" s="2129"/>
      <c r="C118" s="2993" t="s">
        <v>2222</v>
      </c>
      <c r="D118" s="2282"/>
      <c r="E118" s="2282"/>
      <c r="F118" s="2282"/>
      <c r="G118" s="2293"/>
      <c r="H118" s="2293"/>
      <c r="I118" s="2293"/>
      <c r="J118" s="2293"/>
      <c r="K118" s="2293"/>
      <c r="L118" s="2994" t="s">
        <v>2223</v>
      </c>
      <c r="M118" s="2293"/>
      <c r="N118" s="2293"/>
      <c r="O118" s="2293"/>
      <c r="P118" s="2293"/>
      <c r="Q118" s="2126"/>
      <c r="R118" s="2281"/>
      <c r="S118" s="2126"/>
      <c r="T118" s="2126"/>
      <c r="U118" s="2126"/>
      <c r="V118" s="2126"/>
      <c r="W118" s="2126"/>
      <c r="X118" s="2126"/>
      <c r="Y118" s="2126"/>
      <c r="Z118" s="2126"/>
      <c r="AA118" s="2126"/>
      <c r="AB118" s="2126"/>
      <c r="AC118" s="2126"/>
      <c r="AD118" s="443"/>
      <c r="AE118" s="443"/>
      <c r="AF118" s="443"/>
      <c r="AG118" s="443"/>
    </row>
    <row r="119" spans="1:33" s="2128" customFormat="1" ht="40.5" customHeight="1">
      <c r="A119" s="2125"/>
      <c r="B119" s="2129"/>
      <c r="C119" s="2995" t="s">
        <v>2979</v>
      </c>
      <c r="D119" s="2282"/>
      <c r="E119" s="2282"/>
      <c r="F119" s="2282"/>
      <c r="G119" s="2281"/>
      <c r="H119" s="2283"/>
      <c r="I119" s="2282"/>
      <c r="J119" s="2282"/>
      <c r="K119" s="2125"/>
      <c r="L119" s="2293"/>
      <c r="M119" s="2293"/>
      <c r="N119" s="2293"/>
      <c r="O119" s="2293"/>
      <c r="P119" s="2293"/>
      <c r="Q119" s="2126"/>
      <c r="R119" s="2126"/>
      <c r="S119" s="2126"/>
      <c r="T119" s="2126"/>
      <c r="U119" s="2126"/>
      <c r="V119" s="2126"/>
      <c r="W119" s="2126"/>
      <c r="X119" s="2126"/>
      <c r="Y119" s="2126"/>
      <c r="Z119" s="2126"/>
      <c r="AA119" s="2126"/>
      <c r="AB119" s="2126"/>
      <c r="AC119" s="2126"/>
      <c r="AD119" s="443"/>
      <c r="AE119" s="443"/>
      <c r="AF119" s="443"/>
      <c r="AG119" s="443"/>
    </row>
    <row r="120" spans="1:33" s="2128" customFormat="1" ht="40.5" customHeight="1">
      <c r="A120" s="2125"/>
      <c r="B120" s="2129"/>
      <c r="C120" s="2996" t="s">
        <v>2224</v>
      </c>
      <c r="D120" s="2282"/>
      <c r="E120" s="2282"/>
      <c r="F120" s="2282"/>
      <c r="G120" s="2281"/>
      <c r="H120" s="2283"/>
      <c r="I120" s="2282"/>
      <c r="J120" s="2282"/>
      <c r="K120" s="2125"/>
      <c r="L120" s="2293"/>
      <c r="M120" s="2293"/>
      <c r="N120" s="2293"/>
      <c r="O120" s="2293"/>
      <c r="P120" s="2293"/>
      <c r="Q120" s="2126"/>
      <c r="R120" s="2126"/>
      <c r="S120" s="2126"/>
      <c r="T120" s="2126"/>
      <c r="U120" s="2126"/>
      <c r="V120" s="2126"/>
      <c r="W120" s="2126"/>
      <c r="X120" s="2126"/>
      <c r="Y120" s="2126"/>
      <c r="Z120" s="2126"/>
      <c r="AA120" s="2126"/>
      <c r="AB120" s="2126"/>
      <c r="AC120" s="2126"/>
      <c r="AD120" s="443"/>
      <c r="AE120" s="443"/>
      <c r="AF120" s="443"/>
      <c r="AG120" s="443"/>
    </row>
    <row r="121" spans="1:33" s="2128" customFormat="1" ht="40.5" customHeight="1">
      <c r="A121" s="2125"/>
      <c r="B121" s="2129"/>
      <c r="C121" s="2125"/>
      <c r="D121" s="2125"/>
      <c r="E121" s="2125"/>
      <c r="F121" s="2125"/>
      <c r="G121" s="2125"/>
      <c r="H121" s="2125"/>
      <c r="I121" s="2293"/>
      <c r="J121" s="2125"/>
      <c r="K121" s="2125"/>
      <c r="L121" s="2293"/>
      <c r="M121" s="2293"/>
      <c r="N121" s="2293"/>
      <c r="O121" s="2293"/>
      <c r="P121" s="2293"/>
      <c r="Q121" s="2126"/>
      <c r="R121" s="2126"/>
      <c r="S121" s="2126"/>
      <c r="T121" s="2126"/>
      <c r="U121" s="2126"/>
      <c r="V121" s="2126"/>
      <c r="W121" s="2126"/>
      <c r="X121" s="2126"/>
      <c r="Y121" s="2126"/>
      <c r="Z121" s="2126"/>
      <c r="AA121" s="2126"/>
      <c r="AB121" s="2126"/>
      <c r="AC121" s="2126"/>
      <c r="AD121" s="443"/>
      <c r="AE121" s="443"/>
      <c r="AF121" s="443"/>
      <c r="AG121" s="443"/>
    </row>
    <row r="122" spans="1:33" s="2128" customFormat="1" ht="40.5" customHeight="1">
      <c r="A122" s="2125"/>
      <c r="B122" s="2105" t="s">
        <v>2980</v>
      </c>
      <c r="C122" s="2125"/>
      <c r="D122" s="2125"/>
      <c r="E122" s="2125"/>
      <c r="F122" s="2125"/>
      <c r="G122" s="2125"/>
      <c r="H122" s="2125"/>
      <c r="I122" s="2293"/>
      <c r="J122" s="2125"/>
      <c r="K122" s="2125"/>
      <c r="L122" s="2293"/>
      <c r="M122" s="2293"/>
      <c r="N122" s="2293"/>
      <c r="O122" s="2293"/>
      <c r="P122" s="2293"/>
      <c r="Q122" s="2126"/>
      <c r="R122" s="2105"/>
      <c r="S122" s="2105"/>
      <c r="T122" s="2126"/>
      <c r="U122" s="2126"/>
      <c r="V122" s="2126"/>
      <c r="W122" s="2126"/>
      <c r="X122" s="2126"/>
      <c r="Y122" s="2126"/>
      <c r="Z122" s="2126"/>
      <c r="AA122" s="2126"/>
      <c r="AB122" s="2126"/>
      <c r="AC122" s="2126"/>
      <c r="AD122" s="443"/>
      <c r="AE122" s="443"/>
      <c r="AF122" s="443"/>
      <c r="AG122" s="443"/>
    </row>
    <row r="123" spans="1:33" s="2128" customFormat="1" ht="40.5" customHeight="1">
      <c r="A123" s="2125"/>
      <c r="B123" s="2997" t="s">
        <v>1984</v>
      </c>
      <c r="C123" s="2997" t="s">
        <v>2007</v>
      </c>
      <c r="D123" s="2997" t="s">
        <v>2008</v>
      </c>
      <c r="E123" s="2997" t="s">
        <v>2009</v>
      </c>
      <c r="F123" s="2997" t="s">
        <v>2010</v>
      </c>
      <c r="G123" s="2997" t="s">
        <v>682</v>
      </c>
      <c r="H123" s="2997" t="s">
        <v>78</v>
      </c>
      <c r="I123" s="2997" t="s">
        <v>2011</v>
      </c>
      <c r="J123" s="2997" t="s">
        <v>2012</v>
      </c>
      <c r="K123" s="2997" t="s">
        <v>2013</v>
      </c>
      <c r="L123" s="2997" t="s">
        <v>2014</v>
      </c>
      <c r="M123" s="2997" t="s">
        <v>2015</v>
      </c>
      <c r="N123" s="2997" t="s">
        <v>2016</v>
      </c>
      <c r="O123" s="2997" t="s">
        <v>2017</v>
      </c>
      <c r="P123" s="2997" t="s">
        <v>2018</v>
      </c>
      <c r="Q123" s="2997" t="s">
        <v>2019</v>
      </c>
      <c r="R123" s="2997" t="s">
        <v>2981</v>
      </c>
      <c r="S123" s="2997" t="s">
        <v>2982</v>
      </c>
      <c r="T123" s="2997" t="s">
        <v>2983</v>
      </c>
      <c r="U123" s="2997" t="s">
        <v>2984</v>
      </c>
      <c r="V123" s="2997"/>
      <c r="W123" s="2997"/>
      <c r="X123" s="2997"/>
      <c r="Y123" s="2997"/>
      <c r="Z123" s="2997"/>
      <c r="AA123" s="2997"/>
      <c r="AB123" s="2126"/>
      <c r="AC123" s="2126"/>
      <c r="AD123" s="443"/>
      <c r="AE123" s="443"/>
      <c r="AF123" s="443"/>
      <c r="AG123" s="443"/>
    </row>
    <row r="124" spans="1:33" s="2128" customFormat="1" ht="40.5" customHeight="1">
      <c r="A124" s="2125"/>
      <c r="B124" s="2105"/>
      <c r="C124" s="2125"/>
      <c r="D124" s="2125"/>
      <c r="E124" s="2125"/>
      <c r="F124" s="2125"/>
      <c r="G124" s="2125"/>
      <c r="H124" s="2125"/>
      <c r="I124" s="2293"/>
      <c r="J124" s="2125"/>
      <c r="K124" s="2125"/>
      <c r="L124" s="2293"/>
      <c r="M124" s="2293"/>
      <c r="N124" s="2293"/>
      <c r="O124" s="2293"/>
      <c r="P124" s="2293"/>
      <c r="Q124" s="2126"/>
      <c r="R124" s="2105"/>
      <c r="S124" s="2998"/>
      <c r="T124" s="2997"/>
      <c r="U124" s="2997"/>
      <c r="V124" s="2997"/>
      <c r="W124" s="2997"/>
      <c r="X124" s="2997"/>
      <c r="Y124" s="2997"/>
      <c r="Z124" s="2997"/>
      <c r="AA124" s="2997"/>
      <c r="AB124" s="2126"/>
      <c r="AC124" s="2126"/>
      <c r="AD124" s="443"/>
      <c r="AE124" s="443"/>
      <c r="AF124" s="443"/>
      <c r="AG124" s="443"/>
    </row>
    <row r="125" spans="1:33" s="2128" customFormat="1" ht="40.5" customHeight="1">
      <c r="A125" s="2125"/>
      <c r="B125" s="2129"/>
      <c r="C125" s="2999" t="s">
        <v>612</v>
      </c>
      <c r="D125" s="3000"/>
      <c r="E125" s="2126"/>
      <c r="F125" s="3001" t="s">
        <v>2985</v>
      </c>
      <c r="G125" s="3002"/>
      <c r="H125" s="3002"/>
      <c r="I125" s="3002"/>
      <c r="J125" s="3002"/>
      <c r="K125" s="3002"/>
      <c r="L125" s="3002"/>
      <c r="M125" s="2126"/>
      <c r="N125" s="2126"/>
      <c r="O125" s="2293"/>
      <c r="P125" s="2293"/>
      <c r="Q125" s="2126"/>
      <c r="R125" s="2126"/>
      <c r="S125" s="2998"/>
      <c r="T125" s="2997"/>
      <c r="U125" s="2997"/>
      <c r="V125" s="2997"/>
      <c r="W125" s="2997"/>
      <c r="X125" s="2997"/>
      <c r="Y125" s="2997"/>
      <c r="Z125" s="2997"/>
      <c r="AA125" s="2997"/>
      <c r="AB125" s="2126"/>
      <c r="AC125" s="2126"/>
      <c r="AD125" s="443"/>
      <c r="AE125" s="443"/>
      <c r="AF125" s="443"/>
      <c r="AG125" s="443"/>
    </row>
    <row r="126" spans="1:33" s="2128" customFormat="1" ht="40.5" customHeight="1">
      <c r="A126" s="2125"/>
      <c r="B126" s="2129"/>
      <c r="C126" s="3003">
        <v>3</v>
      </c>
      <c r="D126" s="3000"/>
      <c r="E126" s="2125"/>
      <c r="F126" s="2125"/>
      <c r="G126" s="2125"/>
      <c r="H126" s="2293"/>
      <c r="I126" s="2293"/>
      <c r="J126" s="2293"/>
      <c r="K126" s="2293"/>
      <c r="L126" s="2293"/>
      <c r="M126" s="2293"/>
      <c r="N126" s="2293"/>
      <c r="O126" s="2293"/>
      <c r="P126" s="2293"/>
      <c r="Q126" s="2126"/>
      <c r="R126" s="2126"/>
      <c r="S126" s="2998"/>
      <c r="T126" s="2997"/>
      <c r="U126" s="2997"/>
      <c r="V126" s="2997"/>
      <c r="W126" s="2997"/>
      <c r="X126" s="2997"/>
      <c r="Y126" s="2997"/>
      <c r="Z126" s="2997"/>
      <c r="AA126" s="2997"/>
      <c r="AB126" s="2126"/>
      <c r="AC126" s="2126"/>
      <c r="AD126" s="443"/>
      <c r="AE126" s="443"/>
      <c r="AF126" s="443"/>
      <c r="AG126" s="443"/>
    </row>
    <row r="127" spans="1:33" s="2128" customFormat="1" ht="40.5" customHeight="1">
      <c r="A127" s="2125"/>
      <c r="B127" s="2129"/>
      <c r="C127" s="2125"/>
      <c r="D127" s="2125"/>
      <c r="E127" s="2125"/>
      <c r="F127" s="2125"/>
      <c r="G127" s="2125"/>
      <c r="H127" s="3004" t="s">
        <v>2986</v>
      </c>
      <c r="I127" s="3005"/>
      <c r="J127" s="3005"/>
      <c r="K127" s="2125"/>
      <c r="L127" s="2293"/>
      <c r="M127" s="2293"/>
      <c r="N127" s="3006" t="s">
        <v>603</v>
      </c>
      <c r="O127" s="3007" t="s">
        <v>602</v>
      </c>
      <c r="P127" s="3008" t="s">
        <v>594</v>
      </c>
      <c r="Q127" s="2126"/>
      <c r="R127" s="2126"/>
      <c r="S127" s="2998"/>
      <c r="T127" s="2997"/>
      <c r="U127" s="2997"/>
      <c r="V127" s="2997"/>
      <c r="W127" s="2997"/>
      <c r="X127" s="2997"/>
      <c r="Y127" s="2997"/>
      <c r="Z127" s="2997"/>
      <c r="AA127" s="2997"/>
      <c r="AB127" s="2126"/>
      <c r="AC127" s="2126"/>
      <c r="AD127" s="443"/>
      <c r="AE127" s="443"/>
      <c r="AF127" s="443"/>
      <c r="AG127" s="443"/>
    </row>
    <row r="128" spans="1:33" s="2128" customFormat="1" ht="40.5" customHeight="1">
      <c r="A128" s="2125"/>
      <c r="B128" s="2129"/>
      <c r="C128" s="3009" t="s">
        <v>611</v>
      </c>
      <c r="D128" s="2125"/>
      <c r="E128" s="3010"/>
      <c r="F128" s="2125"/>
      <c r="G128" s="2125"/>
      <c r="H128" s="2786" t="s">
        <v>609</v>
      </c>
      <c r="I128" s="2786" t="s">
        <v>608</v>
      </c>
      <c r="J128" s="2786" t="s">
        <v>605</v>
      </c>
      <c r="K128" s="2997" t="s">
        <v>2987</v>
      </c>
      <c r="L128" s="2126"/>
      <c r="M128" s="2126"/>
      <c r="N128" s="3009" t="s">
        <v>2988</v>
      </c>
      <c r="O128" s="2126"/>
      <c r="P128" s="2126"/>
      <c r="Q128" s="2126"/>
      <c r="R128" s="2126"/>
      <c r="S128" s="2998"/>
      <c r="T128" s="2997"/>
      <c r="U128" s="2997"/>
      <c r="V128" s="2997"/>
      <c r="W128" s="2997"/>
      <c r="X128" s="2997"/>
      <c r="Y128" s="2997"/>
      <c r="Z128" s="2997"/>
      <c r="AA128" s="2997"/>
      <c r="AB128" s="2126"/>
      <c r="AC128" s="2126"/>
      <c r="AD128" s="443"/>
      <c r="AE128" s="443"/>
      <c r="AF128" s="443"/>
      <c r="AG128" s="443"/>
    </row>
    <row r="129" spans="1:44" s="2128" customFormat="1" ht="40.5" customHeight="1">
      <c r="A129" s="2125"/>
      <c r="B129" s="2129"/>
      <c r="C129" s="3009" t="s">
        <v>590</v>
      </c>
      <c r="D129" s="2125"/>
      <c r="E129" s="3010"/>
      <c r="F129" s="2125"/>
      <c r="G129" s="2125"/>
      <c r="H129" s="2786" t="s">
        <v>607</v>
      </c>
      <c r="I129" s="2786" t="s">
        <v>606</v>
      </c>
      <c r="J129" s="2786" t="s">
        <v>604</v>
      </c>
      <c r="K129" s="2997" t="s">
        <v>2989</v>
      </c>
      <c r="L129" s="2293"/>
      <c r="M129" s="2293"/>
      <c r="N129" s="3006" t="s">
        <v>597</v>
      </c>
      <c r="O129" s="3007" t="s">
        <v>473</v>
      </c>
      <c r="P129" s="3007" t="s">
        <v>593</v>
      </c>
      <c r="Q129" s="2126"/>
      <c r="R129" s="2126"/>
      <c r="S129" s="2998"/>
      <c r="T129" s="2997"/>
      <c r="U129" s="2997"/>
      <c r="V129" s="2997"/>
      <c r="W129" s="2997"/>
      <c r="X129" s="2997"/>
      <c r="Y129" s="2997"/>
      <c r="Z129" s="2997"/>
      <c r="AA129" s="2997"/>
      <c r="AB129" s="2126"/>
      <c r="AC129" s="2126"/>
      <c r="AD129" s="443"/>
      <c r="AE129" s="443"/>
      <c r="AF129" s="443"/>
      <c r="AG129" s="443"/>
    </row>
    <row r="130" spans="1:44" s="2128" customFormat="1" ht="40.5" customHeight="1">
      <c r="A130" s="2125"/>
      <c r="B130" s="2129"/>
      <c r="C130" s="3009"/>
      <c r="D130" s="2125"/>
      <c r="E130" s="3009"/>
      <c r="F130" s="3011"/>
      <c r="G130" s="3009"/>
      <c r="H130" s="3009"/>
      <c r="I130" s="2125"/>
      <c r="J130" s="2125"/>
      <c r="K130" s="2125"/>
      <c r="L130" s="2125"/>
      <c r="M130" s="2125"/>
      <c r="N130" s="2125"/>
      <c r="O130" s="2125"/>
      <c r="P130" s="2126"/>
      <c r="Q130" s="2126"/>
      <c r="R130" s="2126"/>
      <c r="S130" s="2998"/>
      <c r="T130" s="2997"/>
      <c r="U130" s="2997"/>
      <c r="V130" s="2997"/>
      <c r="W130" s="2997"/>
      <c r="X130" s="2997"/>
      <c r="Y130" s="2997"/>
      <c r="Z130" s="2997"/>
      <c r="AA130" s="2997"/>
      <c r="AB130" s="2126"/>
      <c r="AC130" s="2126"/>
      <c r="AD130" s="443"/>
      <c r="AE130" s="443"/>
      <c r="AF130" s="443"/>
      <c r="AG130" s="443"/>
    </row>
    <row r="131" spans="1:44" s="2128" customFormat="1" ht="39.950000000000003" customHeight="1">
      <c r="A131" s="2125"/>
      <c r="B131" s="2292"/>
      <c r="C131" s="2131"/>
      <c r="D131" s="2133"/>
      <c r="E131" s="2133"/>
      <c r="F131" s="2133"/>
      <c r="G131" s="2133"/>
      <c r="H131" s="2133"/>
      <c r="I131" s="2133"/>
      <c r="J131" s="2133"/>
      <c r="K131" s="2133"/>
      <c r="L131" s="2293"/>
      <c r="M131" s="2293"/>
      <c r="N131" s="2293"/>
      <c r="O131" s="2293"/>
      <c r="P131" s="2293"/>
      <c r="Q131" s="2126"/>
      <c r="R131" s="2126"/>
      <c r="S131" s="2126"/>
      <c r="T131" s="2126"/>
      <c r="U131" s="2126"/>
      <c r="V131" s="2126"/>
      <c r="W131" s="2126"/>
      <c r="X131" s="2126"/>
      <c r="Y131" s="2126"/>
      <c r="Z131" s="2126"/>
      <c r="AA131" s="2126"/>
      <c r="AB131" s="2126"/>
      <c r="AC131" s="2126"/>
      <c r="AD131" s="443"/>
      <c r="AE131" s="443"/>
      <c r="AF131" s="443"/>
      <c r="AG131" s="443"/>
    </row>
    <row r="132" spans="1:44" s="2127" customFormat="1" ht="39.950000000000003" customHeight="1">
      <c r="A132" s="2125"/>
      <c r="B132" s="2292"/>
      <c r="C132" s="2294" t="s">
        <v>365</v>
      </c>
      <c r="D132" s="2295" t="s">
        <v>655</v>
      </c>
      <c r="E132" s="2295"/>
      <c r="F132" s="2295"/>
      <c r="G132" s="2295"/>
      <c r="H132" s="2295"/>
      <c r="I132" s="2295"/>
      <c r="J132" s="2295"/>
      <c r="K132" s="2295"/>
      <c r="L132" s="2295"/>
      <c r="M132" s="2295"/>
      <c r="N132" s="2126"/>
      <c r="O132" s="2126"/>
      <c r="P132" s="2126"/>
      <c r="Q132" s="2126"/>
      <c r="R132" s="2126"/>
      <c r="S132" s="2126"/>
      <c r="T132" s="2126"/>
      <c r="U132" s="2126"/>
      <c r="V132" s="2126"/>
      <c r="W132" s="2126"/>
      <c r="X132" s="2126"/>
      <c r="Y132" s="2126"/>
      <c r="Z132" s="2126"/>
      <c r="AA132" s="2126"/>
      <c r="AB132" s="2126"/>
      <c r="AC132" s="2126"/>
      <c r="AD132" s="443"/>
      <c r="AE132" s="443"/>
      <c r="AF132" s="443"/>
      <c r="AG132" s="443"/>
    </row>
    <row r="133" spans="1:44" s="2127" customFormat="1" ht="39.950000000000003" customHeight="1">
      <c r="A133" s="2125"/>
      <c r="B133" s="2292"/>
      <c r="C133" s="2296" t="s">
        <v>2241</v>
      </c>
      <c r="D133" s="2296"/>
      <c r="E133" s="2126"/>
      <c r="F133" s="2126"/>
      <c r="G133" s="2126"/>
      <c r="H133" s="2126"/>
      <c r="I133" s="2126"/>
      <c r="J133" s="2126"/>
      <c r="K133" s="2126"/>
      <c r="L133" s="2126"/>
      <c r="M133" s="2126"/>
      <c r="N133" s="2126"/>
      <c r="O133" s="2126"/>
      <c r="P133" s="2126"/>
      <c r="Q133" s="2126"/>
      <c r="R133" s="2126"/>
      <c r="S133" s="2126"/>
      <c r="T133" s="2126"/>
      <c r="U133" s="2126"/>
      <c r="V133" s="2126"/>
      <c r="W133" s="2126"/>
      <c r="X133" s="2126"/>
      <c r="Y133" s="2126"/>
      <c r="Z133" s="2126"/>
      <c r="AA133" s="2126"/>
      <c r="AB133" s="2126"/>
      <c r="AC133" s="2126"/>
      <c r="AD133" s="443"/>
      <c r="AE133" s="443"/>
      <c r="AF133" s="443"/>
      <c r="AG133" s="443"/>
    </row>
    <row r="134" spans="1:44" s="2128" customFormat="1" ht="36.75" customHeight="1">
      <c r="A134" s="2125"/>
      <c r="B134" s="2292"/>
      <c r="C134" s="2131"/>
      <c r="D134" s="2133"/>
      <c r="E134" s="2133"/>
      <c r="F134" s="2133"/>
      <c r="G134" s="2133"/>
      <c r="H134" s="2133"/>
      <c r="I134" s="2133"/>
      <c r="J134" s="2133"/>
      <c r="K134" s="2133"/>
      <c r="L134" s="2293"/>
      <c r="M134" s="2293"/>
      <c r="N134" s="2293"/>
      <c r="O134" s="2777" t="str">
        <f>_xlfn.UNICHAR(HEX2DEC("1F511"))</f>
        <v>🔑</v>
      </c>
      <c r="P134" s="2777" t="str">
        <f>_xlfn.UNICHAR(HEX2DEC("1F513"))</f>
        <v>🔓</v>
      </c>
      <c r="Q134" s="2777" t="str">
        <f>_xlfn.UNICHAR(HEX2DEC("1F302"))</f>
        <v>🌂</v>
      </c>
      <c r="R134" s="2775" t="s">
        <v>2758</v>
      </c>
      <c r="S134" s="2126"/>
      <c r="T134" s="2126"/>
      <c r="U134" s="2126"/>
      <c r="V134" s="2126"/>
      <c r="W134" s="2126"/>
      <c r="X134" s="2126"/>
      <c r="Y134" s="2126"/>
      <c r="Z134" s="2126"/>
      <c r="AA134" s="2126"/>
      <c r="AB134" s="2126"/>
      <c r="AC134" s="2126"/>
      <c r="AD134" s="443"/>
      <c r="AE134" s="443"/>
      <c r="AF134" s="443"/>
      <c r="AG134" s="443"/>
    </row>
    <row r="135" spans="1:44" s="2128" customFormat="1" ht="36.75" customHeight="1">
      <c r="A135" s="2125"/>
      <c r="B135" s="2292"/>
      <c r="C135" s="2131"/>
      <c r="D135" s="2133"/>
      <c r="E135" s="2133"/>
      <c r="F135" s="2133"/>
      <c r="G135" s="2133"/>
      <c r="H135" s="2133"/>
      <c r="I135" s="2133"/>
      <c r="J135" s="2133"/>
      <c r="K135" s="2133"/>
      <c r="L135" s="2293"/>
      <c r="M135" s="2293"/>
      <c r="N135" s="2293"/>
      <c r="O135" s="2778" t="str">
        <f>_xlfn.UNICHAR(HEX2DEC("1F413"))</f>
        <v>🐓</v>
      </c>
      <c r="P135" s="2779" t="str">
        <f>_xlfn.UNICHAR(HEX2DEC("1F411"))</f>
        <v>🐑</v>
      </c>
      <c r="Q135" s="2780" t="str">
        <f>+_xlfn.UNICHAR(HEX2DEC("1F414"))</f>
        <v>🐔</v>
      </c>
      <c r="R135" s="2776" t="s">
        <v>2759</v>
      </c>
      <c r="S135" s="2313"/>
      <c r="T135" s="2313"/>
      <c r="U135" s="2126"/>
      <c r="V135" s="2126"/>
      <c r="W135" s="2126"/>
      <c r="X135" s="2126"/>
      <c r="Y135" s="2126"/>
      <c r="Z135" s="2126"/>
      <c r="AA135" s="2126"/>
      <c r="AB135" s="2126"/>
      <c r="AC135" s="2126"/>
      <c r="AD135" s="443"/>
      <c r="AE135" s="443"/>
      <c r="AF135" s="443"/>
      <c r="AG135" s="443"/>
    </row>
    <row r="136" spans="1:44" s="2128" customFormat="1" ht="36.75" customHeight="1">
      <c r="A136" s="2125"/>
      <c r="B136" s="2292"/>
      <c r="C136" s="2131"/>
      <c r="D136" s="2133"/>
      <c r="E136" s="2133"/>
      <c r="F136" s="2133"/>
      <c r="G136" s="2133"/>
      <c r="H136" s="2133"/>
      <c r="I136" s="2133"/>
      <c r="J136" s="2133"/>
      <c r="K136" s="2133"/>
      <c r="L136" s="2293"/>
      <c r="M136" s="2293"/>
      <c r="N136" s="2293"/>
      <c r="O136" s="2781" t="str">
        <f>_xlfn.UNICHAR(HEX2DEC("1F514"))</f>
        <v>🔔</v>
      </c>
      <c r="P136" s="2782" t="str">
        <f>_xlfn.UNICHAR(HEX2DEC("1F302"))</f>
        <v>🌂</v>
      </c>
      <c r="Q136" s="2777"/>
      <c r="R136" s="2776" t="s">
        <v>2760</v>
      </c>
      <c r="S136" s="2313"/>
      <c r="T136" s="2126"/>
      <c r="U136" s="2126"/>
      <c r="V136" s="2126"/>
      <c r="W136" s="2126"/>
      <c r="X136" s="2126"/>
      <c r="Y136" s="2126"/>
      <c r="Z136" s="2126"/>
      <c r="AA136" s="2126"/>
      <c r="AB136" s="2126"/>
      <c r="AC136" s="2126"/>
      <c r="AD136" s="443"/>
      <c r="AE136" s="443"/>
      <c r="AF136" s="443"/>
      <c r="AG136" s="443"/>
    </row>
    <row r="137" spans="1:44" s="2128" customFormat="1" ht="36.75" customHeight="1">
      <c r="A137" s="2125"/>
      <c r="B137" s="2292"/>
      <c r="C137" s="2131"/>
      <c r="D137" s="2133"/>
      <c r="E137" s="2133"/>
      <c r="F137" s="2133"/>
      <c r="G137" s="2133"/>
      <c r="H137" s="2133"/>
      <c r="I137" s="2133"/>
      <c r="J137" s="2133"/>
      <c r="K137" s="2133"/>
      <c r="L137" s="2293"/>
      <c r="M137" s="2293"/>
      <c r="N137" s="2313"/>
      <c r="O137" s="2313"/>
      <c r="P137" s="2313"/>
      <c r="Q137" s="2313"/>
      <c r="R137" s="2313"/>
      <c r="S137" s="2313"/>
      <c r="T137" s="2126"/>
      <c r="U137" s="2126"/>
      <c r="V137" s="2126"/>
      <c r="W137" s="2126"/>
      <c r="X137" s="2126"/>
      <c r="Y137" s="2126"/>
      <c r="Z137" s="2126"/>
      <c r="AA137" s="2126"/>
      <c r="AB137" s="2126"/>
      <c r="AC137" s="2126"/>
      <c r="AD137" s="443"/>
      <c r="AE137" s="443"/>
      <c r="AF137" s="443"/>
      <c r="AG137" s="443"/>
    </row>
    <row r="138" spans="1:44" s="2127" customFormat="1" ht="39.950000000000003" customHeight="1">
      <c r="A138" s="2125"/>
      <c r="B138" s="2306" t="s">
        <v>2247</v>
      </c>
      <c r="C138" s="2125"/>
      <c r="D138" s="2125"/>
      <c r="E138" s="2125"/>
      <c r="F138" s="2125"/>
      <c r="G138" s="2125"/>
      <c r="H138" s="2125"/>
      <c r="I138" s="2125"/>
      <c r="J138" s="2125"/>
      <c r="K138" s="2125"/>
      <c r="L138" s="2125"/>
      <c r="M138" s="2125"/>
      <c r="N138" s="2125"/>
      <c r="O138" s="2125"/>
      <c r="P138" s="2125"/>
      <c r="Q138" s="2125"/>
      <c r="R138" s="2125"/>
      <c r="S138" s="2126"/>
      <c r="T138" s="2126"/>
      <c r="U138" s="2126"/>
      <c r="V138" s="2126"/>
      <c r="W138" s="2126"/>
      <c r="X138" s="2126"/>
      <c r="Y138" s="2126"/>
      <c r="Z138" s="2126"/>
      <c r="AA138" s="2126"/>
      <c r="AB138" s="2126"/>
      <c r="AC138" s="2126"/>
      <c r="AD138" s="443"/>
      <c r="AE138" s="443"/>
      <c r="AF138" s="443"/>
      <c r="AG138" s="443"/>
    </row>
    <row r="139" spans="1:44" s="2127" customFormat="1" ht="39.950000000000003" customHeight="1">
      <c r="A139" s="2125"/>
      <c r="B139" s="2307" t="s">
        <v>2248</v>
      </c>
      <c r="C139" s="2125"/>
      <c r="D139" s="2125"/>
      <c r="E139" s="2125"/>
      <c r="F139" s="2125"/>
      <c r="G139" s="2125"/>
      <c r="H139" s="2125"/>
      <c r="I139" s="2125"/>
      <c r="J139" s="2125"/>
      <c r="K139" s="2125"/>
      <c r="L139" s="2125"/>
      <c r="M139" s="2125"/>
      <c r="N139" s="2125"/>
      <c r="O139" s="2125"/>
      <c r="P139" s="2125"/>
      <c r="Q139" s="2125"/>
      <c r="R139" s="2125"/>
      <c r="S139" s="2126"/>
      <c r="T139" s="2126"/>
      <c r="U139" s="2126"/>
      <c r="V139" s="2126"/>
      <c r="W139" s="2126"/>
      <c r="X139" s="2126"/>
      <c r="Y139" s="2126"/>
      <c r="Z139" s="2126"/>
      <c r="AA139" s="2126"/>
      <c r="AB139" s="2126"/>
      <c r="AC139" s="2126"/>
      <c r="AD139" s="443"/>
      <c r="AE139" s="443"/>
      <c r="AF139" s="443"/>
      <c r="AG139" s="443"/>
    </row>
    <row r="140" spans="1:44" s="2128" customFormat="1" ht="39.950000000000003" customHeight="1">
      <c r="A140" s="2125"/>
      <c r="B140" s="2308" t="s">
        <v>1983</v>
      </c>
      <c r="C140" s="2309"/>
      <c r="D140" s="2125"/>
      <c r="E140" s="2125"/>
      <c r="F140" s="2125"/>
      <c r="G140" s="2125"/>
      <c r="H140" s="2125"/>
      <c r="I140" s="2293"/>
      <c r="J140" s="2125"/>
      <c r="K140" s="2125"/>
      <c r="L140" s="2293"/>
      <c r="M140" s="2293"/>
      <c r="N140" s="2293"/>
      <c r="O140" s="2293"/>
      <c r="P140" s="2293"/>
      <c r="Q140" s="2126"/>
      <c r="R140" s="2126"/>
      <c r="S140" s="2126"/>
      <c r="T140" s="2126"/>
      <c r="U140" s="2126"/>
      <c r="V140" s="2126"/>
      <c r="W140" s="2310"/>
      <c r="X140" s="2126"/>
      <c r="Y140" s="2311"/>
      <c r="Z140" s="2126"/>
      <c r="AA140" s="2126"/>
      <c r="AB140" s="2126"/>
      <c r="AC140" s="2126"/>
      <c r="AD140" s="443"/>
      <c r="AE140" s="443"/>
      <c r="AF140" s="443"/>
      <c r="AG140" s="443"/>
      <c r="AH140" s="2127"/>
      <c r="AI140" s="2127"/>
      <c r="AJ140" s="2127"/>
      <c r="AK140" s="2127"/>
      <c r="AL140" s="2127"/>
      <c r="AM140" s="2127"/>
      <c r="AN140" s="2127"/>
      <c r="AO140" s="2127"/>
      <c r="AP140" s="2127"/>
      <c r="AQ140" s="2127"/>
      <c r="AR140" s="2127"/>
    </row>
    <row r="141" spans="1:44" s="2128" customFormat="1" ht="39.950000000000003" customHeight="1">
      <c r="A141" s="2125"/>
      <c r="B141" s="2129"/>
      <c r="C141" s="2125"/>
      <c r="D141" s="2125"/>
      <c r="E141" s="2125"/>
      <c r="F141" s="2125"/>
      <c r="G141" s="2125"/>
      <c r="H141" s="2125"/>
      <c r="I141" s="2293"/>
      <c r="J141" s="2125"/>
      <c r="K141" s="2125"/>
      <c r="L141" s="2293"/>
      <c r="M141" s="2293"/>
      <c r="N141" s="2293"/>
      <c r="O141" s="2293"/>
      <c r="P141" s="2293"/>
      <c r="Q141" s="2126"/>
      <c r="R141" s="2126"/>
      <c r="S141" s="2126"/>
      <c r="T141" s="2126"/>
      <c r="U141" s="2126"/>
      <c r="V141" s="2126"/>
      <c r="W141" s="2126"/>
      <c r="X141" s="2126"/>
      <c r="Y141" s="2126"/>
      <c r="Z141" s="2126"/>
      <c r="AA141" s="2126"/>
      <c r="AB141" s="2126"/>
      <c r="AC141" s="2126"/>
      <c r="AD141" s="443"/>
      <c r="AE141" s="443"/>
      <c r="AF141" s="443"/>
      <c r="AG141" s="443"/>
      <c r="AH141" s="2127"/>
      <c r="AI141" s="2127"/>
      <c r="AJ141" s="2127"/>
      <c r="AK141" s="2127"/>
      <c r="AL141" s="2127"/>
      <c r="AM141" s="2127"/>
      <c r="AN141" s="2127"/>
      <c r="AO141" s="2127"/>
      <c r="AP141" s="2127"/>
      <c r="AQ141" s="2127"/>
      <c r="AR141" s="2127"/>
    </row>
    <row r="142" spans="1:44" s="2128" customFormat="1" ht="39.950000000000003" customHeight="1">
      <c r="A142" s="2125"/>
      <c r="B142" s="2105" t="s">
        <v>2020</v>
      </c>
      <c r="C142" s="2131"/>
      <c r="D142" s="2131"/>
      <c r="E142" s="2131"/>
      <c r="F142" s="2131"/>
      <c r="G142" s="2131"/>
      <c r="H142" s="2132"/>
      <c r="I142" s="2132"/>
      <c r="J142" s="2132"/>
      <c r="K142" s="2132"/>
      <c r="L142" s="2312"/>
      <c r="M142" s="2312"/>
      <c r="N142" s="2313"/>
      <c r="O142" s="2313"/>
      <c r="P142" s="2313"/>
      <c r="Q142" s="2126"/>
      <c r="R142" s="2126"/>
      <c r="S142" s="2126"/>
      <c r="T142" s="2126"/>
      <c r="U142" s="2126"/>
      <c r="V142" s="2126"/>
      <c r="W142" s="2126"/>
      <c r="X142" s="2126"/>
      <c r="Y142" s="2126"/>
      <c r="Z142" s="2126"/>
      <c r="AA142" s="2126"/>
      <c r="AB142" s="2126"/>
      <c r="AC142" s="2126"/>
      <c r="AD142" s="443"/>
      <c r="AE142" s="443"/>
      <c r="AF142" s="443"/>
      <c r="AG142" s="443"/>
    </row>
    <row r="143" spans="1:44" s="2128" customFormat="1" ht="39.950000000000003" customHeight="1">
      <c r="A143" s="2125"/>
      <c r="B143" s="2131" t="s">
        <v>2021</v>
      </c>
      <c r="C143" s="2131"/>
      <c r="D143" s="2131"/>
      <c r="E143" s="2131"/>
      <c r="F143" s="2131"/>
      <c r="G143" s="2131"/>
      <c r="H143" s="2131"/>
      <c r="I143" s="2131"/>
      <c r="J143" s="2131"/>
      <c r="K143" s="2131"/>
      <c r="L143" s="2293"/>
      <c r="M143" s="2293"/>
      <c r="N143" s="2293"/>
      <c r="O143" s="2293"/>
      <c r="P143" s="2293"/>
      <c r="Q143" s="2126"/>
      <c r="R143" s="2126"/>
      <c r="S143" s="2126"/>
      <c r="T143" s="2126"/>
      <c r="U143" s="2126"/>
      <c r="V143" s="2126"/>
      <c r="W143" s="2126"/>
      <c r="X143" s="2126"/>
      <c r="Y143" s="2126"/>
      <c r="Z143" s="2126"/>
      <c r="AA143" s="2126"/>
      <c r="AB143" s="2126"/>
      <c r="AC143" s="2126"/>
      <c r="AD143" s="443"/>
      <c r="AE143" s="443"/>
      <c r="AF143" s="443"/>
      <c r="AG143" s="443"/>
    </row>
    <row r="144" spans="1:44" s="2128" customFormat="1" ht="39.950000000000003" customHeight="1">
      <c r="A144" s="2294" t="s">
        <v>365</v>
      </c>
      <c r="B144" s="2131"/>
      <c r="C144" s="4645" t="s">
        <v>2022</v>
      </c>
      <c r="D144" s="4645"/>
      <c r="E144" s="4645"/>
      <c r="F144" s="4645"/>
      <c r="G144" s="4645"/>
      <c r="H144" s="4645"/>
      <c r="I144" s="4645"/>
      <c r="J144" s="4645"/>
      <c r="K144" s="4645"/>
      <c r="L144" s="2293"/>
      <c r="M144" s="2293"/>
      <c r="N144" s="2293"/>
      <c r="O144" s="2293"/>
      <c r="P144" s="2293"/>
      <c r="Q144" s="2126"/>
      <c r="R144" s="2126"/>
      <c r="S144" s="2126"/>
      <c r="T144" s="2126"/>
      <c r="U144" s="2126"/>
      <c r="V144" s="2126"/>
      <c r="W144" s="2126"/>
      <c r="X144" s="2126"/>
      <c r="Y144" s="2126"/>
      <c r="Z144" s="2126"/>
      <c r="AA144" s="2126"/>
      <c r="AB144" s="2126"/>
      <c r="AC144" s="2126"/>
      <c r="AD144" s="443"/>
      <c r="AE144" s="443"/>
      <c r="AF144" s="443"/>
      <c r="AG144" s="443"/>
    </row>
    <row r="145" spans="1:44" s="2128" customFormat="1" ht="39.950000000000003" customHeight="1">
      <c r="A145" s="2294" t="s">
        <v>2249</v>
      </c>
      <c r="B145" s="4645" t="s">
        <v>2023</v>
      </c>
      <c r="C145" s="4645"/>
      <c r="D145" s="4645"/>
      <c r="E145" s="4645"/>
      <c r="F145" s="4645"/>
      <c r="G145" s="4645"/>
      <c r="H145" s="4645"/>
      <c r="I145" s="4645"/>
      <c r="J145" s="4645"/>
      <c r="K145" s="4645"/>
      <c r="L145" s="4645"/>
      <c r="M145" s="4645"/>
      <c r="N145" s="4645"/>
      <c r="O145" s="4645"/>
      <c r="P145" s="4645"/>
      <c r="Q145" s="4645"/>
      <c r="R145" s="4645"/>
      <c r="S145" s="4645"/>
      <c r="T145" s="4645"/>
      <c r="U145" s="4645"/>
      <c r="V145" s="4645"/>
      <c r="W145" s="2126"/>
      <c r="X145" s="2126"/>
      <c r="Y145" s="2126"/>
      <c r="Z145" s="2126"/>
      <c r="AA145" s="2126"/>
      <c r="AB145" s="2126"/>
      <c r="AC145" s="2126"/>
      <c r="AD145" s="443"/>
      <c r="AE145" s="443"/>
      <c r="AF145" s="443"/>
      <c r="AG145" s="443"/>
    </row>
    <row r="146" spans="1:44" s="2128" customFormat="1" ht="39.950000000000003" customHeight="1">
      <c r="A146" s="2125"/>
      <c r="B146" s="2129"/>
      <c r="C146" s="2125"/>
      <c r="D146" s="2125"/>
      <c r="E146" s="2125"/>
      <c r="F146" s="2125"/>
      <c r="G146" s="2125"/>
      <c r="H146" s="2125"/>
      <c r="I146" s="2293"/>
      <c r="J146" s="2125"/>
      <c r="K146" s="2125"/>
      <c r="L146" s="2293"/>
      <c r="M146" s="2293"/>
      <c r="N146" s="2293"/>
      <c r="O146" s="2293"/>
      <c r="P146" s="2293"/>
      <c r="Q146" s="2126"/>
      <c r="R146" s="2126"/>
      <c r="S146" s="2126"/>
      <c r="T146" s="2126"/>
      <c r="U146" s="2126"/>
      <c r="V146" s="2126"/>
      <c r="W146" s="2126"/>
      <c r="X146" s="2126"/>
      <c r="Y146" s="2126"/>
      <c r="Z146" s="2126"/>
      <c r="AA146" s="2126"/>
      <c r="AB146" s="2126"/>
      <c r="AC146" s="2126"/>
      <c r="AD146" s="443"/>
      <c r="AE146" s="443"/>
      <c r="AF146" s="443"/>
      <c r="AG146" s="443"/>
      <c r="AH146" s="2127"/>
      <c r="AI146" s="2127"/>
      <c r="AJ146" s="2127"/>
      <c r="AK146" s="2127"/>
      <c r="AL146" s="2127"/>
      <c r="AM146" s="2127"/>
      <c r="AN146" s="2127"/>
      <c r="AO146" s="2127"/>
      <c r="AP146" s="2127"/>
      <c r="AQ146" s="2127"/>
      <c r="AR146" s="2127"/>
    </row>
    <row r="147" spans="1:44" s="443" customFormat="1" ht="12.75"/>
    <row r="148" spans="1:44" s="443" customFormat="1" ht="12.75"/>
    <row r="149" spans="1:44" s="443" customFormat="1" ht="12.75"/>
    <row r="150" spans="1:44" s="443" customFormat="1" ht="12.75"/>
    <row r="151" spans="1:44" s="443" customFormat="1" ht="12.75"/>
    <row r="152" spans="1:44" s="443" customFormat="1" ht="12.75"/>
    <row r="153" spans="1:44" s="443" customFormat="1" ht="12.75"/>
    <row r="154" spans="1:44" s="443" customFormat="1" ht="12.75"/>
    <row r="155" spans="1:44" s="443" customFormat="1" ht="12.75"/>
    <row r="156" spans="1:44" s="443" customFormat="1" ht="12.75"/>
    <row r="157" spans="1:44" s="443" customFormat="1" ht="12.75"/>
    <row r="158" spans="1:44" s="443" customFormat="1" ht="12.75"/>
    <row r="159" spans="1:44" s="443" customFormat="1" ht="12.75"/>
    <row r="160" spans="1:44" s="443" customFormat="1" ht="12.75"/>
    <row r="161" s="443" customFormat="1" ht="12.75"/>
    <row r="162" s="443" customFormat="1" ht="12.75"/>
    <row r="163" s="443" customFormat="1" ht="12.75"/>
    <row r="164" s="443" customFormat="1" ht="12.75"/>
    <row r="165" s="443" customFormat="1" ht="12.75"/>
    <row r="166" s="443" customFormat="1" ht="12.75"/>
    <row r="167" s="443" customFormat="1" ht="12.75"/>
    <row r="168" s="443" customFormat="1" ht="12.75"/>
    <row r="169" s="443" customFormat="1" ht="12.75"/>
    <row r="170" s="443" customFormat="1" ht="12.75"/>
    <row r="171" s="443" customFormat="1" ht="12.75"/>
    <row r="172" s="443" customFormat="1" ht="12.75"/>
    <row r="173" s="443" customFormat="1" ht="12.75"/>
    <row r="174" s="443" customFormat="1" ht="12.75"/>
    <row r="175" s="443" customFormat="1" ht="12.75"/>
    <row r="176" s="443" customFormat="1" ht="12.75"/>
    <row r="177" s="443" customFormat="1" ht="12.75"/>
    <row r="178" s="443" customFormat="1" ht="12.75"/>
    <row r="179" s="443" customFormat="1" ht="12.75"/>
    <row r="180" s="443" customFormat="1" ht="12.75"/>
    <row r="181" s="443" customFormat="1" ht="12.75"/>
    <row r="182" s="443" customFormat="1" ht="12.75"/>
    <row r="183" s="443" customFormat="1" ht="12.75"/>
    <row r="184" s="443" customFormat="1" ht="12.75"/>
    <row r="185" s="443" customFormat="1" ht="12.75"/>
    <row r="186" s="443" customFormat="1" ht="12.75"/>
    <row r="187" s="443" customFormat="1" ht="12.75"/>
    <row r="188" s="443" customFormat="1" ht="12.75"/>
    <row r="189" s="443" customFormat="1" ht="12.75"/>
    <row r="190" s="443" customFormat="1" ht="12.75"/>
    <row r="191" s="443" customFormat="1" ht="12.75"/>
    <row r="192" s="443" customFormat="1" ht="12.75"/>
    <row r="193" s="443" customFormat="1" ht="12.75"/>
    <row r="194" s="443" customFormat="1" ht="12.75"/>
    <row r="195" s="443" customFormat="1" ht="12.75"/>
    <row r="196" s="443" customFormat="1" ht="12.75"/>
    <row r="197" s="443" customFormat="1" ht="12.75"/>
    <row r="198" s="443" customFormat="1" ht="12.75"/>
    <row r="199" s="443" customFormat="1" ht="12.75"/>
    <row r="200" s="443" customFormat="1" ht="12.75"/>
    <row r="201" s="443" customFormat="1" ht="12.75"/>
    <row r="202" s="443" customFormat="1" ht="12.75"/>
    <row r="203" s="443" customFormat="1" ht="12.75"/>
    <row r="204" s="443" customFormat="1" ht="12.75"/>
    <row r="205" s="443" customFormat="1" ht="12.75"/>
    <row r="206" s="443" customFormat="1" ht="12.75"/>
    <row r="207" s="443" customFormat="1" ht="12.75"/>
    <row r="208" s="443" customFormat="1" ht="12.75"/>
    <row r="209" s="443" customFormat="1" ht="12.75"/>
    <row r="210" s="443" customFormat="1" ht="12.75"/>
    <row r="211" s="443" customFormat="1" ht="12.75"/>
    <row r="212" s="443" customFormat="1" ht="12.75"/>
    <row r="213" s="443" customFormat="1" ht="12.75"/>
    <row r="214" s="443" customFormat="1" ht="12.75"/>
    <row r="215" s="443" customFormat="1" ht="12.75"/>
    <row r="216" s="443" customFormat="1" ht="12.75"/>
    <row r="217" s="443" customFormat="1" ht="12.75"/>
    <row r="218" s="443" customFormat="1" ht="12.75"/>
    <row r="219" s="443" customFormat="1" ht="12.75"/>
    <row r="220" s="443" customFormat="1" ht="12.75"/>
    <row r="221" s="443" customFormat="1" ht="12.75"/>
    <row r="222" s="443" customFormat="1" ht="12.75"/>
    <row r="223" s="443" customFormat="1" ht="12.75"/>
    <row r="224" s="443" customFormat="1" ht="12.75"/>
    <row r="225" s="443" customFormat="1" ht="12.75"/>
    <row r="226" s="443" customFormat="1" ht="12.75"/>
    <row r="227" s="443" customFormat="1" ht="12.75"/>
    <row r="228" s="443" customFormat="1" ht="12.75"/>
    <row r="229" s="443" customFormat="1" ht="12.75"/>
    <row r="230" s="443" customFormat="1" ht="12.75"/>
    <row r="231" s="443" customFormat="1" ht="12.75"/>
    <row r="232" s="443" customFormat="1" ht="12.75"/>
    <row r="233" s="443" customFormat="1" ht="12.75"/>
    <row r="234" s="443" customFormat="1" ht="12.75"/>
    <row r="235" s="443" customFormat="1" ht="12.75"/>
    <row r="236" s="443" customFormat="1" ht="12.75"/>
    <row r="237" s="443" customFormat="1" ht="12.75"/>
    <row r="238" s="443" customFormat="1" ht="12.75"/>
    <row r="239" s="443" customFormat="1" ht="12.75"/>
    <row r="240" s="443" customFormat="1" ht="12.75"/>
    <row r="241" s="443" customFormat="1" ht="12.75"/>
    <row r="242" s="443" customFormat="1" ht="12.75"/>
    <row r="243" s="443" customFormat="1" ht="12.75"/>
    <row r="244" s="443" customFormat="1" ht="12.75"/>
    <row r="245" s="443" customFormat="1" ht="12.75"/>
    <row r="246" s="443" customFormat="1" ht="12.75"/>
    <row r="247" s="443" customFormat="1" ht="12.75"/>
    <row r="248" s="443" customFormat="1" ht="12.75"/>
    <row r="249" s="443" customFormat="1" ht="12.75"/>
    <row r="250" s="443" customFormat="1" ht="12.75"/>
    <row r="251" s="443" customFormat="1" ht="12.75"/>
    <row r="252" s="443" customFormat="1" ht="12.75"/>
    <row r="253" s="443" customFormat="1" ht="12.75"/>
    <row r="254" s="443" customFormat="1" ht="12.75"/>
    <row r="255" s="443" customFormat="1" ht="12.75"/>
    <row r="256" s="443" customFormat="1" ht="12.75"/>
    <row r="257" s="443" customFormat="1" ht="12.75"/>
    <row r="258" s="443" customFormat="1" ht="12.75"/>
    <row r="259" s="443" customFormat="1" ht="12.75"/>
    <row r="260" s="443" customFormat="1" ht="12.75"/>
    <row r="261" s="443" customFormat="1" ht="12.75"/>
    <row r="262" s="443" customFormat="1" ht="12.75"/>
    <row r="263" s="443" customFormat="1" ht="12.75"/>
    <row r="264" s="443" customFormat="1" ht="12.75"/>
    <row r="265" s="443" customFormat="1" ht="12.75"/>
    <row r="266" s="443" customFormat="1" ht="12.75"/>
    <row r="267" s="443" customFormat="1" ht="12.75"/>
    <row r="268" s="443" customFormat="1" ht="12.75"/>
    <row r="269" s="443" customFormat="1" ht="12.75"/>
    <row r="270" s="443" customFormat="1" ht="12.75"/>
    <row r="271" s="443" customFormat="1" ht="12.75"/>
    <row r="272" s="443" customFormat="1" ht="12.75"/>
    <row r="273" s="443" customFormat="1" ht="12.75"/>
    <row r="274" s="443" customFormat="1" ht="12.75"/>
    <row r="275" s="443" customFormat="1" ht="12.75"/>
    <row r="276" s="443" customFormat="1" ht="12.75"/>
    <row r="277" s="443" customFormat="1" ht="12.75"/>
    <row r="278" s="443" customFormat="1" ht="12.75"/>
    <row r="279" s="443" customFormat="1" ht="12.75"/>
    <row r="280" s="443" customFormat="1" ht="12.75"/>
    <row r="281" s="443" customFormat="1" ht="12.75"/>
    <row r="282" s="443" customFormat="1" ht="12.75"/>
    <row r="283" s="443" customFormat="1" ht="12.75"/>
    <row r="284" s="443" customFormat="1" ht="12.75"/>
    <row r="285" s="443" customFormat="1" ht="12.75"/>
    <row r="286" s="443" customFormat="1" ht="12.75"/>
    <row r="287" s="443" customFormat="1" ht="12.75"/>
    <row r="288" s="443" customFormat="1" ht="12.75"/>
    <row r="289" s="443" customFormat="1" ht="12.75"/>
    <row r="290" s="443" customFormat="1" ht="12.75"/>
    <row r="291" s="443" customFormat="1" ht="12.75"/>
    <row r="292" s="443" customFormat="1" ht="12.75"/>
    <row r="293" s="443" customFormat="1" ht="12.75"/>
    <row r="294" s="443" customFormat="1" ht="12.75"/>
    <row r="295" s="443" customFormat="1" ht="12.75"/>
    <row r="296" s="443" customFormat="1" ht="12.75"/>
    <row r="297" s="443" customFormat="1" ht="12.75"/>
    <row r="298" s="443" customFormat="1" ht="12.75"/>
    <row r="299" s="443" customFormat="1" ht="12.75"/>
    <row r="300" s="443" customFormat="1" ht="12.75"/>
    <row r="301" s="443" customFormat="1" ht="12.75"/>
    <row r="302" s="443" customFormat="1" ht="12.75"/>
    <row r="303" s="443" customFormat="1" ht="12.75"/>
    <row r="304" s="443" customFormat="1" ht="12.75"/>
    <row r="305" s="443" customFormat="1" ht="12.75"/>
    <row r="306" s="443" customFormat="1" ht="12.75"/>
    <row r="307" s="443" customFormat="1" ht="12.75"/>
    <row r="308" s="443" customFormat="1" ht="12.75"/>
    <row r="309" s="443" customFormat="1" ht="12.75"/>
    <row r="310" s="443" customFormat="1" ht="12.75"/>
    <row r="311" s="443" customFormat="1" ht="12.75"/>
    <row r="312" s="443" customFormat="1" ht="12.75"/>
    <row r="313" s="443" customFormat="1" ht="12.75"/>
    <row r="314" s="443" customFormat="1" ht="12.75"/>
    <row r="315" s="443" customFormat="1" ht="12.75"/>
    <row r="316" s="443" customFormat="1" ht="12.75"/>
    <row r="317" s="443" customFormat="1" ht="12.75"/>
    <row r="318" s="443" customFormat="1" ht="12.75"/>
    <row r="319" s="443" customFormat="1" ht="12.75"/>
    <row r="320" s="443" customFormat="1" ht="12.75"/>
    <row r="321" s="443" customFormat="1" ht="12.75"/>
    <row r="322" s="443" customFormat="1" ht="12.75"/>
    <row r="323" s="443" customFormat="1" ht="12.75"/>
    <row r="324" s="443" customFormat="1" ht="12.75"/>
    <row r="325" s="443" customFormat="1" ht="12.75"/>
    <row r="326" s="443" customFormat="1" ht="12.75"/>
    <row r="327" s="443" customFormat="1" ht="12.75"/>
    <row r="328" s="443" customFormat="1" ht="12.75"/>
    <row r="329" s="443" customFormat="1" ht="12.75"/>
    <row r="330" s="443" customFormat="1" ht="12.75"/>
    <row r="331" s="443" customFormat="1" ht="12.75"/>
    <row r="332" s="443" customFormat="1" ht="12.75"/>
    <row r="333" s="443" customFormat="1" ht="12.75"/>
    <row r="334" s="443" customFormat="1" ht="12.75"/>
    <row r="335" s="443" customFormat="1" ht="12.75"/>
    <row r="336" s="443" customFormat="1" ht="12.75"/>
    <row r="337" s="443" customFormat="1" ht="12.75"/>
    <row r="338" s="443" customFormat="1" ht="12.75"/>
    <row r="339" s="443" customFormat="1" ht="12.75"/>
    <row r="340" s="443" customFormat="1" ht="12.75"/>
    <row r="341" s="443" customFormat="1" ht="12.75"/>
    <row r="342" s="443" customFormat="1" ht="12.75"/>
    <row r="343" s="443" customFormat="1" ht="12.75"/>
    <row r="344" s="443" customFormat="1" ht="12.75"/>
    <row r="345" s="443" customFormat="1" ht="12.75"/>
    <row r="346" s="443" customFormat="1" ht="12.75"/>
    <row r="347" s="443" customFormat="1" ht="12.75"/>
    <row r="348" s="443" customFormat="1" ht="12.75"/>
    <row r="349" s="443" customFormat="1" ht="12.75"/>
    <row r="350" s="443" customFormat="1" ht="12.75"/>
    <row r="351" s="443" customFormat="1" ht="12.75"/>
    <row r="352" s="443" customFormat="1" ht="12.75"/>
    <row r="353" s="443" customFormat="1" ht="12.75"/>
    <row r="354" s="443" customFormat="1" ht="12.75"/>
    <row r="355" s="443" customFormat="1" ht="12.75"/>
    <row r="356" s="443" customFormat="1" ht="12.75"/>
    <row r="357" s="443" customFormat="1" ht="12.75"/>
    <row r="358" s="443" customFormat="1" ht="12.75"/>
    <row r="359" s="443" customFormat="1" ht="12.75"/>
    <row r="360" s="443" customFormat="1" ht="12.75"/>
    <row r="361" s="443" customFormat="1" ht="12.75"/>
    <row r="362" s="443" customFormat="1" ht="12.75"/>
    <row r="363" s="443" customFormat="1" ht="12.75"/>
    <row r="364" s="443" customFormat="1" ht="12.75"/>
    <row r="365" s="443" customFormat="1" ht="12.75"/>
    <row r="366" s="443" customFormat="1" ht="12.75"/>
    <row r="367" s="443" customFormat="1" ht="12.75"/>
    <row r="368" s="443" customFormat="1" ht="12.75"/>
    <row r="369" s="443" customFormat="1" ht="12.75"/>
    <row r="370" s="443" customFormat="1" ht="12.75"/>
    <row r="371" s="443" customFormat="1" ht="12.75"/>
    <row r="372" s="443" customFormat="1" ht="12.75"/>
    <row r="373" s="443" customFormat="1" ht="12.75"/>
    <row r="374" s="443" customFormat="1" ht="12.75"/>
    <row r="375" s="443" customFormat="1" ht="12.75"/>
    <row r="376" s="443" customFormat="1" ht="12.75"/>
    <row r="377" s="443" customFormat="1" ht="12.75"/>
    <row r="378" s="443" customFormat="1" ht="12.75"/>
    <row r="379" s="443" customFormat="1" ht="12.75"/>
    <row r="380" s="443" customFormat="1" ht="12.75"/>
    <row r="381" s="443" customFormat="1" ht="12.75"/>
    <row r="382" s="443" customFormat="1" ht="12.75"/>
    <row r="383" s="443" customFormat="1" ht="12.75"/>
    <row r="384" s="443" customFormat="1" ht="12.75"/>
    <row r="385" s="443" customFormat="1" ht="12.75"/>
    <row r="386" s="443" customFormat="1" ht="12.75"/>
    <row r="387" s="443" customFormat="1" ht="12.75"/>
    <row r="388" s="443" customFormat="1" ht="12.75"/>
    <row r="389" s="443" customFormat="1" ht="12.75"/>
    <row r="390" s="443" customFormat="1" ht="12.75"/>
    <row r="391" s="443" customFormat="1" ht="12.75"/>
    <row r="392" s="443" customFormat="1" ht="12.75"/>
    <row r="393" s="443" customFormat="1" ht="12.75"/>
    <row r="394" s="443" customFormat="1" ht="12.75"/>
    <row r="395" s="443" customFormat="1" ht="12.75"/>
    <row r="396" s="443" customFormat="1" ht="12.75"/>
    <row r="397" s="443" customFormat="1" ht="12.75"/>
    <row r="398" s="443" customFormat="1" ht="12.75"/>
    <row r="399" s="443" customFormat="1" ht="12.75"/>
    <row r="400" s="443" customFormat="1" ht="12.75"/>
    <row r="401" s="443" customFormat="1" ht="12.75"/>
    <row r="402" s="443" customFormat="1" ht="12.75"/>
  </sheetData>
  <mergeCells count="17">
    <mergeCell ref="F59:J59"/>
    <mergeCell ref="B9:N9"/>
    <mergeCell ref="D51:M51"/>
    <mergeCell ref="C144:K144"/>
    <mergeCell ref="B43:N43"/>
    <mergeCell ref="B145:V145"/>
    <mergeCell ref="C52:C63"/>
    <mergeCell ref="D52:E52"/>
    <mergeCell ref="D53:E55"/>
    <mergeCell ref="F52:L52"/>
    <mergeCell ref="D56:E59"/>
    <mergeCell ref="F53:J53"/>
    <mergeCell ref="F54:J54"/>
    <mergeCell ref="F55:J55"/>
    <mergeCell ref="F56:J56"/>
    <mergeCell ref="F57:J57"/>
    <mergeCell ref="F58:J58"/>
  </mergeCells>
  <hyperlinks>
    <hyperlink ref="E61" r:id="rId1" xr:uid="{00000000-0004-0000-0000-000000000000}"/>
    <hyperlink ref="E62" r:id="rId2" xr:uid="{00000000-0004-0000-0000-000001000000}"/>
    <hyperlink ref="C144" r:id="rId3" display="http://www.excel-downloads.com/forum/111720-space.html" xr:uid="{00000000-0004-0000-0000-000002000000}"/>
    <hyperlink ref="B145" r:id="rId4" xr:uid="{00000000-0004-0000-0000-000003000000}"/>
    <hyperlink ref="B132" r:id="rId5" display="Les unités pifométriques" xr:uid="{00000000-0004-0000-0000-000004000000}"/>
    <hyperlink ref="D132" r:id="rId6" xr:uid="{00000000-0004-0000-0000-000005000000}"/>
    <hyperlink ref="B43" r:id="rId7" xr:uid="{00000000-0004-0000-0000-000006000000}"/>
    <hyperlink ref="R70" r:id="rId8" xr:uid="{8F3FD6D2-CDAC-4DDB-80CF-D183D40B9633}"/>
    <hyperlink ref="R72" r:id="rId9" xr:uid="{F6892006-2D9F-46D9-B612-D85B7A58556E}"/>
    <hyperlink ref="R75" r:id="rId10" xr:uid="{9F4ED3F0-8E12-4AF9-9849-2F4ECF223724}"/>
    <hyperlink ref="R76" r:id="rId11" xr:uid="{E7E7BC05-26E7-4A6C-B288-68B5C9E3D7B5}"/>
    <hyperlink ref="R78" r:id="rId12" xr:uid="{AEB1C80B-CDCD-4507-B3CF-D0C29A9BE509}"/>
    <hyperlink ref="R79" r:id="rId13" xr:uid="{884054D6-A99F-4E27-BAF8-52A1CC14E683}"/>
    <hyperlink ref="R80" r:id="rId14" xr:uid="{EA8E1C21-5781-4F04-9C29-3D093005CB04}"/>
    <hyperlink ref="R82" r:id="rId15" xr:uid="{91B0AB1C-8277-4925-8D19-4FCDE5784155}"/>
    <hyperlink ref="R86" r:id="rId16" xr:uid="{08D3ED02-D3B6-4FFC-8A49-C6DA039A0D72}"/>
    <hyperlink ref="R88" r:id="rId17" xr:uid="{7D919C94-35FE-4C79-AF05-AE0DC9D572BA}"/>
    <hyperlink ref="R84" r:id="rId18" xr:uid="{A5F9B0BC-58D3-4AEF-A3C7-34D1F0CB9B90}"/>
    <hyperlink ref="R90" r:id="rId19" xr:uid="{3BC18AF0-8327-4703-8847-7522A6646549}"/>
    <hyperlink ref="R96" r:id="rId20" xr:uid="{B6A368D2-E415-4664-902B-C98D42E24E52}"/>
    <hyperlink ref="R92" r:id="rId21" xr:uid="{C3892CA7-891C-46CA-9D7F-BE013C541569}"/>
  </hyperlinks>
  <printOptions horizontalCentered="1"/>
  <pageMargins left="0.23622047244094491" right="0.23622047244094491" top="0.74803149606299213" bottom="0.74803149606299213" header="0.31496062992125984" footer="0.31496062992125984"/>
  <pageSetup paperSize="9" scale="32" orientation="portrait" horizontalDpi="300" verticalDpi="300" r:id="rId22"/>
  <headerFooter alignWithMargins="0"/>
  <colBreaks count="1" manualBreakCount="1">
    <brk id="29" max="1048575" man="1"/>
  </colBreaks>
  <drawing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D57"/>
  <sheetViews>
    <sheetView workbookViewId="0">
      <selection activeCell="P25" sqref="P25"/>
    </sheetView>
  </sheetViews>
  <sheetFormatPr baseColWidth="10" defaultRowHeight="15.75"/>
  <cols>
    <col min="1" max="1" width="5.75" customWidth="1"/>
  </cols>
  <sheetData>
    <row r="2" spans="1:30" s="1" customFormat="1" ht="33">
      <c r="A2" s="635">
        <f>(ROW())</f>
        <v>2</v>
      </c>
      <c r="B2" s="5298" t="s">
        <v>974</v>
      </c>
      <c r="C2" s="5298"/>
      <c r="D2" s="5298"/>
      <c r="E2" s="5298"/>
      <c r="F2" s="5298"/>
      <c r="G2" s="5298"/>
      <c r="H2" s="5298"/>
      <c r="I2" s="5298"/>
      <c r="J2" s="5298"/>
      <c r="K2" s="5298"/>
      <c r="L2" s="5298"/>
      <c r="M2" s="5298"/>
      <c r="N2" s="5298"/>
      <c r="O2" s="5298"/>
      <c r="P2" s="5298"/>
      <c r="Q2" s="5298"/>
    </row>
    <row r="3" spans="1:30" s="1" customFormat="1" ht="18.75">
      <c r="A3" s="660"/>
      <c r="B3" s="714"/>
      <c r="C3" s="660"/>
      <c r="D3" s="660"/>
      <c r="E3" s="660"/>
      <c r="F3" s="712"/>
      <c r="G3" s="712"/>
      <c r="H3" s="638"/>
      <c r="I3" s="713"/>
      <c r="J3" s="717"/>
      <c r="K3" s="714"/>
      <c r="L3" s="715"/>
      <c r="M3" s="713"/>
      <c r="N3" s="490"/>
      <c r="O3" s="2"/>
      <c r="P3" s="2"/>
      <c r="Q3" s="3"/>
    </row>
    <row r="4" spans="1:30" s="1" customFormat="1" ht="27" customHeight="1">
      <c r="A4" s="1173" t="s">
        <v>70</v>
      </c>
      <c r="B4" s="5299" t="s">
        <v>975</v>
      </c>
      <c r="C4" s="5299"/>
      <c r="D4" s="5299"/>
      <c r="E4" s="5299"/>
      <c r="F4" s="5299"/>
      <c r="G4" s="5299"/>
      <c r="H4" s="5299"/>
      <c r="I4" s="5299"/>
      <c r="J4" s="5299"/>
      <c r="K4" s="5299"/>
      <c r="L4" s="5299"/>
      <c r="M4" s="5299"/>
      <c r="N4" s="5299"/>
      <c r="O4" s="5299"/>
      <c r="P4" s="5299"/>
      <c r="Q4" s="5299"/>
    </row>
    <row r="5" spans="1:30" s="1" customFormat="1" ht="27" customHeight="1">
      <c r="A5" s="1191"/>
      <c r="B5" s="5299"/>
      <c r="C5" s="5299"/>
      <c r="D5" s="5299"/>
      <c r="E5" s="5299"/>
      <c r="F5" s="5299"/>
      <c r="G5" s="5299"/>
      <c r="H5" s="5299"/>
      <c r="I5" s="5299"/>
      <c r="J5" s="5299"/>
      <c r="K5" s="5299"/>
      <c r="L5" s="5299"/>
      <c r="M5" s="5299"/>
      <c r="N5" s="5299"/>
      <c r="O5" s="5299"/>
      <c r="P5" s="5299"/>
      <c r="Q5" s="5299"/>
    </row>
    <row r="6" spans="1:30" s="1" customFormat="1" ht="18.75">
      <c r="A6" s="660"/>
      <c r="B6" s="714"/>
      <c r="C6" s="660"/>
      <c r="D6" s="660"/>
      <c r="E6" s="660"/>
      <c r="F6" s="712"/>
      <c r="G6" s="712"/>
      <c r="H6" s="638"/>
      <c r="I6" s="713"/>
      <c r="J6" s="717"/>
      <c r="K6" s="714"/>
      <c r="L6" s="715"/>
      <c r="M6" s="713"/>
      <c r="N6" s="490"/>
      <c r="O6" s="2"/>
      <c r="P6" s="2"/>
      <c r="Q6" s="3"/>
    </row>
    <row r="7" spans="1:30" s="1" customFormat="1" ht="20.25">
      <c r="A7" s="1530" t="s">
        <v>70</v>
      </c>
      <c r="B7" s="5791" t="s">
        <v>988</v>
      </c>
      <c r="C7" s="5791"/>
      <c r="D7" s="5791"/>
      <c r="E7" s="5791"/>
      <c r="F7" s="5791"/>
      <c r="G7" s="5791"/>
      <c r="H7" s="5791"/>
      <c r="I7" s="5791"/>
      <c r="J7" s="5791"/>
      <c r="K7" s="5791"/>
      <c r="L7" s="5791"/>
      <c r="M7" s="5791"/>
      <c r="N7" s="5791"/>
      <c r="O7" s="5791"/>
      <c r="P7" s="5791"/>
      <c r="Q7" s="5791"/>
      <c r="R7" s="5791"/>
      <c r="S7" s="5791"/>
      <c r="T7" s="5791"/>
      <c r="U7" s="5791"/>
      <c r="V7" s="5791"/>
      <c r="W7" s="5791"/>
      <c r="X7" s="5791"/>
      <c r="Y7" s="5791"/>
      <c r="Z7" s="5791"/>
      <c r="AA7" s="5791"/>
      <c r="AB7" s="5791"/>
      <c r="AC7" s="5791"/>
      <c r="AD7" s="5791"/>
    </row>
    <row r="8" spans="1:30" s="1" customFormat="1">
      <c r="A8" s="4784" t="str">
        <f>B7</f>
        <v xml:space="preserve">CRITERE QUANTITATIF -                              PONDERATION PRIX </v>
      </c>
      <c r="B8" s="558" t="str">
        <f>ADDRESS(ROW(),COLUMN(),4)</f>
        <v>B8</v>
      </c>
      <c r="C8" s="903" t="s">
        <v>691</v>
      </c>
      <c r="D8" s="1011"/>
      <c r="E8" s="1011"/>
      <c r="F8" s="1011"/>
      <c r="G8" s="1011"/>
      <c r="H8" s="1011"/>
      <c r="I8" s="1011"/>
      <c r="J8" s="1011"/>
      <c r="K8" s="1011"/>
      <c r="L8" s="1011"/>
      <c r="M8" s="1011"/>
      <c r="N8" s="1011"/>
      <c r="O8" s="1011"/>
      <c r="P8" s="1011"/>
      <c r="Q8" s="1011"/>
      <c r="R8" s="1012"/>
      <c r="S8" s="1012"/>
      <c r="T8" s="1012"/>
      <c r="U8" s="1012"/>
      <c r="V8" s="1012"/>
      <c r="W8" s="1012"/>
      <c r="X8" s="1012"/>
      <c r="Y8" s="1012"/>
      <c r="Z8" s="1012"/>
      <c r="AA8" s="1012"/>
      <c r="AB8" s="1012"/>
      <c r="AC8" s="1012"/>
      <c r="AD8" s="1012"/>
    </row>
    <row r="9" spans="1:30" s="1" customFormat="1" ht="18.75">
      <c r="A9" s="4784"/>
      <c r="B9" s="714"/>
      <c r="C9" s="660"/>
      <c r="D9" s="660"/>
      <c r="E9" s="660"/>
      <c r="F9" s="712"/>
      <c r="G9" s="712"/>
      <c r="H9" s="638"/>
      <c r="I9" s="713"/>
      <c r="J9" s="717"/>
      <c r="K9" s="714"/>
      <c r="L9" s="715"/>
      <c r="M9" s="713"/>
      <c r="N9" s="490"/>
      <c r="O9" s="2"/>
      <c r="P9" s="2"/>
      <c r="Q9" s="3"/>
      <c r="R9" s="2"/>
      <c r="S9" s="2"/>
      <c r="T9" s="2"/>
      <c r="U9" s="2"/>
      <c r="V9" s="2"/>
      <c r="W9" s="2"/>
      <c r="X9" s="2"/>
      <c r="Y9" s="2"/>
      <c r="Z9" s="2"/>
      <c r="AA9" s="2"/>
      <c r="AB9" s="2"/>
      <c r="AC9" s="2"/>
      <c r="AD9" s="2"/>
    </row>
    <row r="10" spans="1:30">
      <c r="A10" s="4784"/>
      <c r="B10" s="720" t="s">
        <v>792</v>
      </c>
      <c r="C10" s="634"/>
      <c r="D10" s="634"/>
      <c r="E10" s="634"/>
      <c r="F10" s="634"/>
      <c r="G10" s="634"/>
      <c r="H10" s="634"/>
      <c r="I10" s="634"/>
      <c r="J10" s="634"/>
      <c r="K10" s="634"/>
      <c r="L10" s="634"/>
      <c r="M10" s="634"/>
      <c r="N10" s="634"/>
      <c r="O10" s="634"/>
      <c r="P10" s="634"/>
      <c r="Q10" s="634"/>
      <c r="R10" s="634"/>
      <c r="S10" s="634"/>
      <c r="T10" s="634"/>
      <c r="U10" s="634"/>
      <c r="V10" s="634"/>
      <c r="W10" s="634"/>
      <c r="X10" s="634"/>
      <c r="Y10" s="634"/>
      <c r="Z10" s="634"/>
      <c r="AA10" s="634"/>
      <c r="AB10" s="634"/>
      <c r="AC10" s="634"/>
      <c r="AD10" s="634"/>
    </row>
    <row r="11" spans="1:30">
      <c r="A11" s="4784"/>
      <c r="B11" s="721"/>
      <c r="C11" s="722" t="s">
        <v>793</v>
      </c>
      <c r="D11" s="723"/>
      <c r="E11" s="634"/>
      <c r="F11" s="634"/>
      <c r="G11" s="723"/>
      <c r="H11" s="723"/>
      <c r="I11" s="723"/>
      <c r="J11" s="723"/>
      <c r="K11" s="723"/>
      <c r="L11" s="634"/>
      <c r="M11" s="634"/>
      <c r="N11" s="634"/>
      <c r="O11" s="634"/>
      <c r="P11" s="634"/>
      <c r="Q11" s="634"/>
      <c r="R11" s="634"/>
      <c r="S11" s="634"/>
      <c r="T11" s="634"/>
      <c r="U11" s="634"/>
      <c r="V11" s="634"/>
      <c r="W11" s="634"/>
      <c r="X11" s="634"/>
      <c r="Y11" s="634"/>
      <c r="Z11" s="634"/>
      <c r="AA11" s="634"/>
      <c r="AB11" s="634"/>
      <c r="AC11" s="634"/>
      <c r="AD11" s="634"/>
    </row>
    <row r="12" spans="1:30">
      <c r="A12" s="4784"/>
      <c r="B12" s="721"/>
      <c r="C12" s="5796" t="s">
        <v>794</v>
      </c>
      <c r="D12" s="5796"/>
      <c r="E12" s="5796"/>
      <c r="F12" s="634"/>
      <c r="G12" s="724"/>
      <c r="H12" s="724"/>
      <c r="I12" s="724"/>
      <c r="J12" s="725" t="s">
        <v>230</v>
      </c>
      <c r="K12" s="724"/>
      <c r="L12" s="634"/>
      <c r="M12" s="634"/>
      <c r="N12" s="634"/>
      <c r="O12" s="634"/>
      <c r="P12" s="634"/>
      <c r="Q12" s="634"/>
      <c r="R12" s="634"/>
      <c r="S12" s="634"/>
      <c r="T12" s="634"/>
      <c r="U12" s="634"/>
      <c r="V12" s="634"/>
      <c r="W12" s="634"/>
      <c r="X12" s="634"/>
      <c r="Y12" s="634"/>
      <c r="Z12" s="634"/>
      <c r="AA12" s="634"/>
      <c r="AB12" s="634"/>
      <c r="AC12" s="634"/>
      <c r="AD12" s="634"/>
    </row>
    <row r="13" spans="1:30" ht="16.5" thickBot="1">
      <c r="A13" s="4784"/>
      <c r="B13" s="634"/>
      <c r="C13" s="634"/>
      <c r="D13" s="634"/>
      <c r="E13" s="634"/>
      <c r="F13" s="634"/>
      <c r="G13" s="634"/>
      <c r="H13" s="634"/>
      <c r="I13" s="634"/>
      <c r="J13" s="634"/>
      <c r="K13" s="634"/>
      <c r="L13" s="634"/>
      <c r="M13" s="634"/>
      <c r="N13" s="634"/>
      <c r="O13" s="634"/>
      <c r="P13" s="634"/>
      <c r="Q13" s="634"/>
      <c r="R13" s="634"/>
      <c r="S13" s="634"/>
      <c r="T13" s="634"/>
      <c r="U13" s="634"/>
      <c r="V13" s="634"/>
      <c r="W13" s="634"/>
      <c r="X13" s="634"/>
      <c r="Y13" s="634"/>
      <c r="Z13" s="634"/>
      <c r="AA13" s="634"/>
      <c r="AB13" s="634"/>
      <c r="AC13" s="634"/>
      <c r="AD13" s="634"/>
    </row>
    <row r="14" spans="1:30">
      <c r="A14" s="4784"/>
      <c r="B14" s="726"/>
      <c r="C14" s="727"/>
      <c r="D14" s="727"/>
      <c r="E14" s="727"/>
      <c r="F14" s="727"/>
      <c r="G14" s="727"/>
      <c r="H14" s="727"/>
      <c r="I14" s="727"/>
      <c r="J14" s="727"/>
      <c r="K14" s="727"/>
      <c r="L14" s="727"/>
      <c r="M14" s="727"/>
      <c r="N14" s="727"/>
      <c r="O14" s="727"/>
      <c r="P14" s="727"/>
      <c r="Q14" s="727"/>
      <c r="R14" s="728"/>
      <c r="S14" s="729"/>
      <c r="T14" s="729"/>
      <c r="U14" s="729"/>
      <c r="V14" s="729"/>
      <c r="W14" s="729"/>
      <c r="X14" s="729"/>
      <c r="Y14" s="729"/>
      <c r="Z14" s="729"/>
      <c r="AA14" s="729"/>
      <c r="AB14" s="729"/>
      <c r="AC14" s="729"/>
      <c r="AD14" s="730"/>
    </row>
    <row r="15" spans="1:30" ht="16.5" customHeight="1">
      <c r="A15" s="4784"/>
      <c r="B15" s="731"/>
      <c r="C15" s="732" t="s">
        <v>795</v>
      </c>
      <c r="D15" s="733"/>
      <c r="E15" s="734" t="s">
        <v>796</v>
      </c>
      <c r="F15" s="5793" t="s">
        <v>797</v>
      </c>
      <c r="G15" s="5794"/>
      <c r="H15" s="5795"/>
      <c r="I15" s="5793" t="s">
        <v>798</v>
      </c>
      <c r="J15" s="5794"/>
      <c r="K15" s="5795"/>
      <c r="L15" s="5793" t="s">
        <v>799</v>
      </c>
      <c r="M15" s="5794"/>
      <c r="N15" s="5795"/>
      <c r="O15" s="5793" t="s">
        <v>800</v>
      </c>
      <c r="P15" s="5794"/>
      <c r="Q15" s="5795"/>
      <c r="R15" s="735"/>
      <c r="S15" s="634"/>
      <c r="T15" s="634"/>
      <c r="U15" s="634"/>
      <c r="V15" s="634"/>
      <c r="W15" s="634"/>
      <c r="X15" s="634"/>
      <c r="Y15" s="634"/>
      <c r="Z15" s="634"/>
      <c r="AA15" s="634"/>
      <c r="AB15" s="634"/>
      <c r="AC15" s="634"/>
      <c r="AD15" s="517"/>
    </row>
    <row r="16" spans="1:30" ht="45.75" thickBot="1">
      <c r="A16" s="4784"/>
      <c r="B16" s="731"/>
      <c r="C16" s="736" t="s">
        <v>801</v>
      </c>
      <c r="D16" s="737"/>
      <c r="E16" s="738"/>
      <c r="F16" s="739" t="s">
        <v>802</v>
      </c>
      <c r="G16" s="740" t="s">
        <v>803</v>
      </c>
      <c r="H16" s="741" t="s">
        <v>804</v>
      </c>
      <c r="I16" s="739" t="s">
        <v>802</v>
      </c>
      <c r="J16" s="740" t="s">
        <v>803</v>
      </c>
      <c r="K16" s="741" t="s">
        <v>804</v>
      </c>
      <c r="L16" s="739" t="s">
        <v>802</v>
      </c>
      <c r="M16" s="740" t="s">
        <v>803</v>
      </c>
      <c r="N16" s="741" t="s">
        <v>804</v>
      </c>
      <c r="O16" s="739" t="s">
        <v>802</v>
      </c>
      <c r="P16" s="740" t="s">
        <v>803</v>
      </c>
      <c r="Q16" s="742" t="s">
        <v>804</v>
      </c>
      <c r="R16" s="735"/>
      <c r="S16" s="743"/>
      <c r="T16" s="634"/>
      <c r="U16" s="634"/>
      <c r="V16" s="634"/>
      <c r="W16" s="634"/>
      <c r="X16" s="634"/>
      <c r="Y16" s="634"/>
      <c r="Z16" s="634"/>
      <c r="AA16" s="634"/>
      <c r="AB16" s="634"/>
      <c r="AC16" s="634"/>
      <c r="AD16" s="517"/>
    </row>
    <row r="17" spans="1:30" ht="17.25" thickTop="1" thickBot="1">
      <c r="A17" s="4784"/>
      <c r="B17" s="731"/>
      <c r="C17" s="744" t="s">
        <v>805</v>
      </c>
      <c r="D17" s="745" t="s">
        <v>806</v>
      </c>
      <c r="E17" s="746">
        <v>50</v>
      </c>
      <c r="F17" s="747" t="s">
        <v>18</v>
      </c>
      <c r="G17" s="748" t="s">
        <v>15</v>
      </c>
      <c r="H17" s="749" t="s">
        <v>398</v>
      </c>
      <c r="I17" s="747" t="s">
        <v>807</v>
      </c>
      <c r="J17" s="748" t="s">
        <v>808</v>
      </c>
      <c r="K17" s="749" t="s">
        <v>809</v>
      </c>
      <c r="L17" s="747" t="s">
        <v>810</v>
      </c>
      <c r="M17" s="748" t="s">
        <v>811</v>
      </c>
      <c r="N17" s="749" t="s">
        <v>812</v>
      </c>
      <c r="O17" s="747" t="s">
        <v>12</v>
      </c>
      <c r="P17" s="748" t="s">
        <v>813</v>
      </c>
      <c r="Q17" s="748" t="s">
        <v>814</v>
      </c>
      <c r="R17" s="735"/>
      <c r="S17" s="750" t="s">
        <v>802</v>
      </c>
      <c r="T17" s="634"/>
      <c r="U17" s="634"/>
      <c r="V17" s="634"/>
      <c r="W17" s="634"/>
      <c r="X17" s="634"/>
      <c r="Y17" s="634"/>
      <c r="Z17" s="751" t="s">
        <v>803</v>
      </c>
      <c r="AA17" s="634"/>
      <c r="AB17" s="634"/>
      <c r="AC17" s="634"/>
      <c r="AD17" s="517"/>
    </row>
    <row r="18" spans="1:30" ht="16.5" thickTop="1">
      <c r="A18" s="4784"/>
      <c r="B18" s="731"/>
      <c r="R18" s="752"/>
      <c r="S18" s="1561" t="s">
        <v>24</v>
      </c>
      <c r="T18" s="1561" t="s">
        <v>21</v>
      </c>
      <c r="U18" s="1561" t="s">
        <v>6</v>
      </c>
      <c r="V18" s="1561" t="s">
        <v>713</v>
      </c>
      <c r="W18" s="753" t="s">
        <v>806</v>
      </c>
      <c r="X18" s="753" t="s">
        <v>815</v>
      </c>
      <c r="Y18" s="634"/>
      <c r="Z18" s="1561" t="s">
        <v>24</v>
      </c>
      <c r="AA18" s="1561" t="s">
        <v>21</v>
      </c>
      <c r="AB18" s="1561" t="s">
        <v>6</v>
      </c>
      <c r="AC18" s="1561" t="s">
        <v>713</v>
      </c>
      <c r="AD18" s="517"/>
    </row>
    <row r="19" spans="1:30">
      <c r="A19" s="4784"/>
      <c r="B19" s="731"/>
      <c r="C19" s="754">
        <f>X19</f>
        <v>5.5350000000000001</v>
      </c>
      <c r="D19" s="755">
        <f>W19</f>
        <v>2.0499999999999998</v>
      </c>
      <c r="E19" s="756">
        <f>E17</f>
        <v>50</v>
      </c>
      <c r="F19" s="757">
        <v>5.5350000000000001</v>
      </c>
      <c r="G19" s="758">
        <f>(D19*E19)/F19</f>
        <v>18.518518518518515</v>
      </c>
      <c r="H19" s="759">
        <f>RANK(G19,Z19:AC19)</f>
        <v>4</v>
      </c>
      <c r="I19" s="757">
        <v>4.55</v>
      </c>
      <c r="J19" s="758">
        <f>(D19*E19)/I19</f>
        <v>22.527472527472526</v>
      </c>
      <c r="K19" s="759">
        <f>RANK(J19,Z19:AC19)</f>
        <v>3</v>
      </c>
      <c r="L19" s="757">
        <v>2.0499999999999998</v>
      </c>
      <c r="M19" s="758">
        <f>(D19*E19)/L19</f>
        <v>50</v>
      </c>
      <c r="N19" s="759">
        <f>RANK(M19,Z19:AC19)</f>
        <v>1</v>
      </c>
      <c r="O19" s="757">
        <v>3.59</v>
      </c>
      <c r="P19" s="758">
        <f>(D19*E19)/O19</f>
        <v>28.551532033426181</v>
      </c>
      <c r="Q19" s="760">
        <f>RANK(P19,Z19:AC19)</f>
        <v>2</v>
      </c>
      <c r="R19" s="752"/>
      <c r="S19" s="761">
        <f>F19</f>
        <v>5.5350000000000001</v>
      </c>
      <c r="T19" s="761">
        <f>I19</f>
        <v>4.55</v>
      </c>
      <c r="U19" s="761">
        <f>L19</f>
        <v>2.0499999999999998</v>
      </c>
      <c r="V19" s="761">
        <f>O19</f>
        <v>3.59</v>
      </c>
      <c r="W19" s="762">
        <f>SMALL(S19:V19,COUNTIF(S19:V19,"&lt;="&amp;0)+1)</f>
        <v>2.0499999999999998</v>
      </c>
      <c r="X19" s="762">
        <f>LARGE(S19:V19,COUNTIF(S19:V19,"&lt;="&amp;0)+1)</f>
        <v>5.5350000000000001</v>
      </c>
      <c r="Y19" s="634"/>
      <c r="Z19" s="763">
        <f>G19</f>
        <v>18.518518518518515</v>
      </c>
      <c r="AA19" s="763">
        <f>J19</f>
        <v>22.527472527472526</v>
      </c>
      <c r="AB19" s="763">
        <f>M19</f>
        <v>50</v>
      </c>
      <c r="AC19" s="763">
        <f>P19</f>
        <v>28.551532033426181</v>
      </c>
      <c r="AD19" s="517"/>
    </row>
    <row r="20" spans="1:30">
      <c r="A20" s="4784"/>
      <c r="B20" s="731"/>
      <c r="C20" s="754">
        <f>X20</f>
        <v>3.72</v>
      </c>
      <c r="D20" s="755">
        <f>W20</f>
        <v>2.5</v>
      </c>
      <c r="E20" s="756">
        <f>E17</f>
        <v>50</v>
      </c>
      <c r="F20" s="757">
        <v>3.1462500000000002</v>
      </c>
      <c r="G20" s="758">
        <f t="shared" ref="G20:G21" si="0">(D20*E20)/F20</f>
        <v>39.729837107667855</v>
      </c>
      <c r="H20" s="759">
        <f>RANK(G20,Z20:AC20)</f>
        <v>3</v>
      </c>
      <c r="I20" s="757">
        <v>2.5499999999999998</v>
      </c>
      <c r="J20" s="758">
        <f t="shared" ref="J20:J21" si="1">(D20*E20)/I20</f>
        <v>49.019607843137258</v>
      </c>
      <c r="K20" s="759">
        <f>RANK(J20,Z20:AC20)</f>
        <v>2</v>
      </c>
      <c r="L20" s="757">
        <v>2.5</v>
      </c>
      <c r="M20" s="758">
        <f t="shared" ref="M20:M21" si="2">(D20*E20)/L20</f>
        <v>50</v>
      </c>
      <c r="N20" s="759">
        <f>RANK(M20,Z20:AC20)</f>
        <v>1</v>
      </c>
      <c r="O20" s="757">
        <v>3.72</v>
      </c>
      <c r="P20" s="758">
        <f t="shared" ref="P20:P21" si="3">(D20*E20)/O20</f>
        <v>33.602150537634408</v>
      </c>
      <c r="Q20" s="760">
        <f>RANK(P20,Z20:AC20)</f>
        <v>4</v>
      </c>
      <c r="R20" s="752"/>
      <c r="S20" s="761">
        <f>F20</f>
        <v>3.1462500000000002</v>
      </c>
      <c r="T20" s="761">
        <f>I20</f>
        <v>2.5499999999999998</v>
      </c>
      <c r="U20" s="761">
        <f>L20</f>
        <v>2.5</v>
      </c>
      <c r="V20" s="761">
        <f>O20</f>
        <v>3.72</v>
      </c>
      <c r="W20" s="762">
        <f>SMALL(S20:V20,COUNTIF(S20:V20,"&lt;="&amp;0)+1)</f>
        <v>2.5</v>
      </c>
      <c r="X20" s="762">
        <f>LARGE(S20:V20,COUNTIF(S20:V20,"&lt;="&amp;0)+1)</f>
        <v>3.72</v>
      </c>
      <c r="Y20" s="634"/>
      <c r="Z20" s="763">
        <f t="shared" ref="Z20:Z21" si="4">G20</f>
        <v>39.729837107667855</v>
      </c>
      <c r="AA20" s="763">
        <f t="shared" ref="AA20:AA21" si="5">J20</f>
        <v>49.019607843137258</v>
      </c>
      <c r="AB20" s="763">
        <f t="shared" ref="AB20:AB21" si="6">M20</f>
        <v>50</v>
      </c>
      <c r="AC20" s="763">
        <f t="shared" ref="AC20:AC21" si="7">P20</f>
        <v>33.602150537634408</v>
      </c>
      <c r="AD20" s="517"/>
    </row>
    <row r="21" spans="1:30">
      <c r="A21" s="4784"/>
      <c r="B21" s="731"/>
      <c r="C21" s="754">
        <f>X21</f>
        <v>3.68</v>
      </c>
      <c r="D21" s="755">
        <f>W21</f>
        <v>2.4362499999999998</v>
      </c>
      <c r="E21" s="756">
        <f>E17</f>
        <v>50</v>
      </c>
      <c r="F21" s="757">
        <v>2.4362499999999998</v>
      </c>
      <c r="G21" s="758">
        <f t="shared" si="0"/>
        <v>50</v>
      </c>
      <c r="H21" s="759">
        <f>RANK(G21,Z21:AC21)</f>
        <v>1</v>
      </c>
      <c r="I21" s="757">
        <v>2.4900000000000002</v>
      </c>
      <c r="J21" s="758">
        <f t="shared" si="1"/>
        <v>48.920682730923687</v>
      </c>
      <c r="K21" s="759">
        <f>RANK(J21,Z21:AC21)</f>
        <v>2</v>
      </c>
      <c r="L21" s="757">
        <v>3.11</v>
      </c>
      <c r="M21" s="758">
        <f t="shared" si="2"/>
        <v>39.168006430868161</v>
      </c>
      <c r="N21" s="759">
        <f>RANK(M21,Z21:AC21)</f>
        <v>3</v>
      </c>
      <c r="O21" s="757">
        <v>3.68</v>
      </c>
      <c r="P21" s="758">
        <f t="shared" si="3"/>
        <v>33.101222826086953</v>
      </c>
      <c r="Q21" s="760">
        <f>RANK(P21,Z21:AC21)</f>
        <v>4</v>
      </c>
      <c r="R21" s="752"/>
      <c r="S21" s="761">
        <f>F21</f>
        <v>2.4362499999999998</v>
      </c>
      <c r="T21" s="761">
        <f>I21</f>
        <v>2.4900000000000002</v>
      </c>
      <c r="U21" s="761">
        <f>L21</f>
        <v>3.11</v>
      </c>
      <c r="V21" s="761">
        <f>O21</f>
        <v>3.68</v>
      </c>
      <c r="W21" s="762">
        <f>SMALL(S21:V21,COUNTIF(S21:V21,"&lt;="&amp;0)+1)</f>
        <v>2.4362499999999998</v>
      </c>
      <c r="X21" s="762">
        <f>LARGE(S21:V21,COUNTIF(S21:V21,"&lt;="&amp;0)+1)</f>
        <v>3.68</v>
      </c>
      <c r="Y21" s="634"/>
      <c r="Z21" s="763">
        <f t="shared" si="4"/>
        <v>50</v>
      </c>
      <c r="AA21" s="763">
        <f t="shared" si="5"/>
        <v>48.920682730923687</v>
      </c>
      <c r="AB21" s="763">
        <f t="shared" si="6"/>
        <v>39.168006430868161</v>
      </c>
      <c r="AC21" s="763">
        <f t="shared" si="7"/>
        <v>33.101222826086953</v>
      </c>
      <c r="AD21" s="517"/>
    </row>
    <row r="22" spans="1:30">
      <c r="A22" s="4784"/>
      <c r="B22" s="731"/>
      <c r="C22" s="764"/>
      <c r="D22" s="764"/>
      <c r="E22" s="764"/>
      <c r="F22" s="764"/>
      <c r="G22" s="764"/>
      <c r="H22" s="764"/>
      <c r="I22" s="764"/>
      <c r="J22" s="764"/>
      <c r="K22" s="764"/>
      <c r="L22" s="634"/>
      <c r="M22" s="764"/>
      <c r="N22" s="764"/>
      <c r="O22" s="764"/>
      <c r="P22" s="764"/>
      <c r="Q22" s="764"/>
      <c r="R22" s="735"/>
      <c r="S22" s="634"/>
      <c r="T22" s="634"/>
      <c r="U22" s="634"/>
      <c r="V22" s="634"/>
      <c r="W22" s="634"/>
      <c r="X22" s="634"/>
      <c r="Y22" s="634"/>
      <c r="Z22" s="634"/>
      <c r="AA22" s="634"/>
      <c r="AB22" s="634"/>
      <c r="AC22" s="634"/>
      <c r="AD22" s="517"/>
    </row>
    <row r="23" spans="1:30">
      <c r="A23" s="4784"/>
      <c r="B23" s="731"/>
      <c r="C23" s="764"/>
      <c r="D23" s="765" t="s">
        <v>792</v>
      </c>
      <c r="E23" s="764"/>
      <c r="F23" s="764"/>
      <c r="G23" s="764"/>
      <c r="H23" s="764"/>
      <c r="I23" s="764"/>
      <c r="J23" s="764"/>
      <c r="K23" s="764"/>
      <c r="L23" s="634"/>
      <c r="M23" s="764"/>
      <c r="N23" s="764"/>
      <c r="O23" s="764"/>
      <c r="P23" s="764"/>
      <c r="Q23" s="764"/>
      <c r="R23" s="735"/>
      <c r="S23" s="766" t="s">
        <v>806</v>
      </c>
      <c r="T23" s="634"/>
      <c r="U23" s="634"/>
      <c r="V23" s="634"/>
      <c r="W23" s="634"/>
      <c r="X23" s="634"/>
      <c r="Y23" s="634"/>
      <c r="Z23" s="634"/>
      <c r="AA23" s="634"/>
      <c r="AB23" s="634"/>
      <c r="AC23" s="634"/>
      <c r="AD23" s="517"/>
    </row>
    <row r="24" spans="1:30" ht="18">
      <c r="A24" s="4784"/>
      <c r="B24" s="731"/>
      <c r="C24" s="767" t="s">
        <v>816</v>
      </c>
      <c r="D24" s="768"/>
      <c r="E24" s="769" t="s">
        <v>793</v>
      </c>
      <c r="F24" s="770"/>
      <c r="G24" s="770"/>
      <c r="H24" s="770"/>
      <c r="I24" s="770"/>
      <c r="J24" s="770"/>
      <c r="K24" s="770"/>
      <c r="L24" s="634"/>
      <c r="M24" s="764"/>
      <c r="N24" s="764"/>
      <c r="O24" s="764"/>
      <c r="P24" s="764"/>
      <c r="Q24" s="764"/>
      <c r="R24" s="735"/>
      <c r="S24" s="771" t="s">
        <v>817</v>
      </c>
      <c r="T24" s="634"/>
      <c r="U24" s="634"/>
      <c r="V24" s="634"/>
      <c r="W24" s="634"/>
      <c r="X24" s="634"/>
      <c r="Y24" s="634"/>
      <c r="Z24" s="634"/>
      <c r="AA24" s="634"/>
      <c r="AB24" s="634"/>
      <c r="AC24" s="634"/>
      <c r="AD24" s="517"/>
    </row>
    <row r="25" spans="1:30">
      <c r="A25" s="4784"/>
      <c r="B25" s="731"/>
      <c r="C25" s="764"/>
      <c r="D25" s="765"/>
      <c r="E25" s="772" t="s">
        <v>794</v>
      </c>
      <c r="F25" s="773"/>
      <c r="G25" s="773"/>
      <c r="H25" s="773"/>
      <c r="I25" s="773"/>
      <c r="J25" s="774" t="s">
        <v>230</v>
      </c>
      <c r="K25" s="773"/>
      <c r="L25" s="634"/>
      <c r="M25" s="764"/>
      <c r="N25" s="764"/>
      <c r="O25" s="764"/>
      <c r="P25" s="764"/>
      <c r="Q25" s="764"/>
      <c r="R25" s="735"/>
      <c r="S25" s="775" t="s">
        <v>818</v>
      </c>
      <c r="T25" s="634"/>
      <c r="U25" s="634"/>
      <c r="V25" s="634"/>
      <c r="W25" s="634"/>
      <c r="X25" s="634"/>
      <c r="Y25" s="634"/>
      <c r="Z25" s="634"/>
      <c r="AA25" s="634"/>
      <c r="AB25" s="634"/>
      <c r="AC25" s="634"/>
      <c r="AD25" s="517"/>
    </row>
    <row r="26" spans="1:30">
      <c r="A26" s="4784"/>
      <c r="B26" s="731"/>
      <c r="C26" s="764"/>
      <c r="D26" s="764"/>
      <c r="E26" s="764"/>
      <c r="F26" s="764"/>
      <c r="G26" s="764"/>
      <c r="H26" s="764"/>
      <c r="I26" s="764"/>
      <c r="J26" s="764"/>
      <c r="K26" s="764"/>
      <c r="L26" s="634"/>
      <c r="M26" s="764"/>
      <c r="N26" s="764"/>
      <c r="O26" s="764"/>
      <c r="P26" s="764"/>
      <c r="Q26" s="764"/>
      <c r="R26" s="735"/>
      <c r="S26" s="634"/>
      <c r="T26" s="634"/>
      <c r="U26" s="634"/>
      <c r="V26" s="634"/>
      <c r="W26" s="634"/>
      <c r="X26" s="634"/>
      <c r="Y26" s="634"/>
      <c r="Z26" s="634"/>
      <c r="AA26" s="634"/>
      <c r="AB26" s="634"/>
      <c r="AC26" s="634"/>
      <c r="AD26" s="517"/>
    </row>
    <row r="27" spans="1:30">
      <c r="A27" s="4784"/>
      <c r="B27" s="731"/>
      <c r="C27" s="764"/>
      <c r="D27" s="764" t="s">
        <v>819</v>
      </c>
      <c r="E27" s="764"/>
      <c r="F27" s="764"/>
      <c r="G27" s="764"/>
      <c r="H27" s="764"/>
      <c r="I27" s="764"/>
      <c r="J27" s="764"/>
      <c r="K27" s="764"/>
      <c r="L27" s="634"/>
      <c r="M27" s="764"/>
      <c r="N27" s="764"/>
      <c r="O27" s="764"/>
      <c r="P27" s="764"/>
      <c r="Q27" s="764"/>
      <c r="R27" s="735"/>
      <c r="S27" s="776" t="s">
        <v>820</v>
      </c>
      <c r="T27" s="634"/>
      <c r="U27" s="634"/>
      <c r="V27" s="634"/>
      <c r="W27" s="634"/>
      <c r="X27" s="634"/>
      <c r="Y27" s="634"/>
      <c r="Z27" s="634"/>
      <c r="AA27" s="634"/>
      <c r="AB27" s="634"/>
      <c r="AC27" s="634"/>
      <c r="AD27" s="517"/>
    </row>
    <row r="28" spans="1:30">
      <c r="A28" s="4784"/>
      <c r="B28" s="731"/>
      <c r="C28" s="764"/>
      <c r="D28" s="764" t="s">
        <v>821</v>
      </c>
      <c r="E28" s="764"/>
      <c r="F28" s="764"/>
      <c r="G28" s="764"/>
      <c r="H28" s="764"/>
      <c r="I28" s="764"/>
      <c r="J28" s="764"/>
      <c r="K28" s="764"/>
      <c r="L28" s="634"/>
      <c r="M28" s="764"/>
      <c r="N28" s="764"/>
      <c r="O28" s="764"/>
      <c r="P28" s="764"/>
      <c r="Q28" s="764"/>
      <c r="R28" s="735"/>
      <c r="S28" s="634"/>
      <c r="T28" s="634"/>
      <c r="U28" s="634"/>
      <c r="V28" s="634"/>
      <c r="W28" s="634"/>
      <c r="X28" s="634"/>
      <c r="Y28" s="634"/>
      <c r="Z28" s="634"/>
      <c r="AA28" s="634"/>
      <c r="AB28" s="634"/>
      <c r="AC28" s="634"/>
      <c r="AD28" s="517"/>
    </row>
    <row r="29" spans="1:30">
      <c r="A29" s="4784"/>
      <c r="B29" s="731"/>
      <c r="C29" s="764"/>
      <c r="D29" s="777" t="s">
        <v>822</v>
      </c>
      <c r="E29" s="764"/>
      <c r="F29" s="764"/>
      <c r="G29" s="764"/>
      <c r="H29" s="764"/>
      <c r="I29" s="764"/>
      <c r="J29" s="764"/>
      <c r="K29" s="764"/>
      <c r="L29" s="634"/>
      <c r="M29" s="764"/>
      <c r="N29" s="764"/>
      <c r="O29" s="764"/>
      <c r="P29" s="764"/>
      <c r="Q29" s="764"/>
      <c r="R29" s="735"/>
      <c r="S29" s="634"/>
      <c r="T29" s="634"/>
      <c r="U29" s="634"/>
      <c r="V29" s="634"/>
      <c r="W29" s="634"/>
      <c r="X29" s="634"/>
      <c r="Y29" s="634"/>
      <c r="Z29" s="634"/>
      <c r="AA29" s="634"/>
      <c r="AB29" s="634"/>
      <c r="AC29" s="634"/>
      <c r="AD29" s="517"/>
    </row>
    <row r="30" spans="1:30" ht="16.5" thickBot="1">
      <c r="A30" s="4784"/>
      <c r="B30" s="778"/>
      <c r="C30" s="779"/>
      <c r="D30" s="779"/>
      <c r="E30" s="779"/>
      <c r="F30" s="779"/>
      <c r="G30" s="779"/>
      <c r="H30" s="779"/>
      <c r="I30" s="779"/>
      <c r="J30" s="779"/>
      <c r="K30" s="779"/>
      <c r="L30" s="780"/>
      <c r="M30" s="779"/>
      <c r="N30" s="779"/>
      <c r="O30" s="779"/>
      <c r="P30" s="779"/>
      <c r="Q30" s="779"/>
      <c r="R30" s="781"/>
      <c r="S30" s="580"/>
      <c r="T30" s="580"/>
      <c r="U30" s="580"/>
      <c r="V30" s="580"/>
      <c r="W30" s="580"/>
      <c r="X30" s="580"/>
      <c r="Y30" s="580"/>
      <c r="Z30" s="580"/>
      <c r="AA30" s="580"/>
      <c r="AB30" s="580"/>
      <c r="AC30" s="580"/>
      <c r="AD30" s="581"/>
    </row>
    <row r="31" spans="1:30">
      <c r="A31" s="2"/>
      <c r="B31" s="572"/>
      <c r="C31" s="572"/>
      <c r="D31" s="572"/>
      <c r="E31" s="572"/>
      <c r="F31" s="572"/>
      <c r="G31" s="572"/>
      <c r="H31" s="572"/>
      <c r="I31" s="572"/>
      <c r="J31" s="572"/>
      <c r="K31" s="572"/>
      <c r="L31" s="572"/>
      <c r="M31" s="572"/>
      <c r="N31" s="572"/>
      <c r="O31" s="572"/>
      <c r="P31" s="572"/>
      <c r="Q31" s="572"/>
    </row>
    <row r="32" spans="1:30">
      <c r="A32" s="2"/>
      <c r="B32" s="572"/>
      <c r="C32" s="572"/>
      <c r="D32" s="572"/>
      <c r="E32" s="572"/>
      <c r="F32" s="572"/>
      <c r="G32" s="572"/>
      <c r="H32" s="572"/>
      <c r="I32" s="572"/>
      <c r="J32" s="572"/>
      <c r="K32" s="572"/>
      <c r="L32" s="572"/>
      <c r="M32" s="572"/>
      <c r="N32" s="572"/>
      <c r="O32" s="572"/>
      <c r="P32" s="572"/>
      <c r="Q32" s="572"/>
    </row>
    <row r="33" spans="1:30" ht="20.25">
      <c r="A33" s="1530" t="s">
        <v>70</v>
      </c>
      <c r="B33" s="5791" t="s">
        <v>989</v>
      </c>
      <c r="C33" s="5791"/>
      <c r="D33" s="5791"/>
      <c r="E33" s="5791"/>
      <c r="F33" s="5791"/>
      <c r="G33" s="5791"/>
      <c r="H33" s="5791"/>
      <c r="I33" s="5791"/>
      <c r="J33" s="5791"/>
      <c r="K33" s="5791"/>
      <c r="L33" s="5791"/>
      <c r="M33" s="5791"/>
      <c r="N33" s="5791"/>
      <c r="O33" s="5791"/>
      <c r="P33" s="5791"/>
      <c r="Q33" s="5791"/>
      <c r="R33" s="5791"/>
      <c r="S33" s="5791"/>
      <c r="T33" s="5791"/>
      <c r="U33" s="5791"/>
      <c r="V33" s="5791"/>
      <c r="W33" s="5791"/>
      <c r="X33" s="5791"/>
      <c r="Y33" s="5791"/>
      <c r="Z33" s="5791"/>
      <c r="AA33" s="5791"/>
      <c r="AB33" s="5791"/>
      <c r="AC33" s="5791"/>
      <c r="AD33" s="5791"/>
    </row>
    <row r="34" spans="1:30" ht="15.75" customHeight="1">
      <c r="A34" s="4784" t="str">
        <f>B33</f>
        <v>CRITERE QUALITATIF -                                     PONDERATION TECHNIQUE</v>
      </c>
      <c r="B34" s="558" t="str">
        <f>ADDRESS(ROW(),COLUMN(),4)</f>
        <v>B34</v>
      </c>
      <c r="C34" s="903" t="s">
        <v>691</v>
      </c>
      <c r="D34" s="1011"/>
      <c r="E34" s="1011"/>
      <c r="F34" s="1011"/>
      <c r="G34" s="1011"/>
      <c r="H34" s="1011"/>
      <c r="I34" s="1011"/>
      <c r="J34" s="1011"/>
      <c r="K34" s="1011"/>
      <c r="L34" s="1011"/>
      <c r="M34" s="1011"/>
      <c r="N34" s="1011"/>
      <c r="O34" s="1011"/>
      <c r="P34" s="1011"/>
      <c r="Q34" s="1011"/>
      <c r="R34" s="1012"/>
      <c r="S34" s="1012"/>
      <c r="T34" s="1012"/>
      <c r="U34" s="1012"/>
      <c r="V34" s="1012"/>
      <c r="W34" s="1012"/>
      <c r="X34" s="1012"/>
      <c r="Y34" s="1012"/>
      <c r="Z34" s="1012"/>
      <c r="AA34" s="1012"/>
      <c r="AB34" s="1012"/>
      <c r="AC34" s="1012"/>
      <c r="AD34" s="1012"/>
    </row>
    <row r="35" spans="1:30">
      <c r="A35" s="4784"/>
      <c r="B35" s="782" t="s">
        <v>823</v>
      </c>
      <c r="C35" s="783"/>
      <c r="D35" s="783"/>
      <c r="E35" s="783"/>
      <c r="F35" s="783"/>
      <c r="G35" s="783"/>
      <c r="H35" s="783"/>
      <c r="I35" s="783"/>
      <c r="J35" s="783"/>
      <c r="K35" s="783"/>
      <c r="L35" s="783"/>
      <c r="M35" s="783"/>
      <c r="N35" s="783"/>
      <c r="O35" s="783"/>
      <c r="P35" s="783"/>
      <c r="Q35" s="783"/>
      <c r="R35" s="783"/>
      <c r="S35" s="634"/>
      <c r="T35" s="634"/>
      <c r="U35" s="634"/>
      <c r="V35" s="634"/>
      <c r="W35" s="634"/>
      <c r="X35" s="634"/>
      <c r="Y35" s="634"/>
      <c r="Z35" s="634"/>
      <c r="AA35" s="634"/>
      <c r="AB35" s="634"/>
      <c r="AC35" s="634"/>
      <c r="AD35" s="634"/>
    </row>
    <row r="36" spans="1:30">
      <c r="A36" s="4784"/>
      <c r="B36" s="784" t="s">
        <v>824</v>
      </c>
      <c r="C36" s="783"/>
      <c r="D36" s="783"/>
      <c r="E36" s="783"/>
      <c r="F36" s="783"/>
      <c r="G36" s="783"/>
      <c r="H36" s="783"/>
      <c r="I36" s="783"/>
      <c r="J36" s="783"/>
      <c r="K36" s="783"/>
      <c r="L36" s="783"/>
      <c r="M36" s="783"/>
      <c r="N36" s="783"/>
      <c r="O36" s="783"/>
      <c r="P36" s="783"/>
      <c r="Q36" s="783"/>
      <c r="R36" s="783"/>
      <c r="S36" s="634"/>
      <c r="T36" s="634"/>
      <c r="U36" s="634"/>
      <c r="V36" s="634"/>
      <c r="W36" s="634"/>
      <c r="X36" s="634"/>
      <c r="Y36" s="634"/>
      <c r="Z36" s="634"/>
      <c r="AA36" s="634"/>
      <c r="AB36" s="634"/>
      <c r="AC36" s="634"/>
      <c r="AD36" s="634"/>
    </row>
    <row r="37" spans="1:30">
      <c r="A37" s="4784"/>
      <c r="B37" s="721"/>
      <c r="C37" s="785" t="s">
        <v>825</v>
      </c>
      <c r="D37" s="723"/>
      <c r="E37" s="634"/>
      <c r="F37" s="634"/>
      <c r="G37" s="723"/>
      <c r="H37" s="723"/>
      <c r="I37" s="723"/>
      <c r="J37" s="723"/>
      <c r="K37" s="723"/>
      <c r="L37" s="723"/>
      <c r="M37" s="634"/>
      <c r="N37" s="634"/>
      <c r="O37" s="634"/>
      <c r="P37" s="634"/>
      <c r="Q37" s="634"/>
      <c r="R37" s="634"/>
      <c r="S37" s="634"/>
      <c r="T37" s="634"/>
      <c r="U37" s="634"/>
      <c r="V37" s="634"/>
      <c r="W37" s="634"/>
      <c r="X37" s="634"/>
      <c r="Y37" s="634"/>
      <c r="Z37" s="634"/>
      <c r="AA37" s="634"/>
      <c r="AB37" s="634"/>
      <c r="AC37" s="634"/>
      <c r="AD37" s="634"/>
    </row>
    <row r="38" spans="1:30">
      <c r="A38" s="4784"/>
      <c r="B38" s="721"/>
      <c r="C38" s="5792" t="s">
        <v>826</v>
      </c>
      <c r="D38" s="5792"/>
      <c r="E38" s="5792"/>
      <c r="F38" s="5792"/>
      <c r="G38" s="724"/>
      <c r="H38" s="724"/>
      <c r="I38" s="724"/>
      <c r="J38" s="725" t="s">
        <v>230</v>
      </c>
      <c r="K38" s="724"/>
      <c r="L38" s="724"/>
      <c r="M38" s="634"/>
      <c r="N38" s="634"/>
      <c r="O38" s="634"/>
      <c r="P38" s="634"/>
      <c r="Q38" s="634"/>
      <c r="R38" s="634"/>
      <c r="S38" s="634"/>
      <c r="T38" s="634"/>
      <c r="U38" s="634"/>
      <c r="V38" s="634"/>
      <c r="W38" s="634"/>
      <c r="X38" s="634"/>
      <c r="Y38" s="634"/>
      <c r="Z38" s="634"/>
      <c r="AA38" s="634"/>
      <c r="AB38" s="634"/>
      <c r="AC38" s="634"/>
      <c r="AD38" s="634"/>
    </row>
    <row r="39" spans="1:30" ht="16.5" thickBot="1">
      <c r="A39" s="4784"/>
      <c r="B39" s="572"/>
      <c r="C39" s="572"/>
      <c r="D39" s="572"/>
      <c r="E39" s="572"/>
      <c r="F39" s="572"/>
      <c r="G39" s="572"/>
      <c r="H39" s="572"/>
      <c r="I39" s="572"/>
      <c r="J39" s="572"/>
      <c r="K39" s="572"/>
      <c r="L39" s="572"/>
      <c r="M39" s="572"/>
      <c r="N39" s="572"/>
      <c r="O39" s="572"/>
      <c r="P39" s="572"/>
      <c r="Q39" s="572"/>
      <c r="R39" s="634"/>
      <c r="S39" s="634"/>
      <c r="T39" s="634"/>
      <c r="U39" s="634"/>
      <c r="V39" s="634"/>
      <c r="W39" s="634"/>
      <c r="X39" s="634"/>
      <c r="Y39" s="634"/>
      <c r="Z39" s="634"/>
      <c r="AA39" s="634"/>
      <c r="AB39" s="634"/>
      <c r="AC39" s="634"/>
      <c r="AD39" s="634"/>
    </row>
    <row r="40" spans="1:30">
      <c r="A40" s="4784"/>
      <c r="B40" s="726"/>
      <c r="C40" s="727"/>
      <c r="D40" s="727"/>
      <c r="E40" s="727"/>
      <c r="F40" s="727"/>
      <c r="G40" s="727"/>
      <c r="H40" s="727"/>
      <c r="I40" s="727"/>
      <c r="J40" s="727"/>
      <c r="K40" s="727"/>
      <c r="L40" s="727"/>
      <c r="M40" s="727"/>
      <c r="N40" s="727"/>
      <c r="O40" s="727"/>
      <c r="P40" s="727"/>
      <c r="Q40" s="727"/>
      <c r="R40" s="728"/>
      <c r="S40" s="729"/>
      <c r="T40" s="729"/>
      <c r="U40" s="729"/>
      <c r="V40" s="729"/>
      <c r="W40" s="729"/>
      <c r="X40" s="729"/>
      <c r="Y40" s="729"/>
      <c r="Z40" s="729"/>
      <c r="AA40" s="729"/>
      <c r="AB40" s="729"/>
      <c r="AC40" s="729"/>
      <c r="AD40" s="730"/>
    </row>
    <row r="41" spans="1:30">
      <c r="A41" s="4784"/>
      <c r="B41" s="731"/>
      <c r="C41" s="786" t="s">
        <v>827</v>
      </c>
      <c r="D41" s="787"/>
      <c r="E41" s="734" t="s">
        <v>796</v>
      </c>
      <c r="F41" s="5793" t="s">
        <v>797</v>
      </c>
      <c r="G41" s="5794"/>
      <c r="H41" s="5795"/>
      <c r="I41" s="5793" t="s">
        <v>798</v>
      </c>
      <c r="J41" s="5794"/>
      <c r="K41" s="5795"/>
      <c r="L41" s="5793" t="s">
        <v>799</v>
      </c>
      <c r="M41" s="5794"/>
      <c r="N41" s="5795"/>
      <c r="O41" s="5793" t="s">
        <v>800</v>
      </c>
      <c r="P41" s="5794"/>
      <c r="Q41" s="5795"/>
      <c r="R41" s="735"/>
      <c r="S41" s="634"/>
      <c r="T41" s="634"/>
      <c r="U41" s="634"/>
      <c r="V41" s="634"/>
      <c r="W41" s="634"/>
      <c r="X41" s="634"/>
      <c r="Y41" s="634"/>
      <c r="Z41" s="634"/>
      <c r="AA41" s="634"/>
      <c r="AB41" s="634"/>
      <c r="AC41" s="634"/>
      <c r="AD41" s="517"/>
    </row>
    <row r="42" spans="1:30" ht="64.5" thickBot="1">
      <c r="A42" s="4784"/>
      <c r="B42" s="731"/>
      <c r="C42" s="788" t="s">
        <v>828</v>
      </c>
      <c r="D42" s="789"/>
      <c r="E42" s="738"/>
      <c r="F42" s="739" t="s">
        <v>829</v>
      </c>
      <c r="G42" s="740" t="s">
        <v>803</v>
      </c>
      <c r="H42" s="741" t="s">
        <v>804</v>
      </c>
      <c r="I42" s="739" t="s">
        <v>829</v>
      </c>
      <c r="J42" s="740" t="s">
        <v>803</v>
      </c>
      <c r="K42" s="741" t="s">
        <v>804</v>
      </c>
      <c r="L42" s="739" t="s">
        <v>829</v>
      </c>
      <c r="M42" s="740" t="s">
        <v>803</v>
      </c>
      <c r="N42" s="741" t="s">
        <v>804</v>
      </c>
      <c r="O42" s="739" t="s">
        <v>829</v>
      </c>
      <c r="P42" s="740" t="s">
        <v>803</v>
      </c>
      <c r="Q42" s="742" t="s">
        <v>804</v>
      </c>
      <c r="R42" s="735"/>
      <c r="S42" s="743"/>
      <c r="T42" s="634"/>
      <c r="U42" s="634"/>
      <c r="V42" s="634"/>
      <c r="W42" s="634"/>
      <c r="X42" s="634"/>
      <c r="Y42" s="634"/>
      <c r="Z42" s="634"/>
      <c r="AA42" s="634"/>
      <c r="AB42" s="634"/>
      <c r="AC42" s="634"/>
      <c r="AD42" s="517"/>
    </row>
    <row r="43" spans="1:30" ht="17.25" thickTop="1" thickBot="1">
      <c r="A43" s="4784"/>
      <c r="B43" s="731"/>
      <c r="C43" s="744" t="s">
        <v>830</v>
      </c>
      <c r="D43" s="745" t="s">
        <v>831</v>
      </c>
      <c r="E43" s="746">
        <v>50</v>
      </c>
      <c r="F43" s="790" t="s">
        <v>18</v>
      </c>
      <c r="G43" s="748" t="s">
        <v>15</v>
      </c>
      <c r="H43" s="749" t="s">
        <v>398</v>
      </c>
      <c r="I43" s="790" t="s">
        <v>807</v>
      </c>
      <c r="J43" s="748" t="s">
        <v>808</v>
      </c>
      <c r="K43" s="749" t="s">
        <v>809</v>
      </c>
      <c r="L43" s="790" t="s">
        <v>810</v>
      </c>
      <c r="M43" s="748" t="s">
        <v>811</v>
      </c>
      <c r="N43" s="749" t="s">
        <v>812</v>
      </c>
      <c r="O43" s="790" t="s">
        <v>12</v>
      </c>
      <c r="P43" s="748" t="s">
        <v>813</v>
      </c>
      <c r="Q43" s="748" t="s">
        <v>814</v>
      </c>
      <c r="R43" s="735"/>
      <c r="S43" s="750" t="s">
        <v>832</v>
      </c>
      <c r="T43" s="634"/>
      <c r="U43" s="634"/>
      <c r="V43" s="634"/>
      <c r="W43" s="634"/>
      <c r="X43" s="634"/>
      <c r="Y43" s="634"/>
      <c r="Z43" s="751" t="s">
        <v>803</v>
      </c>
      <c r="AA43" s="634"/>
      <c r="AB43" s="634"/>
      <c r="AC43" s="634"/>
      <c r="AD43" s="517"/>
    </row>
    <row r="44" spans="1:30" ht="16.5" thickTop="1">
      <c r="A44" s="4784"/>
      <c r="B44" s="731"/>
      <c r="I44" s="791"/>
      <c r="L44" s="791"/>
      <c r="O44" s="791"/>
      <c r="R44" s="752"/>
      <c r="S44" s="1561" t="s">
        <v>24</v>
      </c>
      <c r="T44" s="1561" t="s">
        <v>21</v>
      </c>
      <c r="U44" s="1561" t="s">
        <v>6</v>
      </c>
      <c r="V44" s="1561" t="s">
        <v>713</v>
      </c>
      <c r="W44" s="753" t="s">
        <v>831</v>
      </c>
      <c r="X44" s="753" t="s">
        <v>833</v>
      </c>
      <c r="Y44" s="634"/>
      <c r="Z44" s="1561" t="s">
        <v>24</v>
      </c>
      <c r="AA44" s="1561" t="s">
        <v>21</v>
      </c>
      <c r="AB44" s="1561" t="s">
        <v>6</v>
      </c>
      <c r="AC44" s="1561" t="s">
        <v>713</v>
      </c>
      <c r="AD44" s="517"/>
    </row>
    <row r="45" spans="1:30">
      <c r="A45" s="4784"/>
      <c r="B45" s="731"/>
      <c r="C45" s="792">
        <f>X45</f>
        <v>5.5350000000000001</v>
      </c>
      <c r="D45" s="793">
        <f>W45</f>
        <v>2.0499999999999998</v>
      </c>
      <c r="E45" s="756">
        <f>E43</f>
        <v>50</v>
      </c>
      <c r="F45" s="794">
        <v>5.5350000000000001</v>
      </c>
      <c r="G45" s="758">
        <f>(F45*E45)/C45</f>
        <v>50</v>
      </c>
      <c r="H45" s="759">
        <f>RANK(G45,Z45:AC45)</f>
        <v>1</v>
      </c>
      <c r="I45" s="794">
        <v>4.55</v>
      </c>
      <c r="J45" s="758">
        <f>(I45*E45)/C45</f>
        <v>41.10207768744354</v>
      </c>
      <c r="K45" s="759">
        <f>RANK(J45,Z45:AC45)</f>
        <v>2</v>
      </c>
      <c r="L45" s="794">
        <v>2.0499999999999998</v>
      </c>
      <c r="M45" s="758">
        <f>(L45*E45)/C45</f>
        <v>18.518518518518515</v>
      </c>
      <c r="N45" s="759">
        <f>RANK(M45,Z45:AC45)</f>
        <v>4</v>
      </c>
      <c r="O45" s="794">
        <v>3.59</v>
      </c>
      <c r="P45" s="758">
        <f>(O45*E45)/C45</f>
        <v>32.429990966576334</v>
      </c>
      <c r="Q45" s="760">
        <f>RANK(P45,Z45:AC45)</f>
        <v>3</v>
      </c>
      <c r="R45" s="752"/>
      <c r="S45" s="763">
        <f>F45</f>
        <v>5.5350000000000001</v>
      </c>
      <c r="T45" s="763">
        <f>I45</f>
        <v>4.55</v>
      </c>
      <c r="U45" s="763">
        <f>L45</f>
        <v>2.0499999999999998</v>
      </c>
      <c r="V45" s="763">
        <f>O45</f>
        <v>3.59</v>
      </c>
      <c r="W45" s="795">
        <f>SMALL(S45:V45,COUNTIF(S45:V45,"&lt;="&amp;0)+1)</f>
        <v>2.0499999999999998</v>
      </c>
      <c r="X45" s="795">
        <f>LARGE(S45:V45,COUNTIF(S45:V45,"&lt;="&amp;0)+1)</f>
        <v>5.5350000000000001</v>
      </c>
      <c r="Y45" s="634"/>
      <c r="Z45" s="763">
        <f>G45</f>
        <v>50</v>
      </c>
      <c r="AA45" s="763">
        <f>J45</f>
        <v>41.10207768744354</v>
      </c>
      <c r="AB45" s="763">
        <f>M45</f>
        <v>18.518518518518515</v>
      </c>
      <c r="AC45" s="763">
        <f>P45</f>
        <v>32.429990966576334</v>
      </c>
      <c r="AD45" s="517"/>
    </row>
    <row r="46" spans="1:30">
      <c r="A46" s="4784"/>
      <c r="B46" s="731"/>
      <c r="C46" s="792">
        <f>X46</f>
        <v>3.72</v>
      </c>
      <c r="D46" s="793">
        <f>W46</f>
        <v>2.5</v>
      </c>
      <c r="E46" s="756">
        <f>E43</f>
        <v>50</v>
      </c>
      <c r="F46" s="794">
        <v>3.1462500000000002</v>
      </c>
      <c r="G46" s="758">
        <f>(F46*E46)/C46</f>
        <v>42.288306451612904</v>
      </c>
      <c r="H46" s="759">
        <f>RANK(G46,Z46:AC46)</f>
        <v>2</v>
      </c>
      <c r="I46" s="794">
        <v>2.5499999999999998</v>
      </c>
      <c r="J46" s="758">
        <f>(I46*E46)/C46</f>
        <v>34.274193548387089</v>
      </c>
      <c r="K46" s="759">
        <f>RANK(J46,Z46:AC46)</f>
        <v>3</v>
      </c>
      <c r="L46" s="794">
        <v>2.5</v>
      </c>
      <c r="M46" s="758">
        <f>(L46*E46)/C46</f>
        <v>33.602150537634408</v>
      </c>
      <c r="N46" s="759">
        <f>RANK(M46,Z46:AC46)</f>
        <v>4</v>
      </c>
      <c r="O46" s="794">
        <v>3.72</v>
      </c>
      <c r="P46" s="758">
        <f>(O46*E46)/C46</f>
        <v>50</v>
      </c>
      <c r="Q46" s="760">
        <f>RANK(P46,Z46:AC46)</f>
        <v>1</v>
      </c>
      <c r="R46" s="752"/>
      <c r="S46" s="763">
        <f>F46</f>
        <v>3.1462500000000002</v>
      </c>
      <c r="T46" s="763">
        <f>I46</f>
        <v>2.5499999999999998</v>
      </c>
      <c r="U46" s="763">
        <f>L46</f>
        <v>2.5</v>
      </c>
      <c r="V46" s="763">
        <f>O46</f>
        <v>3.72</v>
      </c>
      <c r="W46" s="795">
        <f>SMALL(S46:V46,COUNTIF(S46:V46,"&lt;="&amp;0)+1)</f>
        <v>2.5</v>
      </c>
      <c r="X46" s="795">
        <f>LARGE(S46:V46,COUNTIF(S46:V46,"&lt;="&amp;0)+1)</f>
        <v>3.72</v>
      </c>
      <c r="Y46" s="634"/>
      <c r="Z46" s="763">
        <f t="shared" ref="Z46:Z47" si="8">G46</f>
        <v>42.288306451612904</v>
      </c>
      <c r="AA46" s="763">
        <f t="shared" ref="AA46:AA47" si="9">J46</f>
        <v>34.274193548387089</v>
      </c>
      <c r="AB46" s="763">
        <f t="shared" ref="AB46:AB47" si="10">M46</f>
        <v>33.602150537634408</v>
      </c>
      <c r="AC46" s="763">
        <f t="shared" ref="AC46:AC47" si="11">P46</f>
        <v>50</v>
      </c>
      <c r="AD46" s="517"/>
    </row>
    <row r="47" spans="1:30">
      <c r="A47" s="4784"/>
      <c r="B47" s="731"/>
      <c r="C47" s="792">
        <f>X47</f>
        <v>3.68</v>
      </c>
      <c r="D47" s="793">
        <f>W47</f>
        <v>2.4362499999999998</v>
      </c>
      <c r="E47" s="756">
        <f>E43</f>
        <v>50</v>
      </c>
      <c r="F47" s="794">
        <v>2.4362499999999998</v>
      </c>
      <c r="G47" s="758">
        <f>(F47*E47)/C47</f>
        <v>33.101222826086953</v>
      </c>
      <c r="H47" s="759">
        <f>RANK(G47,Z47:AC47)</f>
        <v>4</v>
      </c>
      <c r="I47" s="794">
        <v>2.4900000000000002</v>
      </c>
      <c r="J47" s="758">
        <f>(I47*E47)/C47</f>
        <v>33.831521739130437</v>
      </c>
      <c r="K47" s="759">
        <f>RANK(J47,Z47:AC47)</f>
        <v>3</v>
      </c>
      <c r="L47" s="794">
        <v>3.11</v>
      </c>
      <c r="M47" s="758">
        <f>(L47*E47)/C47</f>
        <v>42.255434782608695</v>
      </c>
      <c r="N47" s="759">
        <f>RANK(M47,Z47:AC47)</f>
        <v>2</v>
      </c>
      <c r="O47" s="794">
        <v>3.68</v>
      </c>
      <c r="P47" s="758">
        <f>(O47*E47)/C47</f>
        <v>50</v>
      </c>
      <c r="Q47" s="760">
        <f>RANK(P47,Z47:AC47)</f>
        <v>1</v>
      </c>
      <c r="R47" s="752"/>
      <c r="S47" s="763">
        <f>F47</f>
        <v>2.4362499999999998</v>
      </c>
      <c r="T47" s="763">
        <f>I47</f>
        <v>2.4900000000000002</v>
      </c>
      <c r="U47" s="763">
        <f>L47</f>
        <v>3.11</v>
      </c>
      <c r="V47" s="763">
        <f>O47</f>
        <v>3.68</v>
      </c>
      <c r="W47" s="795">
        <f>SMALL(S47:V47,COUNTIF(S47:V47,"&lt;="&amp;0)+1)</f>
        <v>2.4362499999999998</v>
      </c>
      <c r="X47" s="795">
        <f>LARGE(S47:V47,COUNTIF(S47:V47,"&lt;="&amp;0)+1)</f>
        <v>3.68</v>
      </c>
      <c r="Y47" s="634"/>
      <c r="Z47" s="763">
        <f t="shared" si="8"/>
        <v>33.101222826086953</v>
      </c>
      <c r="AA47" s="763">
        <f t="shared" si="9"/>
        <v>33.831521739130437</v>
      </c>
      <c r="AB47" s="763">
        <f t="shared" si="10"/>
        <v>42.255434782608695</v>
      </c>
      <c r="AC47" s="763">
        <f t="shared" si="11"/>
        <v>50</v>
      </c>
      <c r="AD47" s="517"/>
    </row>
    <row r="48" spans="1:30">
      <c r="A48" s="4784"/>
      <c r="B48" s="731"/>
      <c r="C48" s="764"/>
      <c r="D48" s="764"/>
      <c r="E48" s="764"/>
      <c r="F48" s="764"/>
      <c r="G48" s="764"/>
      <c r="H48" s="764"/>
      <c r="I48" s="764"/>
      <c r="J48" s="764"/>
      <c r="K48" s="764"/>
      <c r="L48" s="634"/>
      <c r="M48" s="764"/>
      <c r="N48" s="764"/>
      <c r="O48" s="764"/>
      <c r="P48" s="764"/>
      <c r="Q48" s="764"/>
      <c r="R48" s="735"/>
      <c r="S48" s="634"/>
      <c r="T48" s="634"/>
      <c r="U48" s="634"/>
      <c r="V48" s="634"/>
      <c r="W48" s="634"/>
      <c r="X48" s="634"/>
      <c r="Y48" s="634"/>
      <c r="Z48" s="634"/>
      <c r="AA48" s="634"/>
      <c r="AB48" s="634"/>
      <c r="AC48" s="634"/>
      <c r="AD48" s="517"/>
    </row>
    <row r="49" spans="1:30">
      <c r="A49" s="4784"/>
      <c r="B49" s="731"/>
      <c r="C49" s="765" t="s">
        <v>834</v>
      </c>
      <c r="D49" s="765"/>
      <c r="E49" s="764"/>
      <c r="F49" s="764"/>
      <c r="G49" s="764"/>
      <c r="H49" s="764"/>
      <c r="I49" s="764"/>
      <c r="J49" s="764"/>
      <c r="K49" s="764"/>
      <c r="L49" s="634"/>
      <c r="M49" s="764"/>
      <c r="N49" s="764"/>
      <c r="O49" s="764"/>
      <c r="P49" s="764"/>
      <c r="Q49" s="764"/>
      <c r="R49" s="735"/>
      <c r="S49" s="766" t="s">
        <v>806</v>
      </c>
      <c r="T49" s="634"/>
      <c r="U49" s="634"/>
      <c r="V49" s="634"/>
      <c r="W49" s="634"/>
      <c r="X49" s="634"/>
      <c r="Y49" s="634"/>
      <c r="Z49" s="634"/>
      <c r="AA49" s="634"/>
      <c r="AB49" s="634"/>
      <c r="AC49" s="634"/>
      <c r="AD49" s="517"/>
    </row>
    <row r="50" spans="1:30" ht="18">
      <c r="A50" s="4784"/>
      <c r="B50" s="731"/>
      <c r="C50" s="796" t="s">
        <v>835</v>
      </c>
      <c r="D50" s="768"/>
      <c r="E50" s="797" t="s">
        <v>825</v>
      </c>
      <c r="F50" s="770"/>
      <c r="G50" s="770"/>
      <c r="H50" s="770"/>
      <c r="I50" s="770"/>
      <c r="J50" s="770"/>
      <c r="K50" s="770"/>
      <c r="L50" s="634"/>
      <c r="M50" s="764"/>
      <c r="N50" s="764"/>
      <c r="O50" s="764"/>
      <c r="P50" s="764"/>
      <c r="Q50" s="764"/>
      <c r="R50" s="735"/>
      <c r="S50" s="771" t="s">
        <v>817</v>
      </c>
      <c r="T50" s="634"/>
      <c r="U50" s="634"/>
      <c r="V50" s="634"/>
      <c r="W50" s="634"/>
      <c r="X50" s="634"/>
      <c r="Y50" s="634"/>
      <c r="Z50" s="634"/>
      <c r="AA50" s="634"/>
      <c r="AB50" s="634"/>
      <c r="AC50" s="634"/>
      <c r="AD50" s="517"/>
    </row>
    <row r="51" spans="1:30">
      <c r="A51" s="4784"/>
      <c r="B51" s="731"/>
      <c r="C51" s="764"/>
      <c r="D51" s="765"/>
      <c r="E51" s="798" t="s">
        <v>826</v>
      </c>
      <c r="F51" s="773"/>
      <c r="G51" s="773"/>
      <c r="H51" s="773" t="s">
        <v>230</v>
      </c>
      <c r="I51" s="773"/>
      <c r="J51" s="774" t="s">
        <v>230</v>
      </c>
      <c r="K51" s="773"/>
      <c r="L51" s="634"/>
      <c r="M51" s="764"/>
      <c r="N51" s="764"/>
      <c r="O51" s="764"/>
      <c r="P51" s="764"/>
      <c r="Q51" s="764"/>
      <c r="R51" s="735"/>
      <c r="S51" s="775" t="s">
        <v>818</v>
      </c>
      <c r="T51" s="634"/>
      <c r="U51" s="634"/>
      <c r="V51" s="634"/>
      <c r="W51" s="634"/>
      <c r="X51" s="634"/>
      <c r="Y51" s="634"/>
      <c r="Z51" s="634"/>
      <c r="AA51" s="634"/>
      <c r="AB51" s="634"/>
      <c r="AC51" s="634"/>
      <c r="AD51" s="517"/>
    </row>
    <row r="52" spans="1:30">
      <c r="A52" s="4784"/>
      <c r="B52" s="731"/>
      <c r="C52" s="764"/>
      <c r="D52" s="764"/>
      <c r="E52" s="764"/>
      <c r="F52" s="764"/>
      <c r="G52" s="764"/>
      <c r="H52" s="764"/>
      <c r="I52" s="764"/>
      <c r="J52" s="764"/>
      <c r="K52" s="764"/>
      <c r="L52" s="634"/>
      <c r="M52" s="764"/>
      <c r="N52" s="764"/>
      <c r="O52" s="764"/>
      <c r="P52" s="764"/>
      <c r="Q52" s="764"/>
      <c r="R52" s="735"/>
      <c r="S52" s="634"/>
      <c r="T52" s="634"/>
      <c r="U52" s="634"/>
      <c r="V52" s="634"/>
      <c r="W52" s="634"/>
      <c r="X52" s="634"/>
      <c r="Y52" s="634"/>
      <c r="Z52" s="634"/>
      <c r="AA52" s="634"/>
      <c r="AB52" s="634"/>
      <c r="AC52" s="634"/>
      <c r="AD52" s="517"/>
    </row>
    <row r="53" spans="1:30">
      <c r="A53" s="4784"/>
      <c r="B53" s="731"/>
      <c r="C53" s="764"/>
      <c r="D53" s="764"/>
      <c r="E53" s="764"/>
      <c r="F53" s="764"/>
      <c r="G53" s="764"/>
      <c r="H53" s="764"/>
      <c r="I53" s="764"/>
      <c r="J53" s="764"/>
      <c r="K53" s="764"/>
      <c r="L53" s="634"/>
      <c r="M53" s="764"/>
      <c r="N53" s="764"/>
      <c r="O53" s="764"/>
      <c r="P53" s="764"/>
      <c r="Q53" s="764"/>
      <c r="R53" s="735"/>
      <c r="S53" s="776" t="s">
        <v>820</v>
      </c>
      <c r="T53" s="634"/>
      <c r="U53" s="634"/>
      <c r="V53" s="634"/>
      <c r="W53" s="634"/>
      <c r="X53" s="634"/>
      <c r="Y53" s="634"/>
      <c r="Z53" s="634"/>
      <c r="AA53" s="634"/>
      <c r="AB53" s="634"/>
      <c r="AC53" s="634"/>
      <c r="AD53" s="517"/>
    </row>
    <row r="54" spans="1:30">
      <c r="A54" s="4784"/>
      <c r="B54" s="731"/>
      <c r="C54" s="764"/>
      <c r="D54" s="764"/>
      <c r="E54" s="764"/>
      <c r="F54" s="764"/>
      <c r="G54" s="764"/>
      <c r="H54" s="764"/>
      <c r="I54" s="764"/>
      <c r="J54" s="764"/>
      <c r="K54" s="764"/>
      <c r="L54" s="634"/>
      <c r="M54" s="764"/>
      <c r="N54" s="764"/>
      <c r="O54" s="764"/>
      <c r="P54" s="764"/>
      <c r="Q54" s="764"/>
      <c r="R54" s="735"/>
      <c r="S54" s="634"/>
      <c r="T54" s="634"/>
      <c r="U54" s="634"/>
      <c r="V54" s="634"/>
      <c r="W54" s="634"/>
      <c r="X54" s="634"/>
      <c r="Y54" s="634"/>
      <c r="Z54" s="634"/>
      <c r="AA54" s="634"/>
      <c r="AB54" s="634"/>
      <c r="AC54" s="634"/>
      <c r="AD54" s="517"/>
    </row>
    <row r="55" spans="1:30">
      <c r="A55" s="4784"/>
      <c r="B55" s="731"/>
      <c r="C55" s="764"/>
      <c r="D55" s="799" t="s">
        <v>822</v>
      </c>
      <c r="E55" s="764"/>
      <c r="F55" s="764"/>
      <c r="G55" s="764"/>
      <c r="H55" s="764"/>
      <c r="I55" s="764"/>
      <c r="J55" s="764"/>
      <c r="K55" s="764"/>
      <c r="L55" s="634"/>
      <c r="M55" s="764"/>
      <c r="N55" s="764"/>
      <c r="O55" s="764"/>
      <c r="P55" s="764"/>
      <c r="Q55" s="764"/>
      <c r="R55" s="735"/>
      <c r="S55" s="634"/>
      <c r="T55" s="634"/>
      <c r="U55" s="634"/>
      <c r="V55" s="634"/>
      <c r="W55" s="634"/>
      <c r="X55" s="634"/>
      <c r="Y55" s="634"/>
      <c r="Z55" s="634"/>
      <c r="AA55" s="634"/>
      <c r="AB55" s="634"/>
      <c r="AC55" s="634"/>
      <c r="AD55" s="517"/>
    </row>
    <row r="56" spans="1:30" ht="16.5" thickBot="1">
      <c r="A56" s="4784"/>
      <c r="B56" s="778"/>
      <c r="C56" s="779"/>
      <c r="D56" s="779"/>
      <c r="E56" s="779"/>
      <c r="F56" s="779"/>
      <c r="G56" s="779"/>
      <c r="H56" s="779"/>
      <c r="I56" s="779"/>
      <c r="J56" s="779"/>
      <c r="K56" s="779"/>
      <c r="L56" s="780"/>
      <c r="M56" s="779"/>
      <c r="N56" s="779"/>
      <c r="O56" s="779"/>
      <c r="P56" s="779"/>
      <c r="Q56" s="779"/>
      <c r="R56" s="781"/>
      <c r="S56" s="580"/>
      <c r="T56" s="580"/>
      <c r="U56" s="580"/>
      <c r="V56" s="580"/>
      <c r="W56" s="580"/>
      <c r="X56" s="580"/>
      <c r="Y56" s="580"/>
      <c r="Z56" s="580"/>
      <c r="AA56" s="580"/>
      <c r="AB56" s="580"/>
      <c r="AC56" s="580"/>
      <c r="AD56" s="581"/>
    </row>
    <row r="57" spans="1:30" s="1" customFormat="1" ht="18.75">
      <c r="A57" s="660"/>
      <c r="B57" s="714"/>
      <c r="C57" s="660"/>
      <c r="D57" s="660"/>
      <c r="E57" s="660"/>
      <c r="F57" s="712"/>
      <c r="G57" s="712"/>
      <c r="H57" s="638"/>
      <c r="I57" s="713"/>
      <c r="J57" s="717"/>
      <c r="K57" s="714"/>
      <c r="L57" s="715"/>
      <c r="M57" s="713"/>
      <c r="N57" s="490"/>
      <c r="O57" s="2"/>
      <c r="P57" s="2"/>
      <c r="Q57" s="3"/>
    </row>
  </sheetData>
  <mergeCells count="16">
    <mergeCell ref="B2:Q2"/>
    <mergeCell ref="B4:Q5"/>
    <mergeCell ref="B7:AD7"/>
    <mergeCell ref="A8:A30"/>
    <mergeCell ref="C12:E12"/>
    <mergeCell ref="F15:H15"/>
    <mergeCell ref="I15:K15"/>
    <mergeCell ref="L15:N15"/>
    <mergeCell ref="O15:Q15"/>
    <mergeCell ref="B33:AD33"/>
    <mergeCell ref="A34:A56"/>
    <mergeCell ref="C38:F38"/>
    <mergeCell ref="F41:H41"/>
    <mergeCell ref="I41:K41"/>
    <mergeCell ref="L41:N41"/>
    <mergeCell ref="O41:Q41"/>
  </mergeCells>
  <conditionalFormatting sqref="D19:D21">
    <cfRule type="cellIs" dxfId="54" priority="9" stopIfTrue="1" operator="equal">
      <formula>FW19</formula>
    </cfRule>
  </conditionalFormatting>
  <conditionalFormatting sqref="C19:C21">
    <cfRule type="cellIs" dxfId="53" priority="10" stopIfTrue="1" operator="equal">
      <formula>0</formula>
    </cfRule>
  </conditionalFormatting>
  <conditionalFormatting sqref="H19:H21 K19:K21 N19:N21 Q19:Q21">
    <cfRule type="cellIs" dxfId="52" priority="11" stopIfTrue="1" operator="equal">
      <formula>1</formula>
    </cfRule>
    <cfRule type="cellIs" dxfId="51" priority="12" stopIfTrue="1" operator="equal">
      <formula>2</formula>
    </cfRule>
    <cfRule type="cellIs" dxfId="50" priority="13" stopIfTrue="1" operator="equal">
      <formula>3</formula>
    </cfRule>
  </conditionalFormatting>
  <conditionalFormatting sqref="D45:D47">
    <cfRule type="cellIs" dxfId="49" priority="4" stopIfTrue="1" operator="equal">
      <formula>FW45</formula>
    </cfRule>
  </conditionalFormatting>
  <conditionalFormatting sqref="C45:C47">
    <cfRule type="cellIs" dxfId="48" priority="5" stopIfTrue="1" operator="equal">
      <formula>0</formula>
    </cfRule>
  </conditionalFormatting>
  <conditionalFormatting sqref="H45:H47 K45:K47 N45:N47 Q45:Q47">
    <cfRule type="cellIs" dxfId="47" priority="6" stopIfTrue="1" operator="equal">
      <formula>1</formula>
    </cfRule>
    <cfRule type="cellIs" dxfId="46" priority="7" stopIfTrue="1" operator="equal">
      <formula>2</formula>
    </cfRule>
    <cfRule type="cellIs" dxfId="45" priority="8" stopIfTrue="1" operator="equal">
      <formula>3</formula>
    </cfRule>
  </conditionalFormatting>
  <conditionalFormatting sqref="A33">
    <cfRule type="expression" dxfId="44" priority="3" stopIfTrue="1">
      <formula>OR(ROW()=CELL("ligne"),COLUMN()=CELL("colonne"))</formula>
    </cfRule>
  </conditionalFormatting>
  <conditionalFormatting sqref="A7">
    <cfRule type="expression" dxfId="43" priority="2" stopIfTrue="1">
      <formula>OR(ROW()=CELL("ligne"),COLUMN()=CELL("colonne"))</formula>
    </cfRule>
  </conditionalFormatting>
  <conditionalFormatting sqref="A4">
    <cfRule type="expression" dxfId="42" priority="1" stopIfTrue="1">
      <formula>OR(ROW()=CELL("ligne"),COLUMN()=CELL("colonne"))</formula>
    </cfRule>
  </conditionalFormatting>
  <hyperlinks>
    <hyperlink ref="S27" r:id="rId1" xr:uid="{00000000-0004-0000-0A00-000000000000}"/>
    <hyperlink ref="S53" r:id="rId2" xr:uid="{00000000-0004-0000-0A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6682-F870-46C2-8FA3-B296F5E2BEEF}">
  <dimension ref="A1:AV458"/>
  <sheetViews>
    <sheetView topLeftCell="A33" zoomScaleNormal="100" workbookViewId="0">
      <selection activeCell="V49" sqref="V49"/>
    </sheetView>
  </sheetViews>
  <sheetFormatPr baseColWidth="10" defaultRowHeight="15.75"/>
  <cols>
    <col min="1" max="1" width="4.5" customWidth="1"/>
    <col min="4" max="4" width="12.875" customWidth="1"/>
    <col min="5" max="5" width="11" customWidth="1"/>
    <col min="7" max="7" width="14.25" customWidth="1"/>
    <col min="17" max="17" width="6.75" customWidth="1"/>
    <col min="27" max="27" width="12.125" customWidth="1"/>
    <col min="28" max="28" width="5" customWidth="1"/>
    <col min="38" max="38" width="11" customWidth="1"/>
    <col min="39" max="39" width="5" customWidth="1"/>
  </cols>
  <sheetData>
    <row r="1" spans="1:48">
      <c r="AJ1" s="634"/>
      <c r="AK1" s="634"/>
      <c r="AL1" s="634"/>
      <c r="AM1" s="634"/>
      <c r="AN1" s="634"/>
      <c r="AO1" s="634"/>
      <c r="AP1" s="634"/>
      <c r="AQ1" s="634"/>
      <c r="AR1" s="634"/>
      <c r="AS1" s="634"/>
      <c r="AT1" s="634"/>
      <c r="AU1" s="634"/>
      <c r="AV1" s="634"/>
    </row>
    <row r="2" spans="1:48" ht="15.75" customHeight="1">
      <c r="A2" s="5642" t="s">
        <v>972</v>
      </c>
      <c r="B2" s="5993" t="s">
        <v>1016</v>
      </c>
      <c r="C2" s="5994"/>
      <c r="D2" s="5994"/>
      <c r="E2" s="5994"/>
      <c r="F2" s="5994"/>
      <c r="G2" s="5994"/>
      <c r="H2" s="5994"/>
      <c r="I2" s="5994"/>
      <c r="J2" s="5994"/>
      <c r="K2" s="5994"/>
      <c r="L2" s="5994"/>
      <c r="M2" s="5994"/>
      <c r="N2" s="5994"/>
      <c r="O2" s="5994"/>
      <c r="P2" s="5994"/>
      <c r="Q2" s="5994"/>
      <c r="R2" s="5994"/>
      <c r="S2" s="5994"/>
      <c r="T2" s="5994"/>
      <c r="U2" s="5994"/>
      <c r="V2" s="5994"/>
      <c r="W2" s="5994"/>
      <c r="X2" s="5994"/>
      <c r="Y2" s="5994"/>
      <c r="Z2" s="5994"/>
      <c r="AA2" s="5994"/>
      <c r="AB2" s="5994"/>
      <c r="AC2" s="5994"/>
      <c r="AD2" s="5994"/>
      <c r="AE2" s="5994"/>
      <c r="AF2" s="5994"/>
      <c r="AG2" s="5994"/>
      <c r="AH2" s="5994"/>
      <c r="AI2" s="5994"/>
      <c r="AJ2" s="5994"/>
      <c r="AK2" s="5994"/>
      <c r="AL2" s="5994"/>
      <c r="AM2" s="5994"/>
      <c r="AN2" s="5994"/>
      <c r="AO2" s="5994"/>
      <c r="AP2" s="5994"/>
      <c r="AQ2" s="5994"/>
      <c r="AR2" s="5994"/>
      <c r="AS2" s="5994"/>
      <c r="AT2" s="5994"/>
      <c r="AU2" s="5994"/>
      <c r="AV2" s="5994"/>
    </row>
    <row r="3" spans="1:48" ht="15.75" customHeight="1">
      <c r="A3" s="5642"/>
      <c r="B3" s="5993"/>
      <c r="C3" s="5994"/>
      <c r="D3" s="5994"/>
      <c r="E3" s="5994"/>
      <c r="F3" s="5994"/>
      <c r="G3" s="5994"/>
      <c r="H3" s="5994"/>
      <c r="I3" s="5994"/>
      <c r="J3" s="5994"/>
      <c r="K3" s="5994"/>
      <c r="L3" s="5994"/>
      <c r="M3" s="5994"/>
      <c r="N3" s="5994"/>
      <c r="O3" s="5994"/>
      <c r="P3" s="5994"/>
      <c r="Q3" s="5994"/>
      <c r="R3" s="5994"/>
      <c r="S3" s="5994"/>
      <c r="T3" s="5994"/>
      <c r="U3" s="5994"/>
      <c r="V3" s="5994"/>
      <c r="W3" s="5994"/>
      <c r="X3" s="5994"/>
      <c r="Y3" s="5994"/>
      <c r="Z3" s="5994"/>
      <c r="AA3" s="5994"/>
      <c r="AB3" s="5994"/>
      <c r="AC3" s="5994"/>
      <c r="AD3" s="5994"/>
      <c r="AE3" s="5994"/>
      <c r="AF3" s="5994"/>
      <c r="AG3" s="5994"/>
      <c r="AH3" s="5994"/>
      <c r="AI3" s="5994"/>
      <c r="AJ3" s="5994"/>
      <c r="AK3" s="5994"/>
      <c r="AL3" s="5994"/>
      <c r="AM3" s="5994"/>
      <c r="AN3" s="5994"/>
      <c r="AO3" s="5994"/>
      <c r="AP3" s="5994"/>
      <c r="AQ3" s="5994"/>
      <c r="AR3" s="5994"/>
      <c r="AS3" s="5994"/>
      <c r="AT3" s="5994"/>
      <c r="AU3" s="5994"/>
      <c r="AV3" s="5994"/>
    </row>
    <row r="4" spans="1:48">
      <c r="B4" s="634"/>
      <c r="C4" s="634"/>
      <c r="D4" s="634"/>
      <c r="E4" s="634"/>
      <c r="F4" s="634"/>
      <c r="G4" s="634"/>
      <c r="H4" s="1214" t="s">
        <v>473</v>
      </c>
      <c r="I4" s="634"/>
      <c r="J4" s="1214" t="s">
        <v>473</v>
      </c>
      <c r="K4" s="634"/>
      <c r="L4" s="634"/>
      <c r="M4" s="634"/>
      <c r="N4" s="1214" t="s">
        <v>473</v>
      </c>
      <c r="O4" s="634"/>
      <c r="P4" s="634"/>
      <c r="Q4" s="634"/>
      <c r="R4" s="634"/>
      <c r="S4" s="634"/>
      <c r="T4" s="634"/>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c r="AT4" s="634"/>
      <c r="AU4" s="634"/>
      <c r="AV4" s="634"/>
    </row>
    <row r="5" spans="1:48" ht="23.25" customHeight="1">
      <c r="A5" s="634"/>
      <c r="B5" s="352" t="s">
        <v>990</v>
      </c>
      <c r="C5" s="2285" t="s">
        <v>991</v>
      </c>
      <c r="D5" s="2286"/>
      <c r="E5" s="2286"/>
      <c r="F5" s="2286"/>
      <c r="G5" s="2287"/>
      <c r="H5" s="1215" t="s">
        <v>1017</v>
      </c>
      <c r="I5" s="2288"/>
      <c r="J5" s="1215" t="s">
        <v>1018</v>
      </c>
      <c r="K5" s="2288"/>
      <c r="L5" s="2288"/>
      <c r="M5" s="2288"/>
      <c r="N5" s="1215" t="s">
        <v>1019</v>
      </c>
      <c r="O5" s="2288"/>
      <c r="P5" s="2288"/>
      <c r="Q5" s="1215" t="s">
        <v>1020</v>
      </c>
      <c r="R5" s="2288"/>
      <c r="S5" s="2284"/>
      <c r="T5" s="5995" t="s">
        <v>1513</v>
      </c>
      <c r="U5" s="5995"/>
      <c r="V5" s="5995"/>
      <c r="W5" s="5995"/>
      <c r="X5" s="1216"/>
      <c r="Y5" s="634"/>
      <c r="Z5" s="634"/>
      <c r="AA5" s="634"/>
      <c r="AB5" s="634"/>
      <c r="AC5" s="634"/>
      <c r="AD5" s="634"/>
      <c r="AE5" s="634"/>
      <c r="AF5" s="634"/>
      <c r="AG5" s="634"/>
      <c r="AH5" s="634"/>
      <c r="AI5" s="634"/>
      <c r="AJ5" s="634"/>
      <c r="AK5" s="634"/>
      <c r="AL5" s="634"/>
      <c r="AM5" s="634"/>
      <c r="AN5" s="634"/>
      <c r="AO5" s="634"/>
      <c r="AP5" s="634"/>
      <c r="AQ5" s="634"/>
      <c r="AR5" s="634"/>
      <c r="AS5" s="634"/>
      <c r="AT5" s="634"/>
      <c r="AU5" s="634"/>
      <c r="AV5" s="634"/>
    </row>
    <row r="6" spans="1:48" ht="15.75" customHeight="1">
      <c r="B6" s="634"/>
      <c r="C6" s="634"/>
      <c r="D6" s="634"/>
      <c r="E6" s="634"/>
      <c r="F6" s="634"/>
      <c r="G6" s="634"/>
      <c r="H6" s="1214" t="s">
        <v>473</v>
      </c>
      <c r="I6" s="634"/>
      <c r="J6" s="634"/>
      <c r="K6" s="634"/>
      <c r="L6" s="634"/>
      <c r="M6" s="634"/>
      <c r="N6" s="1214" t="s">
        <v>473</v>
      </c>
      <c r="O6" s="634"/>
      <c r="P6" s="634"/>
      <c r="Q6" s="634"/>
      <c r="R6" s="634"/>
      <c r="S6" s="634"/>
      <c r="T6" s="5995"/>
      <c r="U6" s="5995"/>
      <c r="V6" s="5995"/>
      <c r="W6" s="5995"/>
      <c r="X6" s="1216"/>
      <c r="Y6" s="634"/>
      <c r="Z6" s="634"/>
      <c r="AA6" s="634"/>
      <c r="AB6" s="634"/>
      <c r="AC6" s="634"/>
      <c r="AD6" s="634"/>
      <c r="AE6" s="634"/>
      <c r="AF6" s="634"/>
      <c r="AG6" s="634"/>
      <c r="AH6" s="634"/>
      <c r="AI6" s="634"/>
      <c r="AJ6" s="634"/>
      <c r="AK6" s="634"/>
      <c r="AL6" s="634"/>
      <c r="AM6" s="634"/>
      <c r="AN6" s="634"/>
      <c r="AO6" s="634"/>
      <c r="AP6" s="634"/>
      <c r="AQ6" s="634"/>
      <c r="AR6" s="634"/>
      <c r="AS6" s="634"/>
      <c r="AT6" s="634"/>
      <c r="AU6" s="634"/>
      <c r="AV6" s="634"/>
    </row>
    <row r="7" spans="1:48" ht="23.25">
      <c r="B7" s="352" t="s">
        <v>990</v>
      </c>
      <c r="C7" s="1948"/>
      <c r="D7" s="1948"/>
      <c r="E7" s="1948"/>
      <c r="F7" s="1948"/>
      <c r="G7" s="1948"/>
      <c r="H7" s="1215" t="s">
        <v>1021</v>
      </c>
      <c r="I7" s="1948"/>
      <c r="J7" s="1948"/>
      <c r="K7" s="1948"/>
      <c r="L7" s="1948"/>
      <c r="M7" s="1948"/>
      <c r="N7" s="1215" t="s">
        <v>1022</v>
      </c>
      <c r="O7" s="1948"/>
      <c r="P7" s="1948"/>
      <c r="Q7" s="1948"/>
      <c r="R7" s="1948"/>
      <c r="S7" s="2284"/>
      <c r="T7" s="1217" t="s">
        <v>1023</v>
      </c>
      <c r="U7" s="1217"/>
      <c r="V7" s="1218"/>
      <c r="W7" s="1218"/>
      <c r="X7" s="634"/>
      <c r="Y7" s="634"/>
      <c r="Z7" s="634"/>
      <c r="AA7" s="634"/>
      <c r="AB7" s="634"/>
      <c r="AC7" s="634"/>
      <c r="AD7" s="634"/>
      <c r="AE7" s="634"/>
      <c r="AF7" s="634"/>
      <c r="AG7" s="634"/>
      <c r="AH7" s="634"/>
      <c r="AI7" s="634"/>
      <c r="AJ7" s="634"/>
      <c r="AK7" s="634"/>
      <c r="AL7" s="634"/>
      <c r="AM7" s="634"/>
      <c r="AN7" s="634"/>
      <c r="AO7" s="634"/>
      <c r="AP7" s="634"/>
      <c r="AQ7" s="634"/>
      <c r="AR7" s="634"/>
      <c r="AS7" s="634"/>
      <c r="AT7" s="634"/>
      <c r="AU7" s="634"/>
      <c r="AV7" s="634"/>
    </row>
    <row r="8" spans="1:48">
      <c r="B8" s="634"/>
      <c r="C8" s="1214" t="s">
        <v>473</v>
      </c>
      <c r="D8" s="634"/>
      <c r="E8" s="634"/>
      <c r="F8" s="634"/>
      <c r="G8" s="634"/>
      <c r="H8" s="634"/>
      <c r="I8" s="634"/>
      <c r="J8" s="634"/>
      <c r="K8" s="634"/>
      <c r="L8" s="634"/>
      <c r="M8" s="634"/>
      <c r="N8" s="634"/>
      <c r="O8" s="634"/>
      <c r="P8" s="634"/>
      <c r="Q8" s="634"/>
      <c r="R8" s="634"/>
      <c r="S8" s="634"/>
      <c r="T8" s="634"/>
      <c r="U8" s="634"/>
      <c r="V8" s="634"/>
      <c r="W8" s="634"/>
      <c r="X8" s="634"/>
      <c r="Y8" s="634"/>
      <c r="Z8" s="634"/>
      <c r="AA8" s="634"/>
      <c r="AB8" s="634"/>
      <c r="AC8" s="634"/>
      <c r="AD8" s="634"/>
      <c r="AE8" s="634"/>
      <c r="AF8" s="634"/>
      <c r="AG8" s="634"/>
      <c r="AH8" s="634"/>
      <c r="AI8" s="634"/>
      <c r="AJ8" s="634"/>
      <c r="AK8" s="634"/>
      <c r="AL8" s="634"/>
      <c r="AM8" s="634"/>
      <c r="AN8" s="634"/>
      <c r="AO8" s="634"/>
      <c r="AP8" s="634"/>
      <c r="AQ8" s="634"/>
      <c r="AR8" s="634"/>
      <c r="AS8" s="634"/>
      <c r="AT8" s="634"/>
      <c r="AU8" s="634"/>
      <c r="AV8" s="634"/>
    </row>
    <row r="9" spans="1:48" ht="23.25">
      <c r="B9" s="352" t="s">
        <v>990</v>
      </c>
      <c r="C9" s="1215" t="s">
        <v>1024</v>
      </c>
      <c r="D9" s="1948"/>
      <c r="E9" s="1948"/>
      <c r="F9" s="1948"/>
      <c r="G9" s="1948"/>
      <c r="H9" s="1948"/>
      <c r="I9" s="1948"/>
      <c r="J9" s="1948"/>
      <c r="K9" s="1948"/>
      <c r="L9" s="1948"/>
      <c r="M9" s="1948"/>
      <c r="N9" s="1948"/>
      <c r="O9" s="1948"/>
      <c r="P9" s="1948"/>
      <c r="Q9" s="1948"/>
      <c r="R9" s="1948"/>
      <c r="S9" s="1948"/>
      <c r="T9" s="634"/>
      <c r="U9" s="1219"/>
      <c r="V9" s="634"/>
      <c r="W9" s="634"/>
      <c r="X9" s="634"/>
      <c r="Y9" s="634"/>
      <c r="Z9" s="634"/>
      <c r="AA9" s="634"/>
      <c r="AB9" s="634"/>
      <c r="AC9" s="634"/>
      <c r="AD9" s="634"/>
      <c r="AE9" s="634"/>
      <c r="AF9" s="634"/>
      <c r="AG9" s="634"/>
      <c r="AH9" s="634"/>
      <c r="AI9" s="634"/>
      <c r="AJ9" s="634"/>
      <c r="AK9" s="634"/>
      <c r="AL9" s="634"/>
      <c r="AM9" s="634"/>
      <c r="AN9" s="634"/>
      <c r="AO9" s="634"/>
      <c r="AP9" s="634"/>
      <c r="AQ9" s="634"/>
      <c r="AR9" s="634"/>
      <c r="AS9" s="634"/>
      <c r="AT9" s="634"/>
      <c r="AU9" s="634"/>
      <c r="AV9" s="634"/>
    </row>
    <row r="10" spans="1:48">
      <c r="B10" s="634"/>
      <c r="C10" s="634"/>
      <c r="D10" s="634"/>
      <c r="E10" s="634"/>
      <c r="F10" s="634"/>
      <c r="G10" s="634"/>
      <c r="H10" s="634"/>
      <c r="I10" s="634"/>
      <c r="J10" s="1214" t="s">
        <v>473</v>
      </c>
      <c r="K10" s="634"/>
      <c r="L10" s="634"/>
      <c r="M10" s="634"/>
      <c r="N10" s="634"/>
      <c r="O10" s="634"/>
      <c r="P10" s="634"/>
      <c r="Q10" s="634"/>
      <c r="R10" s="634"/>
      <c r="S10" s="634"/>
      <c r="T10" s="634"/>
      <c r="U10" s="634"/>
      <c r="V10" s="634"/>
      <c r="W10" s="634"/>
      <c r="X10" s="634"/>
      <c r="Y10" s="634"/>
      <c r="Z10" s="634"/>
      <c r="AA10" s="634"/>
      <c r="AB10" s="634"/>
      <c r="AC10" s="634"/>
      <c r="AD10" s="634"/>
      <c r="AE10" s="634"/>
      <c r="AF10" s="634"/>
      <c r="AG10" s="634"/>
      <c r="AH10" s="634"/>
      <c r="AI10" s="634"/>
      <c r="AJ10" s="634"/>
      <c r="AK10" s="634"/>
      <c r="AL10" s="634"/>
      <c r="AM10" s="634"/>
      <c r="AN10" s="634"/>
      <c r="AO10" s="634"/>
      <c r="AP10" s="634"/>
      <c r="AQ10" s="634"/>
      <c r="AR10" s="634"/>
      <c r="AS10" s="634"/>
      <c r="AT10" s="634"/>
      <c r="AU10" s="634"/>
      <c r="AV10" s="634"/>
    </row>
    <row r="11" spans="1:48" ht="31.5">
      <c r="B11" s="352" t="s">
        <v>990</v>
      </c>
      <c r="C11" s="2285" t="s">
        <v>1025</v>
      </c>
      <c r="D11" s="2286"/>
      <c r="E11" s="2286"/>
      <c r="F11" s="2286"/>
      <c r="G11" s="2286"/>
      <c r="H11" s="2286"/>
      <c r="I11" s="2285"/>
      <c r="J11" s="1220" t="s">
        <v>1026</v>
      </c>
      <c r="K11" s="2289"/>
      <c r="L11" s="2289"/>
      <c r="M11" s="2289"/>
      <c r="N11" s="2289"/>
      <c r="O11" s="2289"/>
      <c r="P11" s="2289"/>
      <c r="Q11" s="2289"/>
      <c r="R11" s="2289"/>
      <c r="S11" s="2284"/>
      <c r="T11" s="634"/>
      <c r="U11" s="1219"/>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row>
    <row r="12" spans="1:48">
      <c r="B12" s="634"/>
      <c r="C12" s="634"/>
      <c r="D12" s="634"/>
      <c r="E12" s="634"/>
      <c r="F12" s="634"/>
      <c r="G12" s="634"/>
      <c r="H12" s="634"/>
      <c r="I12" s="634"/>
      <c r="J12" s="1214" t="s">
        <v>473</v>
      </c>
      <c r="K12" s="634"/>
      <c r="L12" s="634"/>
      <c r="M12" s="634"/>
      <c r="N12" s="1214" t="s">
        <v>473</v>
      </c>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row>
    <row r="13" spans="1:48" ht="23.25">
      <c r="B13" s="352" t="s">
        <v>990</v>
      </c>
      <c r="C13" s="2285" t="s">
        <v>1027</v>
      </c>
      <c r="D13" s="2285"/>
      <c r="E13" s="2285"/>
      <c r="F13" s="2285"/>
      <c r="G13" s="2285"/>
      <c r="H13" s="2285"/>
      <c r="I13" s="2285"/>
      <c r="J13" s="1220" t="s">
        <v>1028</v>
      </c>
      <c r="K13" s="2284"/>
      <c r="L13" s="2284"/>
      <c r="M13" s="2284"/>
      <c r="N13" s="1220" t="s">
        <v>1029</v>
      </c>
      <c r="O13" s="2284"/>
      <c r="P13" s="2284"/>
      <c r="Q13" s="2284"/>
      <c r="R13" s="2284"/>
      <c r="S13" s="228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row>
    <row r="14" spans="1:48" ht="18.75">
      <c r="B14" s="634"/>
      <c r="C14" s="469" t="s">
        <v>1030</v>
      </c>
      <c r="D14" s="634"/>
      <c r="E14" s="634"/>
      <c r="F14" s="634"/>
      <c r="G14" s="634"/>
      <c r="H14" s="634"/>
      <c r="I14" s="634"/>
      <c r="J14" s="634"/>
      <c r="K14" s="634"/>
      <c r="L14" s="634"/>
      <c r="M14" s="634"/>
      <c r="N14" s="634"/>
      <c r="O14" s="634"/>
      <c r="P14" s="634"/>
      <c r="Q14" s="634"/>
      <c r="R14" s="634"/>
      <c r="S14" s="1221"/>
      <c r="T14" s="1221"/>
      <c r="U14" s="1221"/>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row>
    <row r="15" spans="1:48" ht="23.25" customHeight="1">
      <c r="B15" s="352"/>
      <c r="C15" s="5996" t="s">
        <v>1031</v>
      </c>
      <c r="D15" s="5996"/>
      <c r="E15" s="5996"/>
      <c r="F15" s="5996"/>
      <c r="G15" s="5996"/>
      <c r="H15" s="5996"/>
      <c r="I15" s="5996"/>
      <c r="J15" s="5996"/>
      <c r="K15" s="5996"/>
      <c r="L15" s="5996"/>
      <c r="M15" s="5996"/>
      <c r="N15" s="5996"/>
      <c r="O15" s="5996"/>
      <c r="P15" s="5996"/>
      <c r="Q15" s="5996"/>
      <c r="R15" s="5996"/>
      <c r="S15" s="5996"/>
      <c r="T15" s="1221"/>
      <c r="U15" s="1221"/>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row>
    <row r="16" spans="1:48" ht="23.25" customHeight="1">
      <c r="B16" s="352"/>
      <c r="C16" s="5996"/>
      <c r="D16" s="5996"/>
      <c r="E16" s="5996"/>
      <c r="F16" s="5996"/>
      <c r="G16" s="5996"/>
      <c r="H16" s="5996"/>
      <c r="I16" s="5996"/>
      <c r="J16" s="5996"/>
      <c r="K16" s="5996"/>
      <c r="L16" s="5996"/>
      <c r="M16" s="5996"/>
      <c r="N16" s="5996"/>
      <c r="O16" s="5996"/>
      <c r="P16" s="5996"/>
      <c r="Q16" s="5996"/>
      <c r="R16" s="5996"/>
      <c r="S16" s="5996"/>
      <c r="T16" s="1221"/>
      <c r="U16" s="1221"/>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row>
    <row r="17" spans="1:48" ht="23.25">
      <c r="B17" s="352" t="s">
        <v>990</v>
      </c>
      <c r="C17" s="1215" t="s">
        <v>1032</v>
      </c>
      <c r="D17" s="1948"/>
      <c r="E17" s="1948"/>
      <c r="F17" s="1948"/>
      <c r="G17" s="1948"/>
      <c r="H17" s="1948"/>
      <c r="I17" s="1948"/>
      <c r="J17" s="1948"/>
      <c r="K17" s="1948"/>
      <c r="L17" s="1948"/>
      <c r="M17" s="1948"/>
      <c r="N17" s="1948"/>
      <c r="O17" s="1948"/>
      <c r="P17" s="1948"/>
      <c r="Q17" s="1948"/>
      <c r="R17" s="1948"/>
      <c r="S17" s="2289"/>
      <c r="T17" s="1221"/>
      <c r="U17" s="1221"/>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634"/>
      <c r="AS17" s="634"/>
      <c r="AT17" s="634"/>
      <c r="AU17" s="634"/>
      <c r="AV17" s="634"/>
    </row>
    <row r="18" spans="1:48">
      <c r="B18" s="634"/>
      <c r="C18" s="1214" t="s">
        <v>473</v>
      </c>
      <c r="D18" s="634"/>
      <c r="E18" s="634"/>
      <c r="F18" s="634"/>
      <c r="G18" s="634"/>
      <c r="H18" s="634"/>
      <c r="I18" s="634"/>
      <c r="J18" s="634"/>
      <c r="K18" s="634"/>
      <c r="L18" s="634"/>
      <c r="M18" s="1222"/>
      <c r="N18" s="1222"/>
      <c r="O18" s="1222"/>
      <c r="P18" s="1222"/>
      <c r="Q18" s="634"/>
      <c r="R18" s="634"/>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row>
    <row r="19" spans="1:48" ht="23.25">
      <c r="B19" s="352" t="s">
        <v>990</v>
      </c>
      <c r="C19" s="1215" t="s">
        <v>1033</v>
      </c>
      <c r="D19" s="1948"/>
      <c r="E19" s="1948"/>
      <c r="F19" s="1948"/>
      <c r="G19" s="352" t="s">
        <v>990</v>
      </c>
      <c r="H19" s="1215" t="s">
        <v>1034</v>
      </c>
      <c r="I19" s="1948"/>
      <c r="J19" s="1948"/>
      <c r="K19" s="1948"/>
      <c r="L19" s="1948"/>
      <c r="M19" s="1948"/>
      <c r="N19" s="1948"/>
      <c r="O19" s="1948"/>
      <c r="P19" s="1948"/>
      <c r="Q19" s="1948"/>
      <c r="R19" s="1948"/>
      <c r="S19" s="1948"/>
      <c r="T19" s="634"/>
      <c r="U19" s="634"/>
      <c r="V19" s="634"/>
      <c r="W19" s="634"/>
      <c r="X19" s="634"/>
      <c r="Y19" s="634"/>
      <c r="Z19" s="634"/>
      <c r="AA19" s="634"/>
      <c r="AB19" s="634"/>
      <c r="AC19" s="634"/>
      <c r="AD19" s="634"/>
      <c r="AE19" s="634"/>
      <c r="AF19" s="634"/>
      <c r="AG19" s="634"/>
      <c r="AH19" s="634"/>
      <c r="AI19" s="634"/>
      <c r="AJ19" s="634"/>
      <c r="AK19" s="634"/>
      <c r="AL19" s="634"/>
      <c r="AM19" s="634"/>
      <c r="AN19" s="634"/>
      <c r="AO19" s="634"/>
      <c r="AP19" s="634"/>
      <c r="AQ19" s="634"/>
      <c r="AR19" s="634"/>
      <c r="AS19" s="634"/>
      <c r="AT19" s="634"/>
      <c r="AU19" s="634"/>
      <c r="AV19" s="634"/>
    </row>
    <row r="20" spans="1:48">
      <c r="B20" s="634"/>
      <c r="C20" s="634"/>
      <c r="D20" s="634"/>
      <c r="E20" s="634"/>
      <c r="F20" s="634"/>
      <c r="G20" s="634"/>
      <c r="H20" s="634"/>
      <c r="I20" s="634"/>
      <c r="J20" s="634"/>
      <c r="K20" s="634"/>
      <c r="L20" s="634"/>
      <c r="M20" s="1222"/>
      <c r="N20" s="1222"/>
      <c r="O20" s="1222"/>
      <c r="P20" s="1222"/>
      <c r="Q20" s="634"/>
      <c r="R20" s="634"/>
      <c r="S20" s="634"/>
      <c r="T20" s="634"/>
      <c r="U20" s="634"/>
      <c r="V20" s="634"/>
      <c r="W20" s="634"/>
      <c r="X20" s="634"/>
      <c r="Y20" s="634"/>
      <c r="Z20" s="634"/>
      <c r="AA20" s="634"/>
      <c r="AB20" s="634"/>
      <c r="AC20" s="634"/>
      <c r="AD20" s="634"/>
      <c r="AE20" s="634"/>
      <c r="AF20" s="634"/>
      <c r="AG20" s="634"/>
      <c r="AH20" s="634"/>
      <c r="AI20" s="634"/>
      <c r="AJ20" s="634"/>
      <c r="AK20" s="634"/>
      <c r="AL20" s="634"/>
      <c r="AM20" s="634"/>
      <c r="AN20" s="634"/>
      <c r="AO20" s="634"/>
      <c r="AP20" s="634"/>
      <c r="AQ20" s="634"/>
      <c r="AR20" s="634"/>
      <c r="AS20" s="634"/>
      <c r="AT20" s="634"/>
      <c r="AU20" s="634"/>
      <c r="AV20" s="634"/>
    </row>
    <row r="21" spans="1:48" ht="24" customHeight="1">
      <c r="B21" s="352" t="s">
        <v>990</v>
      </c>
      <c r="C21" s="1215" t="s">
        <v>1381</v>
      </c>
      <c r="D21" s="1948"/>
      <c r="E21" s="1948"/>
      <c r="F21" s="1948"/>
      <c r="G21" s="352" t="s">
        <v>990</v>
      </c>
      <c r="H21" s="1215" t="s">
        <v>1382</v>
      </c>
      <c r="I21" s="1948"/>
      <c r="J21" s="2290"/>
      <c r="K21" s="2290"/>
      <c r="L21" s="2290"/>
      <c r="M21" s="2290"/>
      <c r="N21" s="2290"/>
      <c r="O21" s="2290"/>
      <c r="P21" s="2290"/>
      <c r="Q21" s="2290"/>
      <c r="R21" s="2290"/>
      <c r="S21" s="2290"/>
      <c r="T21" s="634"/>
      <c r="U21" s="634"/>
      <c r="V21" s="634"/>
      <c r="W21" s="634"/>
      <c r="X21" s="634"/>
      <c r="Y21" s="634"/>
      <c r="Z21" s="634"/>
      <c r="AA21" s="634"/>
      <c r="AB21" s="634"/>
      <c r="AC21" s="634"/>
      <c r="AD21" s="634"/>
      <c r="AE21" s="634"/>
      <c r="AF21" s="634"/>
      <c r="AG21" s="634"/>
      <c r="AH21" s="634"/>
      <c r="AI21" s="634"/>
      <c r="AJ21" s="634"/>
      <c r="AK21" s="634"/>
      <c r="AL21" s="634"/>
      <c r="AM21" s="634"/>
      <c r="AN21" s="634"/>
      <c r="AO21" s="634"/>
      <c r="AP21" s="634"/>
      <c r="AQ21" s="634"/>
      <c r="AR21" s="634"/>
      <c r="AS21" s="634"/>
      <c r="AT21" s="634"/>
      <c r="AU21" s="634"/>
      <c r="AV21" s="634"/>
    </row>
    <row r="22" spans="1:48">
      <c r="B22" s="634"/>
      <c r="C22" s="634"/>
      <c r="D22" s="634"/>
      <c r="E22" s="634"/>
      <c r="F22" s="634"/>
      <c r="G22" s="634"/>
      <c r="H22" s="634"/>
      <c r="I22" s="634"/>
      <c r="J22" s="634"/>
      <c r="K22" s="634"/>
      <c r="L22" s="634"/>
      <c r="M22" s="1222"/>
      <c r="N22" s="1222"/>
      <c r="O22" s="1222"/>
      <c r="P22" s="1222"/>
      <c r="Q22" s="634"/>
      <c r="R22" s="634"/>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row>
    <row r="23" spans="1:48" ht="23.25">
      <c r="B23" s="352" t="s">
        <v>990</v>
      </c>
      <c r="C23" s="1215" t="s">
        <v>1383</v>
      </c>
      <c r="D23" s="1948"/>
      <c r="E23" s="1948"/>
      <c r="F23" s="1948"/>
      <c r="G23" s="1948"/>
      <c r="H23" s="1948"/>
      <c r="I23" s="1948"/>
      <c r="J23" s="1948"/>
      <c r="K23" s="352" t="s">
        <v>990</v>
      </c>
      <c r="L23" s="1215" t="s">
        <v>1384</v>
      </c>
      <c r="M23" s="1948"/>
      <c r="N23" s="1948"/>
      <c r="O23" s="1948"/>
      <c r="P23" s="1948"/>
      <c r="Q23" s="1948"/>
      <c r="R23" s="1948"/>
      <c r="S23" s="1948"/>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c r="AT23" s="634"/>
      <c r="AU23" s="634"/>
      <c r="AV23" s="634"/>
    </row>
    <row r="24" spans="1:48">
      <c r="B24" s="634"/>
      <c r="C24" s="634"/>
      <c r="D24" s="634"/>
      <c r="E24" s="634"/>
      <c r="F24" s="634"/>
      <c r="G24" s="634"/>
      <c r="H24" s="634"/>
      <c r="I24" s="634"/>
      <c r="J24" s="634"/>
      <c r="K24" s="634"/>
      <c r="L24" s="634"/>
      <c r="M24" s="1222"/>
      <c r="N24" s="1222"/>
      <c r="O24" s="1222"/>
      <c r="P24" s="1222"/>
      <c r="Q24" s="634"/>
      <c r="R24" s="634"/>
      <c r="S24" s="634"/>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c r="AT24" s="634"/>
      <c r="AU24" s="634"/>
      <c r="AV24" s="634"/>
    </row>
    <row r="25" spans="1:48" ht="16.5" thickBot="1">
      <c r="B25" s="634"/>
      <c r="C25" s="634"/>
      <c r="D25" s="634"/>
      <c r="E25" s="634"/>
      <c r="F25" s="634"/>
      <c r="G25" s="634"/>
      <c r="H25" s="634"/>
      <c r="I25" s="634"/>
      <c r="J25" s="634"/>
      <c r="K25" s="634"/>
      <c r="L25" s="634"/>
      <c r="M25" s="1222"/>
      <c r="N25" s="1222"/>
      <c r="O25" s="1222"/>
      <c r="P25" s="1222"/>
      <c r="Q25" s="634"/>
      <c r="R25" s="634"/>
      <c r="S25" s="634"/>
      <c r="T25" s="634"/>
      <c r="U25" s="634"/>
      <c r="V25" s="634"/>
      <c r="W25" s="634"/>
      <c r="X25" s="634"/>
      <c r="Y25" s="634"/>
      <c r="Z25" s="634"/>
      <c r="AA25" s="634"/>
      <c r="AB25" s="634"/>
      <c r="AC25" s="634"/>
      <c r="AD25" s="634"/>
      <c r="AE25" s="634"/>
      <c r="AF25" s="634"/>
      <c r="AG25" s="634"/>
      <c r="AH25" s="634"/>
      <c r="AI25" s="634"/>
      <c r="AJ25" s="634"/>
      <c r="AK25" s="634"/>
      <c r="AL25" s="634"/>
      <c r="AM25" s="634"/>
      <c r="AN25" s="634"/>
      <c r="AO25" s="634"/>
      <c r="AP25" s="634"/>
      <c r="AQ25" s="634"/>
      <c r="AR25" s="634"/>
      <c r="AS25" s="634"/>
      <c r="AT25" s="634"/>
      <c r="AU25" s="634"/>
      <c r="AV25" s="634"/>
    </row>
    <row r="26" spans="1:48" ht="27" thickTop="1">
      <c r="A26" s="1192" t="s">
        <v>70</v>
      </c>
      <c r="B26" s="5997" t="s">
        <v>7811</v>
      </c>
      <c r="C26" s="5998"/>
      <c r="D26" s="5998"/>
      <c r="E26" s="5998"/>
      <c r="F26" s="5998"/>
      <c r="G26" s="5998"/>
      <c r="H26" s="5998"/>
      <c r="I26" s="5998"/>
      <c r="J26" s="5998"/>
      <c r="K26" s="5998"/>
      <c r="L26" s="5998"/>
      <c r="M26" s="5998"/>
      <c r="N26" s="5998"/>
      <c r="O26" s="5998"/>
      <c r="P26" s="5998"/>
      <c r="Q26" s="5999"/>
      <c r="R26" s="634"/>
      <c r="S26" s="634"/>
      <c r="T26" s="634"/>
      <c r="U26" s="634"/>
      <c r="V26" s="634"/>
      <c r="W26" s="634"/>
      <c r="X26" s="634"/>
      <c r="Y26" s="634"/>
      <c r="Z26" s="634"/>
      <c r="AA26" s="634"/>
      <c r="AB26" s="634"/>
      <c r="AC26" s="634"/>
      <c r="AD26" s="634"/>
      <c r="AE26" s="634"/>
      <c r="AF26" s="634"/>
      <c r="AG26" s="634"/>
      <c r="AH26" s="634"/>
      <c r="AI26" s="634"/>
      <c r="AJ26" s="634"/>
      <c r="AK26" s="634"/>
      <c r="AL26" s="634"/>
      <c r="AM26" s="634"/>
      <c r="AN26" s="634"/>
      <c r="AO26" s="634"/>
      <c r="AP26" s="634"/>
      <c r="AQ26" s="634"/>
      <c r="AR26" s="634"/>
      <c r="AS26" s="634"/>
      <c r="AT26" s="634"/>
      <c r="AU26" s="634"/>
      <c r="AV26" s="634"/>
    </row>
    <row r="27" spans="1:48" ht="21" customHeight="1">
      <c r="A27" s="5970" t="str">
        <f>B26</f>
        <v>Les calculs en Boulangerie         TABLEAU EXPLICATIF</v>
      </c>
      <c r="B27" s="5971" t="s">
        <v>1036</v>
      </c>
      <c r="C27" s="5972"/>
      <c r="D27" s="5972"/>
      <c r="E27" s="5972"/>
      <c r="F27" s="5972"/>
      <c r="G27" s="5972"/>
      <c r="H27" s="5972"/>
      <c r="I27" s="5957"/>
      <c r="J27" s="5972" t="s">
        <v>1003</v>
      </c>
      <c r="K27" s="5972"/>
      <c r="L27" s="5955" t="s">
        <v>1037</v>
      </c>
      <c r="M27" s="5973"/>
      <c r="N27" s="5955" t="s">
        <v>1038</v>
      </c>
      <c r="O27" s="5957"/>
      <c r="P27" s="5955" t="s">
        <v>1039</v>
      </c>
      <c r="Q27" s="5956"/>
      <c r="R27" s="634"/>
      <c r="S27" s="634"/>
      <c r="T27" s="634"/>
      <c r="U27" s="634"/>
      <c r="V27" s="634"/>
      <c r="W27" s="634"/>
      <c r="X27" s="634"/>
      <c r="Y27" s="634"/>
      <c r="Z27" s="634"/>
      <c r="AA27" s="634"/>
      <c r="AB27" s="634"/>
      <c r="AC27" s="634"/>
      <c r="AD27" s="634"/>
      <c r="AE27" s="634"/>
      <c r="AF27" s="634"/>
      <c r="AG27" s="634"/>
      <c r="AH27" s="634"/>
      <c r="AI27" s="634"/>
      <c r="AJ27" s="634"/>
      <c r="AK27" s="634"/>
      <c r="AL27" s="634"/>
      <c r="AM27" s="634"/>
      <c r="AN27" s="634"/>
      <c r="AO27" s="634"/>
      <c r="AP27" s="634"/>
      <c r="AQ27" s="634"/>
      <c r="AR27" s="634"/>
      <c r="AS27" s="634"/>
      <c r="AT27" s="634"/>
      <c r="AU27" s="634"/>
      <c r="AV27" s="634"/>
    </row>
    <row r="28" spans="1:48" ht="21">
      <c r="A28" s="5970"/>
      <c r="B28" s="1223" t="str">
        <f>ADDRESS(ROW(),COLUMN(),4)</f>
        <v>B28</v>
      </c>
      <c r="C28" s="1193" t="s">
        <v>691</v>
      </c>
      <c r="D28" s="1224"/>
      <c r="E28" s="1224"/>
      <c r="F28" s="1224"/>
      <c r="G28" s="1224"/>
      <c r="H28" s="1225" t="str">
        <f ca="1">MID(CELL("filename",B28),SEARCH("[",CELL("filename",B28))+1,SEARCH("]",CELL("filename",B28))-SEARCH("[",CELL("filename",B28))-1)</f>
        <v>ff-22-formats-formules-pourcentages.xlsx</v>
      </c>
      <c r="I28" s="1226">
        <v>1</v>
      </c>
      <c r="J28" s="5972"/>
      <c r="K28" s="5972"/>
      <c r="L28" s="5955"/>
      <c r="M28" s="5973"/>
      <c r="N28" s="5955" t="s">
        <v>1040</v>
      </c>
      <c r="O28" s="5957"/>
      <c r="P28" s="5955" t="s">
        <v>1041</v>
      </c>
      <c r="Q28" s="5956"/>
      <c r="R28" s="634"/>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row>
    <row r="29" spans="1:48" ht="18.75">
      <c r="A29" s="5970"/>
      <c r="B29" s="1227"/>
      <c r="C29" s="1200"/>
      <c r="D29" s="1201"/>
      <c r="E29" s="1201"/>
      <c r="F29" s="1201"/>
      <c r="G29" s="1203"/>
      <c r="H29" s="1204"/>
      <c r="I29" s="1204"/>
      <c r="J29" s="5958" t="s">
        <v>1042</v>
      </c>
      <c r="K29" s="5959"/>
      <c r="L29" s="5958" t="s">
        <v>1042</v>
      </c>
      <c r="M29" s="5959"/>
      <c r="N29" s="5958" t="s">
        <v>1042</v>
      </c>
      <c r="O29" s="5959"/>
      <c r="P29" s="5958" t="s">
        <v>1042</v>
      </c>
      <c r="Q29" s="5960"/>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34"/>
      <c r="AP29" s="634"/>
      <c r="AQ29" s="634"/>
      <c r="AR29" s="634"/>
      <c r="AS29" s="634"/>
      <c r="AT29" s="634"/>
      <c r="AU29" s="634"/>
      <c r="AV29" s="634"/>
    </row>
    <row r="30" spans="1:48" ht="18.75">
      <c r="A30" s="5970"/>
      <c r="B30" s="1228"/>
      <c r="C30" s="1203" t="s">
        <v>1009</v>
      </c>
      <c r="D30" s="4610">
        <v>60</v>
      </c>
      <c r="E30" s="1229"/>
      <c r="F30" s="4608" t="s">
        <v>1010</v>
      </c>
      <c r="G30" s="1231">
        <v>100</v>
      </c>
      <c r="H30" s="4609">
        <f>(D32*G30)/G32</f>
        <v>12.375</v>
      </c>
      <c r="I30" s="1233"/>
      <c r="J30" s="5981">
        <v>1.8</v>
      </c>
      <c r="K30" s="5982"/>
      <c r="L30" s="5983">
        <v>1.8</v>
      </c>
      <c r="M30" s="5984"/>
      <c r="N30" s="5985">
        <v>10</v>
      </c>
      <c r="O30" s="5986"/>
      <c r="P30" s="5983">
        <v>0.5</v>
      </c>
      <c r="Q30" s="5987"/>
      <c r="R30" s="634"/>
      <c r="S30" s="634"/>
      <c r="T30" s="634"/>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row>
    <row r="31" spans="1:48" ht="19.5" thickBot="1">
      <c r="A31" s="5970"/>
      <c r="B31" s="1228"/>
      <c r="C31" s="634"/>
      <c r="D31" s="634"/>
      <c r="E31" s="1234"/>
      <c r="F31" s="1235" t="s">
        <v>320</v>
      </c>
      <c r="G31" s="1236">
        <f>D30</f>
        <v>60</v>
      </c>
      <c r="H31" s="1237">
        <f>(D32*D30)/G32</f>
        <v>7.4249999999999998</v>
      </c>
      <c r="I31" s="1237"/>
      <c r="J31" s="735"/>
      <c r="K31" s="634"/>
      <c r="L31" s="735"/>
      <c r="M31" s="1238"/>
      <c r="N31" s="735"/>
      <c r="O31" s="1238"/>
      <c r="P31" s="735"/>
      <c r="Q31" s="1239"/>
      <c r="R31" s="634"/>
      <c r="S31" s="634"/>
      <c r="T31" s="634"/>
      <c r="U31" s="634"/>
      <c r="V31" s="634"/>
      <c r="W31" s="634"/>
      <c r="X31" s="634"/>
      <c r="Y31" s="634"/>
      <c r="Z31" s="634"/>
      <c r="AA31" s="634"/>
      <c r="AB31" s="634"/>
      <c r="AC31" s="634"/>
      <c r="AD31" s="634"/>
      <c r="AE31" s="634"/>
      <c r="AF31" s="634"/>
      <c r="AG31" s="634"/>
      <c r="AH31" s="634"/>
      <c r="AI31" s="634"/>
      <c r="AJ31" s="634"/>
      <c r="AK31" s="634"/>
      <c r="AL31" s="634"/>
      <c r="AM31" s="634"/>
      <c r="AN31" s="634"/>
      <c r="AO31" s="634"/>
      <c r="AP31" s="634"/>
      <c r="AQ31" s="634"/>
      <c r="AR31" s="634"/>
      <c r="AS31" s="634"/>
      <c r="AT31" s="634"/>
      <c r="AU31" s="634"/>
      <c r="AV31" s="634"/>
    </row>
    <row r="32" spans="1:48" ht="18.75">
      <c r="A32" s="5970"/>
      <c r="B32" s="1228"/>
      <c r="C32" s="1203" t="s">
        <v>994</v>
      </c>
      <c r="D32" s="4611">
        <v>19.8</v>
      </c>
      <c r="E32" s="1229"/>
      <c r="F32" s="1229" t="s">
        <v>146</v>
      </c>
      <c r="G32" s="1241">
        <f>G30+G31</f>
        <v>160</v>
      </c>
      <c r="H32" s="1242">
        <f>H30+H31</f>
        <v>19.8</v>
      </c>
      <c r="I32" s="1242"/>
      <c r="J32" s="1243">
        <f>(H30*J30)/G30</f>
        <v>0.22275000000000003</v>
      </c>
      <c r="K32" s="1244">
        <f>J32*1000</f>
        <v>222.75000000000003</v>
      </c>
      <c r="L32" s="4638">
        <f>(H30*L30)/G30</f>
        <v>0.22275000000000003</v>
      </c>
      <c r="M32" s="1244">
        <f>L32*1000</f>
        <v>222.75000000000003</v>
      </c>
      <c r="N32" s="5988">
        <f>(H30*N30)/G30</f>
        <v>1.2375</v>
      </c>
      <c r="O32" s="5989"/>
      <c r="P32" s="4639">
        <f>(H30*P30)/G30</f>
        <v>6.1874999999999999E-2</v>
      </c>
      <c r="Q32" s="1247">
        <f>P32*1000</f>
        <v>61.875</v>
      </c>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634"/>
      <c r="AO32" s="634"/>
      <c r="AP32" s="634"/>
      <c r="AQ32" s="634"/>
      <c r="AR32" s="634"/>
      <c r="AS32" s="634"/>
      <c r="AT32" s="634"/>
      <c r="AU32" s="634"/>
      <c r="AV32" s="634"/>
    </row>
    <row r="33" spans="1:48">
      <c r="A33" s="5970"/>
      <c r="B33" s="1305"/>
      <c r="C33" s="1229"/>
      <c r="D33" s="1229"/>
      <c r="E33" s="1229"/>
      <c r="F33" s="1229"/>
      <c r="G33" s="1229"/>
      <c r="H33" s="1229"/>
      <c r="I33" s="1229"/>
      <c r="J33" s="4618"/>
      <c r="K33" s="885"/>
      <c r="L33" s="634"/>
      <c r="M33" s="885"/>
      <c r="N33" s="4618"/>
      <c r="O33" s="885"/>
      <c r="P33" s="735"/>
      <c r="Q33" s="1239"/>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row>
    <row r="34" spans="1:48" ht="26.25">
      <c r="A34" s="5970"/>
      <c r="B34" s="5990" t="s">
        <v>1043</v>
      </c>
      <c r="C34" s="5991"/>
      <c r="D34" s="5991"/>
      <c r="E34" s="5991"/>
      <c r="F34" s="5991"/>
      <c r="G34" s="5991"/>
      <c r="H34" s="5991"/>
      <c r="I34" s="5991"/>
      <c r="J34" s="5991"/>
      <c r="K34" s="5991"/>
      <c r="L34" s="5991"/>
      <c r="M34" s="5991"/>
      <c r="N34" s="5991"/>
      <c r="O34" s="5991"/>
      <c r="P34" s="5991"/>
      <c r="Q34" s="5992"/>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4"/>
      <c r="AO34" s="634"/>
      <c r="AP34" s="634"/>
      <c r="AQ34" s="634"/>
      <c r="AR34" s="634"/>
      <c r="AS34" s="634"/>
      <c r="AT34" s="634"/>
      <c r="AU34" s="634"/>
      <c r="AV34" s="634"/>
    </row>
    <row r="35" spans="1:48" ht="21">
      <c r="A35" s="5970"/>
      <c r="B35" s="5971" t="s">
        <v>1007</v>
      </c>
      <c r="C35" s="5972"/>
      <c r="D35" s="5972"/>
      <c r="E35" s="5972"/>
      <c r="F35" s="5972"/>
      <c r="G35" s="5972"/>
      <c r="H35" s="5972"/>
      <c r="I35" s="1226">
        <v>2</v>
      </c>
      <c r="J35" s="5979" t="s">
        <v>1044</v>
      </c>
      <c r="K35" s="5972"/>
      <c r="L35" s="5972"/>
      <c r="M35" s="5972"/>
      <c r="N35" s="5972"/>
      <c r="O35" s="5972"/>
      <c r="P35" s="5972"/>
      <c r="Q35" s="1249">
        <v>5</v>
      </c>
      <c r="R35" s="634"/>
      <c r="S35" s="634"/>
      <c r="T35" s="634"/>
      <c r="U35" s="634"/>
      <c r="V35" s="634"/>
      <c r="W35" s="634"/>
      <c r="X35" s="634"/>
      <c r="Y35" s="634"/>
      <c r="Z35" s="634"/>
      <c r="AA35" s="634"/>
      <c r="AB35" s="634"/>
      <c r="AC35" s="634"/>
      <c r="AD35" s="634"/>
      <c r="AE35" s="634"/>
      <c r="AF35" s="634"/>
      <c r="AG35" s="634"/>
      <c r="AH35" s="634"/>
      <c r="AI35" s="634"/>
      <c r="AJ35" s="634"/>
      <c r="AK35" s="634"/>
      <c r="AL35" s="634"/>
      <c r="AM35" s="634"/>
      <c r="AN35" s="634"/>
      <c r="AO35" s="634"/>
      <c r="AP35" s="634"/>
      <c r="AQ35" s="634"/>
      <c r="AR35" s="634"/>
      <c r="AS35" s="634"/>
      <c r="AT35" s="634"/>
      <c r="AU35" s="634"/>
      <c r="AV35" s="634"/>
    </row>
    <row r="36" spans="1:48">
      <c r="A36" s="5970"/>
      <c r="B36" s="1228"/>
      <c r="C36" s="1190" t="s">
        <v>993</v>
      </c>
      <c r="D36" s="1229"/>
      <c r="E36" s="1229"/>
      <c r="F36" s="1229"/>
      <c r="G36" s="1229"/>
      <c r="H36" s="816"/>
      <c r="J36" s="1250"/>
      <c r="K36" s="1190" t="s">
        <v>993</v>
      </c>
      <c r="L36" s="1229"/>
      <c r="M36" s="1229"/>
      <c r="N36" s="1229"/>
      <c r="O36" s="1229"/>
      <c r="P36" s="816"/>
      <c r="Q36" s="1251"/>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4"/>
      <c r="AT36" s="634"/>
      <c r="AU36" s="634"/>
      <c r="AV36" s="634"/>
    </row>
    <row r="37" spans="1:48">
      <c r="A37" s="5970"/>
      <c r="B37" s="1228"/>
      <c r="C37" s="1229"/>
      <c r="D37" s="1229"/>
      <c r="E37" s="1229"/>
      <c r="F37" s="1229"/>
      <c r="G37" s="1229"/>
      <c r="H37" s="816"/>
      <c r="I37" s="634"/>
      <c r="J37" s="1250"/>
      <c r="K37" s="1229"/>
      <c r="L37" s="1229"/>
      <c r="M37" s="1229"/>
      <c r="N37" s="1229"/>
      <c r="O37" s="1229"/>
      <c r="P37" s="816"/>
      <c r="Q37" s="1251"/>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634"/>
      <c r="AO37" s="634"/>
      <c r="AP37" s="634"/>
      <c r="AQ37" s="634"/>
      <c r="AR37" s="634"/>
      <c r="AS37" s="634"/>
      <c r="AT37" s="634"/>
      <c r="AU37" s="634"/>
      <c r="AV37" s="634"/>
    </row>
    <row r="38" spans="1:48">
      <c r="A38" s="5970"/>
      <c r="B38" s="1228"/>
      <c r="C38" s="1252" t="s">
        <v>994</v>
      </c>
      <c r="D38" s="1205"/>
      <c r="F38" s="1229"/>
      <c r="G38" s="4612" t="s">
        <v>995</v>
      </c>
      <c r="H38" s="1255" t="s">
        <v>685</v>
      </c>
      <c r="I38" s="634"/>
      <c r="J38" s="1250"/>
      <c r="K38" s="1196" t="s">
        <v>996</v>
      </c>
      <c r="L38" s="1205"/>
      <c r="N38" s="1229"/>
      <c r="O38" s="1195" t="s">
        <v>1005</v>
      </c>
      <c r="P38" s="1255"/>
      <c r="Q38" s="1257"/>
      <c r="R38" s="634"/>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row>
    <row r="39" spans="1:48" ht="19.5" thickBot="1">
      <c r="A39" s="5970"/>
      <c r="C39" s="1258">
        <f>D32</f>
        <v>19.8</v>
      </c>
      <c r="D39" s="1259" t="s">
        <v>603</v>
      </c>
      <c r="E39" s="1260">
        <f>G30</f>
        <v>100</v>
      </c>
      <c r="F39" s="1261" t="s">
        <v>997</v>
      </c>
      <c r="G39" s="4613">
        <f>(C39*E39)/C40</f>
        <v>12.375</v>
      </c>
      <c r="H39" s="680" t="str">
        <f ca="1">_xlfn.FORMULATEXT(G39)</f>
        <v>=(C39*E39)/C40</v>
      </c>
      <c r="I39" s="634"/>
      <c r="J39" s="4631"/>
      <c r="K39" s="4632">
        <f>H30</f>
        <v>12.375</v>
      </c>
      <c r="L39" s="4633" t="s">
        <v>603</v>
      </c>
      <c r="M39" s="4640">
        <f>L30</f>
        <v>1.8</v>
      </c>
      <c r="N39" s="1261" t="s">
        <v>997</v>
      </c>
      <c r="O39" s="1272">
        <f>(K39*M39)/K40</f>
        <v>0.22275000000000003</v>
      </c>
      <c r="P39" s="1266">
        <f>O39*1000</f>
        <v>222.75000000000003</v>
      </c>
      <c r="Q39" s="1247"/>
      <c r="R39" s="634"/>
      <c r="S39" s="634"/>
      <c r="T39" s="634"/>
      <c r="U39" s="634"/>
      <c r="V39" s="634"/>
      <c r="W39" s="634"/>
      <c r="X39" s="634"/>
      <c r="Y39" s="634"/>
      <c r="Z39" s="634"/>
      <c r="AA39" s="634"/>
      <c r="AB39" s="634"/>
      <c r="AC39" s="634"/>
      <c r="AD39" s="634"/>
      <c r="AE39" s="634"/>
      <c r="AF39" s="634"/>
      <c r="AG39" s="634"/>
      <c r="AH39" s="634"/>
      <c r="AI39" s="634"/>
      <c r="AJ39" s="634"/>
      <c r="AK39" s="634"/>
      <c r="AL39" s="634"/>
      <c r="AM39" s="634"/>
      <c r="AN39" s="634"/>
      <c r="AO39" s="634"/>
      <c r="AP39" s="634"/>
      <c r="AQ39" s="634"/>
      <c r="AR39" s="634"/>
      <c r="AS39" s="634"/>
      <c r="AT39" s="634"/>
      <c r="AU39" s="634"/>
      <c r="AV39" s="634"/>
    </row>
    <row r="40" spans="1:48">
      <c r="A40" s="5970"/>
      <c r="C40" s="5906">
        <f>G32</f>
        <v>160</v>
      </c>
      <c r="D40" s="5906"/>
      <c r="E40" s="5906"/>
      <c r="F40" s="1229"/>
      <c r="G40" s="1234"/>
      <c r="H40" s="1267"/>
      <c r="I40" s="634"/>
      <c r="J40" s="4631"/>
      <c r="K40" s="5975">
        <f>G30</f>
        <v>100</v>
      </c>
      <c r="L40" s="5975"/>
      <c r="M40" s="5975"/>
      <c r="N40" s="1229"/>
      <c r="O40" s="680" t="str">
        <f ca="1">_xlfn.FORMULATEXT(O39)</f>
        <v>=(K39*M39)/K40</v>
      </c>
      <c r="P40" s="1267"/>
      <c r="Q40" s="1268"/>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row>
    <row r="41" spans="1:48">
      <c r="A41" s="5970"/>
      <c r="B41" s="1228"/>
      <c r="C41" s="1229"/>
      <c r="D41" s="1229"/>
      <c r="E41" s="1229"/>
      <c r="F41" s="1269"/>
      <c r="G41" s="1269"/>
      <c r="H41" s="816"/>
      <c r="I41" s="634"/>
      <c r="J41" s="1250"/>
      <c r="K41" s="1229"/>
      <c r="L41" s="1229"/>
      <c r="M41" s="1229"/>
      <c r="N41" s="1269"/>
      <c r="O41" s="1269"/>
      <c r="P41" s="816"/>
      <c r="Q41" s="1251"/>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row>
    <row r="42" spans="1:48" ht="18.75">
      <c r="A42" s="5970"/>
      <c r="B42" s="1228"/>
      <c r="C42" s="4619" t="str">
        <f>ADDRESS(ROW(C39),COLUMN(C39),4)</f>
        <v>C39</v>
      </c>
      <c r="D42" s="1206" t="s">
        <v>603</v>
      </c>
      <c r="E42" s="4619" t="str">
        <f>ADDRESS(ROW(E39),COLUMN(E39),4)</f>
        <v>E39</v>
      </c>
      <c r="F42" s="1261" t="s">
        <v>997</v>
      </c>
      <c r="G42" s="4620" t="str">
        <f>ADDRESS(ROW(G39),COLUMN(G39),4)</f>
        <v>G39</v>
      </c>
      <c r="H42" s="816"/>
      <c r="I42" s="634"/>
      <c r="J42" s="1250"/>
      <c r="K42" s="4619" t="str">
        <f>ADDRESS(ROW(K39),COLUMN(K39),4)</f>
        <v>K39</v>
      </c>
      <c r="L42" s="1206" t="s">
        <v>603</v>
      </c>
      <c r="M42" s="4619" t="str">
        <f>ADDRESS(ROW(M39),COLUMN(M39),4)</f>
        <v>M39</v>
      </c>
      <c r="N42" s="1261" t="s">
        <v>997</v>
      </c>
      <c r="O42" s="4620" t="str">
        <f>ADDRESS(ROW(O39),COLUMN(O39),4)</f>
        <v>O39</v>
      </c>
      <c r="P42" s="816"/>
      <c r="Q42" s="1251"/>
      <c r="R42" s="634"/>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row>
    <row r="43" spans="1:48">
      <c r="A43" s="5970"/>
      <c r="B43" s="1228"/>
      <c r="C43" s="5797" t="str">
        <f>ADDRESS(ROW(C40),COLUMN(C40),4)</f>
        <v>C40</v>
      </c>
      <c r="D43" s="5797"/>
      <c r="E43" s="5797"/>
      <c r="F43" s="1269"/>
      <c r="G43" s="1269"/>
      <c r="H43" s="816"/>
      <c r="I43" s="634"/>
      <c r="J43" s="1250"/>
      <c r="K43" s="5797" t="str">
        <f>ADDRESS(ROW(K40),COLUMN(K40),4)</f>
        <v>K40</v>
      </c>
      <c r="L43" s="5797"/>
      <c r="M43" s="5797"/>
      <c r="N43" s="1269"/>
      <c r="O43" s="1269"/>
      <c r="P43" s="816"/>
      <c r="Q43" s="1251"/>
      <c r="R43" s="634"/>
      <c r="S43" s="634"/>
      <c r="T43" s="634"/>
      <c r="U43" s="634"/>
      <c r="V43" s="634"/>
      <c r="W43" s="634"/>
      <c r="X43" s="634"/>
      <c r="Y43" s="634"/>
      <c r="Z43" s="634"/>
      <c r="AA43" s="634"/>
      <c r="AB43" s="634"/>
      <c r="AC43" s="634"/>
      <c r="AD43" s="634"/>
      <c r="AE43" s="634"/>
      <c r="AF43" s="634"/>
      <c r="AG43" s="634"/>
      <c r="AH43" s="634"/>
      <c r="AI43" s="634"/>
      <c r="AJ43" s="634"/>
      <c r="AK43" s="634"/>
      <c r="AL43" s="634"/>
      <c r="AM43" s="634"/>
      <c r="AN43" s="634"/>
      <c r="AO43" s="634"/>
      <c r="AP43" s="634"/>
      <c r="AQ43" s="634"/>
      <c r="AR43" s="634"/>
      <c r="AS43" s="634"/>
      <c r="AT43" s="634"/>
      <c r="AU43" s="634"/>
      <c r="AV43" s="634"/>
    </row>
    <row r="44" spans="1:48">
      <c r="A44" s="5970"/>
      <c r="B44" s="1228"/>
      <c r="C44" s="1229"/>
      <c r="D44" s="1229"/>
      <c r="E44" s="1229"/>
      <c r="F44" s="1269"/>
      <c r="G44" s="1269"/>
      <c r="H44" s="816"/>
      <c r="I44" s="634"/>
      <c r="J44" s="1250"/>
      <c r="K44" s="1229"/>
      <c r="L44" s="1229"/>
      <c r="M44" s="1229"/>
      <c r="N44" s="1269"/>
      <c r="O44" s="1269"/>
      <c r="P44" s="816"/>
      <c r="Q44" s="1251"/>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row>
    <row r="45" spans="1:48" ht="21">
      <c r="A45" s="5970"/>
      <c r="B45" s="5980" t="s">
        <v>1011</v>
      </c>
      <c r="C45" s="5934"/>
      <c r="D45" s="5934"/>
      <c r="E45" s="5934"/>
      <c r="F45" s="5934"/>
      <c r="G45" s="5934"/>
      <c r="H45" s="5934"/>
      <c r="I45" s="4630">
        <v>3</v>
      </c>
      <c r="J45" s="5955" t="s">
        <v>1045</v>
      </c>
      <c r="K45" s="5972"/>
      <c r="L45" s="5972"/>
      <c r="M45" s="5972"/>
      <c r="N45" s="5972"/>
      <c r="O45" s="5972"/>
      <c r="P45" s="5972"/>
      <c r="Q45" s="1249">
        <v>6</v>
      </c>
      <c r="R45" s="634"/>
      <c r="S45" s="634"/>
      <c r="T45" s="634"/>
      <c r="U45" s="634"/>
      <c r="V45" s="634"/>
      <c r="W45" s="634"/>
      <c r="X45" s="634"/>
      <c r="Y45" s="634"/>
      <c r="Z45" s="634"/>
      <c r="AA45" s="634"/>
      <c r="AB45" s="634"/>
      <c r="AC45" s="634"/>
      <c r="AD45" s="634"/>
      <c r="AE45" s="634"/>
      <c r="AF45" s="634"/>
      <c r="AG45" s="634"/>
      <c r="AH45" s="634"/>
      <c r="AI45" s="634"/>
      <c r="AJ45" s="634"/>
      <c r="AK45" s="634"/>
      <c r="AL45" s="634"/>
      <c r="AM45" s="634"/>
      <c r="AN45" s="634"/>
      <c r="AO45" s="634"/>
      <c r="AP45" s="634"/>
      <c r="AQ45" s="634"/>
      <c r="AR45" s="634"/>
      <c r="AS45" s="634"/>
      <c r="AT45" s="634"/>
      <c r="AU45" s="634"/>
      <c r="AV45" s="634"/>
    </row>
    <row r="46" spans="1:48">
      <c r="A46" s="5970"/>
      <c r="B46" s="1228"/>
      <c r="C46" s="1190" t="s">
        <v>993</v>
      </c>
      <c r="D46" s="1229"/>
      <c r="E46" s="1229"/>
      <c r="F46" s="1229"/>
      <c r="G46" s="1229"/>
      <c r="H46" s="816"/>
      <c r="I46" s="634"/>
      <c r="J46" s="1250"/>
      <c r="K46" s="1190" t="s">
        <v>993</v>
      </c>
      <c r="L46" s="1229"/>
      <c r="M46" s="1229"/>
      <c r="N46" s="1229"/>
      <c r="O46" s="1229"/>
      <c r="P46" s="816"/>
      <c r="Q46" s="1251"/>
      <c r="R46" s="634"/>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row>
    <row r="47" spans="1:48">
      <c r="A47" s="5970"/>
      <c r="B47" s="1228"/>
      <c r="C47" s="1229"/>
      <c r="D47" s="1229"/>
      <c r="E47" s="1229"/>
      <c r="F47" s="1229"/>
      <c r="G47" s="1229"/>
      <c r="H47" s="816"/>
      <c r="I47" s="634"/>
      <c r="J47" s="1250"/>
      <c r="K47" s="1229"/>
      <c r="L47" s="1229"/>
      <c r="M47" s="1229"/>
      <c r="N47" s="1229"/>
      <c r="O47" s="1229"/>
      <c r="P47" s="816"/>
      <c r="Q47" s="1251"/>
      <c r="R47" s="634"/>
      <c r="S47" s="634"/>
      <c r="T47" s="634"/>
      <c r="U47" s="634"/>
      <c r="V47" s="634"/>
      <c r="W47" s="634"/>
      <c r="X47" s="634"/>
      <c r="Y47" s="634"/>
      <c r="Z47" s="634"/>
      <c r="AA47" s="634"/>
      <c r="AB47" s="634"/>
      <c r="AC47" s="634"/>
      <c r="AD47" s="634"/>
      <c r="AE47" s="634"/>
      <c r="AF47" s="634"/>
      <c r="AG47" s="634"/>
      <c r="AH47" s="634"/>
      <c r="AI47" s="634"/>
      <c r="AJ47" s="634"/>
      <c r="AK47" s="634"/>
      <c r="AL47" s="634"/>
      <c r="AM47" s="634"/>
      <c r="AN47" s="634"/>
      <c r="AO47" s="634"/>
      <c r="AP47" s="634"/>
      <c r="AQ47" s="634"/>
      <c r="AR47" s="634"/>
      <c r="AS47" s="634"/>
      <c r="AT47" s="634"/>
      <c r="AU47" s="634"/>
      <c r="AV47" s="634"/>
    </row>
    <row r="48" spans="1:48">
      <c r="A48" s="5970"/>
      <c r="B48" s="1228"/>
      <c r="C48" s="1196" t="s">
        <v>994</v>
      </c>
      <c r="D48" s="1205"/>
      <c r="E48" s="4619"/>
      <c r="F48" s="1229"/>
      <c r="G48" s="4614" t="s">
        <v>1012</v>
      </c>
      <c r="H48" s="1255" t="s">
        <v>685</v>
      </c>
      <c r="I48" s="634"/>
      <c r="J48" s="1250"/>
      <c r="K48" s="1196" t="s">
        <v>996</v>
      </c>
      <c r="L48" s="1205"/>
      <c r="M48" s="4619"/>
      <c r="N48" s="1229"/>
      <c r="O48" s="1195" t="s">
        <v>994</v>
      </c>
      <c r="P48" s="1255" t="s">
        <v>685</v>
      </c>
      <c r="Q48" s="1257"/>
      <c r="R48" s="634"/>
      <c r="S48" s="634"/>
      <c r="T48" s="634"/>
      <c r="U48" s="634"/>
      <c r="V48" s="634"/>
      <c r="W48" s="634"/>
      <c r="X48" s="634"/>
      <c r="Y48" s="634"/>
      <c r="Z48" s="634"/>
      <c r="AA48" s="634"/>
      <c r="AB48" s="634"/>
      <c r="AC48" s="634"/>
      <c r="AD48" s="634"/>
      <c r="AE48" s="634"/>
      <c r="AF48" s="634"/>
      <c r="AG48" s="634"/>
      <c r="AH48" s="634"/>
      <c r="AI48" s="634"/>
      <c r="AJ48" s="634"/>
      <c r="AK48" s="634"/>
      <c r="AL48" s="634"/>
      <c r="AM48" s="634"/>
      <c r="AN48" s="634"/>
      <c r="AO48" s="634"/>
      <c r="AP48" s="634"/>
      <c r="AQ48" s="634"/>
      <c r="AR48" s="634"/>
      <c r="AS48" s="634"/>
      <c r="AT48" s="634"/>
      <c r="AU48" s="634"/>
      <c r="AV48" s="634"/>
    </row>
    <row r="49" spans="1:48" ht="19.5" thickBot="1">
      <c r="A49" s="5970"/>
      <c r="B49" s="1278"/>
      <c r="C49" s="1270">
        <f>D32</f>
        <v>19.8</v>
      </c>
      <c r="D49" s="1259" t="s">
        <v>603</v>
      </c>
      <c r="E49" s="1271">
        <f>D30</f>
        <v>60</v>
      </c>
      <c r="F49" s="1261" t="s">
        <v>997</v>
      </c>
      <c r="G49" s="4615">
        <f>(C49*E49)/C50</f>
        <v>7.4249999999999998</v>
      </c>
      <c r="H49" s="680" t="str">
        <f ca="1">_xlfn.FORMULATEXT(G49)</f>
        <v>=(C49*E49)/C50</v>
      </c>
      <c r="I49" s="634"/>
      <c r="J49" s="4621"/>
      <c r="K49" s="4632">
        <f>H30</f>
        <v>12.375</v>
      </c>
      <c r="L49" s="4633" t="s">
        <v>603</v>
      </c>
      <c r="M49" s="4640">
        <f>N30</f>
        <v>10</v>
      </c>
      <c r="N49" s="1261" t="s">
        <v>997</v>
      </c>
      <c r="O49" s="1272">
        <f>(K49*M49)/K50</f>
        <v>1.2375</v>
      </c>
      <c r="P49" s="680" t="str">
        <f ca="1">_xlfn.FORMULATEXT(O49)</f>
        <v>=(K49*M49)/K50</v>
      </c>
      <c r="Q49" s="1273"/>
      <c r="R49" s="634"/>
      <c r="S49" s="634"/>
      <c r="T49" s="634"/>
      <c r="U49" s="634"/>
      <c r="V49" s="634"/>
      <c r="W49" s="634"/>
      <c r="X49" s="634"/>
      <c r="Y49" s="634"/>
      <c r="Z49" s="634"/>
      <c r="AA49" s="634"/>
      <c r="AB49" s="634"/>
      <c r="AC49" s="634"/>
      <c r="AD49" s="634"/>
      <c r="AE49" s="634"/>
      <c r="AF49" s="634"/>
      <c r="AG49" s="634"/>
      <c r="AH49" s="634"/>
      <c r="AI49" s="634"/>
      <c r="AJ49" s="634"/>
      <c r="AK49" s="634"/>
      <c r="AL49" s="634"/>
      <c r="AM49" s="634"/>
      <c r="AN49" s="634"/>
      <c r="AO49" s="634"/>
      <c r="AP49" s="634"/>
      <c r="AQ49" s="634"/>
      <c r="AR49" s="634"/>
      <c r="AS49" s="634"/>
      <c r="AT49" s="634"/>
      <c r="AU49" s="634"/>
      <c r="AV49" s="634"/>
    </row>
    <row r="50" spans="1:48">
      <c r="A50" s="5970"/>
      <c r="B50" s="1278"/>
      <c r="C50" s="5974">
        <f>G32</f>
        <v>160</v>
      </c>
      <c r="D50" s="5906"/>
      <c r="E50" s="5906"/>
      <c r="F50" s="1229"/>
      <c r="G50" s="1234"/>
      <c r="H50" s="1267"/>
      <c r="I50" s="634"/>
      <c r="J50" s="4621"/>
      <c r="K50" s="5975">
        <v>100</v>
      </c>
      <c r="L50" s="5975"/>
      <c r="M50" s="5975"/>
      <c r="N50" s="1229"/>
      <c r="O50" s="1234"/>
      <c r="P50" s="1267"/>
      <c r="Q50" s="1268"/>
      <c r="R50" s="634"/>
      <c r="S50" s="634"/>
      <c r="T50" s="634"/>
      <c r="U50" s="634"/>
      <c r="V50" s="634"/>
      <c r="W50" s="634"/>
      <c r="X50" s="634"/>
      <c r="Y50" s="634"/>
      <c r="Z50" s="634"/>
      <c r="AA50" s="634"/>
      <c r="AB50" s="634"/>
      <c r="AC50" s="634"/>
      <c r="AD50" s="634"/>
      <c r="AE50" s="634"/>
      <c r="AF50" s="634"/>
      <c r="AG50" s="634"/>
      <c r="AH50" s="634"/>
      <c r="AI50" s="634"/>
      <c r="AJ50" s="634"/>
      <c r="AK50" s="634"/>
      <c r="AL50" s="634"/>
      <c r="AM50" s="634"/>
      <c r="AN50" s="634"/>
      <c r="AO50" s="634"/>
      <c r="AP50" s="634"/>
      <c r="AQ50" s="634"/>
      <c r="AR50" s="634"/>
      <c r="AS50" s="634"/>
      <c r="AT50" s="634"/>
      <c r="AU50" s="634"/>
      <c r="AV50" s="634"/>
    </row>
    <row r="51" spans="1:48">
      <c r="A51" s="5970"/>
      <c r="B51" s="1228"/>
      <c r="C51" s="1229"/>
      <c r="D51" s="1229"/>
      <c r="E51" s="1229"/>
      <c r="F51" s="1269"/>
      <c r="G51" s="1269"/>
      <c r="H51" s="816"/>
      <c r="I51" s="634"/>
      <c r="J51" s="1250"/>
      <c r="K51" s="1229"/>
      <c r="L51" s="1229"/>
      <c r="M51" s="1229"/>
      <c r="N51" s="1269"/>
      <c r="O51" s="1269"/>
      <c r="P51" s="816"/>
      <c r="Q51" s="1251"/>
      <c r="R51" s="634"/>
      <c r="S51" s="634"/>
      <c r="T51" s="634"/>
      <c r="U51" s="634"/>
      <c r="V51" s="634"/>
      <c r="W51" s="634"/>
      <c r="X51" s="634"/>
      <c r="Y51" s="634"/>
      <c r="Z51" s="634"/>
      <c r="AA51" s="634"/>
      <c r="AB51" s="634"/>
      <c r="AC51" s="634"/>
      <c r="AD51" s="634"/>
      <c r="AE51" s="634"/>
      <c r="AF51" s="634"/>
      <c r="AG51" s="634"/>
      <c r="AH51" s="634"/>
      <c r="AI51" s="634"/>
      <c r="AJ51" s="634"/>
      <c r="AK51" s="634"/>
      <c r="AL51" s="634"/>
      <c r="AM51" s="634"/>
      <c r="AN51" s="634"/>
      <c r="AO51" s="634"/>
      <c r="AP51" s="634"/>
      <c r="AQ51" s="634"/>
      <c r="AR51" s="634"/>
      <c r="AS51" s="634"/>
      <c r="AT51" s="634"/>
      <c r="AU51" s="634"/>
      <c r="AV51" s="634"/>
    </row>
    <row r="52" spans="1:48" ht="18.75">
      <c r="A52" s="5970"/>
      <c r="B52" s="1228"/>
      <c r="C52" s="4619" t="str">
        <f>ADDRESS(ROW(C49),COLUMN(C49),4)</f>
        <v>C49</v>
      </c>
      <c r="D52" s="1206" t="s">
        <v>603</v>
      </c>
      <c r="E52" s="4619" t="str">
        <f>ADDRESS(ROW(E49),COLUMN(E49),4)</f>
        <v>E49</v>
      </c>
      <c r="F52" s="1261" t="s">
        <v>997</v>
      </c>
      <c r="G52" s="4620" t="str">
        <f>ADDRESS(ROW(G49),COLUMN(G49),4)</f>
        <v>G49</v>
      </c>
      <c r="H52" s="816"/>
      <c r="I52" s="634"/>
      <c r="J52" s="1250"/>
      <c r="K52" s="4619" t="str">
        <f>ADDRESS(ROW(K49),COLUMN(K49),4)</f>
        <v>K49</v>
      </c>
      <c r="L52" s="1206" t="s">
        <v>603</v>
      </c>
      <c r="M52" s="4619" t="str">
        <f>ADDRESS(ROW(M49),COLUMN(M49),4)</f>
        <v>M49</v>
      </c>
      <c r="N52" s="1261" t="s">
        <v>997</v>
      </c>
      <c r="O52" s="4620" t="str">
        <f>ADDRESS(ROW(O49),COLUMN(O49),4)</f>
        <v>O49</v>
      </c>
      <c r="P52" s="816"/>
      <c r="Q52" s="1251"/>
      <c r="R52" s="634"/>
      <c r="S52" s="634"/>
      <c r="T52" s="634"/>
      <c r="U52" s="634"/>
      <c r="V52" s="634"/>
      <c r="W52" s="634"/>
      <c r="X52" s="634"/>
      <c r="Y52" s="634"/>
      <c r="Z52" s="634"/>
      <c r="AA52" s="634"/>
      <c r="AB52" s="634"/>
      <c r="AC52" s="634"/>
      <c r="AD52" s="634"/>
      <c r="AE52" s="634"/>
      <c r="AF52" s="634"/>
      <c r="AG52" s="634"/>
      <c r="AH52" s="634"/>
      <c r="AI52" s="634"/>
      <c r="AJ52" s="634"/>
      <c r="AK52" s="634"/>
      <c r="AL52" s="634"/>
      <c r="AM52" s="634"/>
      <c r="AN52" s="634"/>
      <c r="AO52" s="634"/>
      <c r="AP52" s="634"/>
      <c r="AQ52" s="634"/>
      <c r="AR52" s="634"/>
      <c r="AS52" s="634"/>
      <c r="AT52" s="634"/>
      <c r="AU52" s="634"/>
      <c r="AV52" s="634"/>
    </row>
    <row r="53" spans="1:48">
      <c r="A53" s="5970"/>
      <c r="B53" s="1228"/>
      <c r="C53" s="5797" t="str">
        <f>ADDRESS(ROW(C50),COLUMN(C50),4)</f>
        <v>C50</v>
      </c>
      <c r="D53" s="5797"/>
      <c r="E53" s="5797"/>
      <c r="F53" s="1269"/>
      <c r="G53" s="1269"/>
      <c r="H53" s="816"/>
      <c r="I53" s="634"/>
      <c r="J53" s="1250"/>
      <c r="K53" s="5797" t="str">
        <f>ADDRESS(ROW(K50),COLUMN(K50),4)</f>
        <v>K50</v>
      </c>
      <c r="L53" s="5797"/>
      <c r="M53" s="5797"/>
      <c r="N53" s="1269"/>
      <c r="O53" s="1269"/>
      <c r="P53" s="816"/>
      <c r="Q53" s="1251"/>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row>
    <row r="54" spans="1:48">
      <c r="A54" s="5970"/>
      <c r="B54" s="1228"/>
      <c r="C54" s="1229"/>
      <c r="D54" s="1229"/>
      <c r="E54" s="1229"/>
      <c r="F54" s="1269"/>
      <c r="G54" s="1269"/>
      <c r="H54" s="816"/>
      <c r="I54" s="634"/>
      <c r="J54" s="1250"/>
      <c r="K54" s="1229"/>
      <c r="L54" s="1229"/>
      <c r="M54" s="1229"/>
      <c r="N54" s="1269"/>
      <c r="O54" s="1269"/>
      <c r="P54" s="816"/>
      <c r="Q54" s="1251"/>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row>
    <row r="55" spans="1:48" ht="21">
      <c r="A55" s="5970"/>
      <c r="B55" s="5976" t="s">
        <v>1013</v>
      </c>
      <c r="C55" s="5977"/>
      <c r="D55" s="5977"/>
      <c r="E55" s="5977"/>
      <c r="F55" s="5977"/>
      <c r="G55" s="5977"/>
      <c r="H55" s="5977"/>
      <c r="I55" s="4630">
        <v>4</v>
      </c>
      <c r="J55" s="5955" t="s">
        <v>1046</v>
      </c>
      <c r="K55" s="5972"/>
      <c r="L55" s="5972"/>
      <c r="M55" s="5972"/>
      <c r="N55" s="5972"/>
      <c r="O55" s="5972"/>
      <c r="P55" s="5972"/>
      <c r="Q55" s="1249">
        <v>7</v>
      </c>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row>
    <row r="56" spans="1:48">
      <c r="A56" s="5970"/>
      <c r="B56" s="1228"/>
      <c r="C56" s="1190" t="s">
        <v>993</v>
      </c>
      <c r="D56" s="1229"/>
      <c r="E56" s="1229"/>
      <c r="F56" s="1229"/>
      <c r="G56" s="1229"/>
      <c r="H56" s="816"/>
      <c r="I56" s="634"/>
      <c r="J56" s="1250"/>
      <c r="K56" s="1190" t="s">
        <v>993</v>
      </c>
      <c r="L56" s="1229"/>
      <c r="M56" s="1229"/>
      <c r="N56" s="1229"/>
      <c r="O56" s="1229"/>
      <c r="P56" s="816"/>
      <c r="Q56" s="1251"/>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row>
    <row r="57" spans="1:48">
      <c r="A57" s="5970"/>
      <c r="B57" s="1228"/>
      <c r="C57" s="1229"/>
      <c r="D57" s="1229"/>
      <c r="E57" s="1229"/>
      <c r="F57" s="1229"/>
      <c r="G57" s="1229"/>
      <c r="H57" s="816"/>
      <c r="I57" s="634"/>
      <c r="J57" s="1250"/>
      <c r="K57" s="1229"/>
      <c r="L57" s="1229"/>
      <c r="M57" s="1229"/>
      <c r="N57" s="1229"/>
      <c r="O57" s="1229"/>
      <c r="P57" s="816"/>
      <c r="Q57" s="1251"/>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row>
    <row r="58" spans="1:48">
      <c r="A58" s="5970"/>
      <c r="B58" s="1228"/>
      <c r="C58" s="1196" t="s">
        <v>995</v>
      </c>
      <c r="D58" s="1205"/>
      <c r="E58" s="4619"/>
      <c r="F58" s="1229"/>
      <c r="G58" s="4616" t="s">
        <v>1047</v>
      </c>
      <c r="H58" s="1255" t="s">
        <v>685</v>
      </c>
      <c r="I58" s="634"/>
      <c r="J58" s="1250"/>
      <c r="K58" s="1196" t="s">
        <v>996</v>
      </c>
      <c r="L58" s="1205"/>
      <c r="M58" s="4619"/>
      <c r="N58" s="1229"/>
      <c r="O58" s="4641" t="s">
        <v>1006</v>
      </c>
      <c r="P58" s="1255"/>
      <c r="Q58" s="1257"/>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row>
    <row r="59" spans="1:48" ht="19.5" thickBot="1">
      <c r="A59" s="5970"/>
      <c r="B59" s="1278"/>
      <c r="C59" s="1270">
        <f>H30</f>
        <v>12.375</v>
      </c>
      <c r="D59" s="1259" t="s">
        <v>603</v>
      </c>
      <c r="E59" s="1213">
        <f>J30</f>
        <v>1.8</v>
      </c>
      <c r="F59" s="1261" t="s">
        <v>997</v>
      </c>
      <c r="G59" s="4617">
        <f>(C59*E59)/C60</f>
        <v>0.22275000000000003</v>
      </c>
      <c r="H59" s="680" t="str">
        <f ca="1">_xlfn.FORMULATEXT(G59)</f>
        <v>=(C59*E59)/C60</v>
      </c>
      <c r="I59" s="634"/>
      <c r="J59" s="4621"/>
      <c r="K59" s="4632">
        <f>H30</f>
        <v>12.375</v>
      </c>
      <c r="L59" s="4633" t="s">
        <v>603</v>
      </c>
      <c r="M59" s="4640">
        <f>P30</f>
        <v>0.5</v>
      </c>
      <c r="N59" s="1261" t="s">
        <v>997</v>
      </c>
      <c r="O59" s="1272">
        <f>(K59*M59)/K60</f>
        <v>6.1874999999999999E-2</v>
      </c>
      <c r="P59" s="1266">
        <f>O59*1000</f>
        <v>61.875</v>
      </c>
      <c r="Q59" s="1247"/>
      <c r="R59" s="634"/>
      <c r="S59" s="634"/>
      <c r="T59" s="634"/>
      <c r="U59" s="634"/>
      <c r="V59" s="634"/>
      <c r="W59" s="634"/>
      <c r="X59" s="634"/>
      <c r="Y59" s="634"/>
      <c r="Z59" s="634"/>
      <c r="AA59" s="634"/>
      <c r="AB59" s="634"/>
      <c r="AC59" s="634"/>
      <c r="AD59" s="634"/>
      <c r="AE59" s="634"/>
      <c r="AF59" s="634"/>
      <c r="AG59" s="634"/>
      <c r="AH59" s="634"/>
      <c r="AI59" s="634"/>
      <c r="AJ59" s="634"/>
      <c r="AK59" s="634"/>
      <c r="AL59" s="634"/>
      <c r="AM59" s="634"/>
      <c r="AN59" s="634"/>
      <c r="AO59" s="634"/>
      <c r="AP59" s="634"/>
      <c r="AQ59" s="634"/>
      <c r="AR59" s="634"/>
      <c r="AS59" s="634"/>
      <c r="AT59" s="634"/>
      <c r="AU59" s="634"/>
      <c r="AV59" s="634"/>
    </row>
    <row r="60" spans="1:48">
      <c r="A60" s="5970"/>
      <c r="B60" s="1278"/>
      <c r="C60" s="5978">
        <f>G30</f>
        <v>100</v>
      </c>
      <c r="D60" s="5978"/>
      <c r="E60" s="5978"/>
      <c r="F60" s="1229"/>
      <c r="G60" s="1234"/>
      <c r="H60" s="1267"/>
      <c r="I60" s="634"/>
      <c r="J60" s="4621"/>
      <c r="K60" s="5975">
        <v>100</v>
      </c>
      <c r="L60" s="5975"/>
      <c r="M60" s="5975"/>
      <c r="N60" s="1229"/>
      <c r="O60" s="680" t="str">
        <f ca="1">_xlfn.FORMULATEXT(O59)</f>
        <v>=(K59*M59)/K60</v>
      </c>
      <c r="P60" s="1267"/>
      <c r="Q60" s="1268"/>
      <c r="R60" s="634"/>
      <c r="S60" s="634"/>
      <c r="T60" s="634"/>
      <c r="U60" s="634"/>
      <c r="V60" s="634"/>
      <c r="W60" s="634"/>
      <c r="X60" s="634"/>
      <c r="Y60" s="634"/>
      <c r="Z60" s="634"/>
      <c r="AA60" s="634"/>
      <c r="AB60" s="634"/>
      <c r="AC60" s="634"/>
      <c r="AD60" s="634"/>
      <c r="AE60" s="634"/>
      <c r="AF60" s="634"/>
      <c r="AG60" s="634"/>
      <c r="AH60" s="634"/>
      <c r="AI60" s="634"/>
      <c r="AJ60" s="634"/>
      <c r="AK60" s="634"/>
      <c r="AL60" s="634"/>
      <c r="AM60" s="634"/>
      <c r="AN60" s="634"/>
      <c r="AO60" s="634"/>
      <c r="AP60" s="634"/>
      <c r="AQ60" s="634"/>
      <c r="AR60" s="634"/>
      <c r="AS60" s="634"/>
      <c r="AT60" s="634"/>
      <c r="AU60" s="634"/>
      <c r="AV60" s="634"/>
    </row>
    <row r="61" spans="1:48">
      <c r="A61" s="5970"/>
      <c r="B61" s="1278"/>
      <c r="C61" s="1279"/>
      <c r="D61" s="1279"/>
      <c r="E61" s="1279"/>
      <c r="F61" s="1229"/>
      <c r="G61" s="1234"/>
      <c r="H61" s="1267"/>
      <c r="I61" s="634"/>
      <c r="J61" s="4621"/>
      <c r="K61" s="1279"/>
      <c r="L61" s="1279"/>
      <c r="M61" s="1279"/>
      <c r="N61" s="1229"/>
      <c r="O61" s="680"/>
      <c r="P61" s="1267"/>
      <c r="Q61" s="1268"/>
      <c r="R61" s="634"/>
      <c r="S61" s="634"/>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c r="AQ61" s="634"/>
      <c r="AR61" s="634"/>
      <c r="AS61" s="634"/>
      <c r="AT61" s="634"/>
      <c r="AU61" s="634"/>
      <c r="AV61" s="634"/>
    </row>
    <row r="62" spans="1:48" ht="18.75">
      <c r="A62" s="5970"/>
      <c r="B62" s="1278"/>
      <c r="C62" s="4619" t="str">
        <f>ADDRESS(ROW(C59),COLUMN(C59),4)</f>
        <v>C59</v>
      </c>
      <c r="D62" s="1206" t="s">
        <v>603</v>
      </c>
      <c r="E62" s="4619" t="str">
        <f>ADDRESS(ROW(E59),COLUMN(E59),4)</f>
        <v>E59</v>
      </c>
      <c r="F62" s="1261" t="s">
        <v>997</v>
      </c>
      <c r="G62" s="4620" t="str">
        <f>ADDRESS(ROW(G59),COLUMN(G59),4)</f>
        <v>G59</v>
      </c>
      <c r="H62" s="1267"/>
      <c r="I62" s="634"/>
      <c r="J62" s="4621"/>
      <c r="K62" s="4619" t="str">
        <f>ADDRESS(ROW(K59),COLUMN(K59),4)</f>
        <v>K59</v>
      </c>
      <c r="L62" s="1206" t="s">
        <v>603</v>
      </c>
      <c r="M62" s="4619" t="str">
        <f>ADDRESS(ROW(M59),COLUMN(M59),4)</f>
        <v>M59</v>
      </c>
      <c r="N62" s="1261" t="s">
        <v>997</v>
      </c>
      <c r="O62" s="4620" t="str">
        <f>ADDRESS(ROW(O59),COLUMN(O59),4)</f>
        <v>O59</v>
      </c>
      <c r="P62" s="1267"/>
      <c r="Q62" s="1268"/>
      <c r="R62" s="634"/>
      <c r="S62" s="634"/>
      <c r="T62" s="634"/>
      <c r="U62" s="634"/>
      <c r="V62" s="634"/>
      <c r="W62" s="634"/>
      <c r="X62" s="634"/>
      <c r="Y62" s="634"/>
      <c r="Z62" s="634"/>
      <c r="AA62" s="634"/>
      <c r="AB62" s="634"/>
      <c r="AC62" s="634"/>
      <c r="AD62" s="634"/>
      <c r="AE62" s="634"/>
      <c r="AF62" s="634"/>
      <c r="AG62" s="634"/>
      <c r="AH62" s="634"/>
      <c r="AI62" s="634"/>
      <c r="AJ62" s="634"/>
      <c r="AK62" s="634"/>
      <c r="AL62" s="634"/>
      <c r="AM62" s="634"/>
      <c r="AN62" s="634"/>
      <c r="AO62" s="634"/>
      <c r="AP62" s="634"/>
      <c r="AQ62" s="634"/>
      <c r="AR62" s="634"/>
      <c r="AS62" s="634"/>
      <c r="AT62" s="634"/>
      <c r="AU62" s="634"/>
      <c r="AV62" s="634"/>
    </row>
    <row r="63" spans="1:48">
      <c r="A63" s="5970"/>
      <c r="B63" s="1278"/>
      <c r="C63" s="5797" t="str">
        <f>ADDRESS(ROW(C60),COLUMN(C60),4)</f>
        <v>C60</v>
      </c>
      <c r="D63" s="5797"/>
      <c r="E63" s="5797"/>
      <c r="F63" s="1269"/>
      <c r="G63" s="1269"/>
      <c r="H63" s="1267"/>
      <c r="I63" s="634"/>
      <c r="J63" s="4621"/>
      <c r="K63" s="5797" t="str">
        <f>ADDRESS(ROW(K60),COLUMN(K60),4)</f>
        <v>K60</v>
      </c>
      <c r="L63" s="5797"/>
      <c r="M63" s="5797"/>
      <c r="N63" s="1269"/>
      <c r="O63" s="1269"/>
      <c r="P63" s="1267"/>
      <c r="Q63" s="1268"/>
      <c r="R63" s="634"/>
      <c r="S63" s="634"/>
      <c r="T63" s="634"/>
      <c r="U63" s="634"/>
      <c r="V63" s="634"/>
      <c r="W63" s="634"/>
      <c r="X63" s="634"/>
      <c r="Y63" s="634"/>
      <c r="Z63" s="634"/>
      <c r="AA63" s="634"/>
      <c r="AB63" s="634"/>
      <c r="AC63" s="634"/>
      <c r="AD63" s="634"/>
      <c r="AE63" s="634"/>
      <c r="AF63" s="634"/>
      <c r="AG63" s="634"/>
      <c r="AH63" s="634"/>
      <c r="AI63" s="634"/>
      <c r="AJ63" s="634"/>
      <c r="AK63" s="634"/>
      <c r="AL63" s="634"/>
      <c r="AM63" s="634"/>
      <c r="AN63" s="634"/>
      <c r="AO63" s="634"/>
      <c r="AP63" s="634"/>
      <c r="AQ63" s="634"/>
      <c r="AR63" s="634"/>
      <c r="AS63" s="634"/>
      <c r="AT63" s="634"/>
      <c r="AU63" s="634"/>
      <c r="AV63" s="634"/>
    </row>
    <row r="64" spans="1:48">
      <c r="A64" s="5970"/>
      <c r="B64" s="1278"/>
      <c r="C64" s="4619"/>
      <c r="D64" s="4619"/>
      <c r="E64" s="4619"/>
      <c r="F64" s="1269"/>
      <c r="G64" s="1269"/>
      <c r="H64" s="1267"/>
      <c r="I64" s="634"/>
      <c r="J64" s="4634"/>
      <c r="K64" s="4635"/>
      <c r="L64" s="4635"/>
      <c r="M64" s="4635"/>
      <c r="N64" s="4636"/>
      <c r="O64" s="4636"/>
      <c r="P64" s="4637"/>
      <c r="Q64" s="1268"/>
      <c r="R64" s="634"/>
      <c r="S64" s="634"/>
      <c r="T64" s="634"/>
      <c r="U64" s="634"/>
      <c r="V64" s="634"/>
      <c r="W64" s="634"/>
      <c r="X64" s="634"/>
      <c r="Y64" s="634"/>
      <c r="Z64" s="634"/>
      <c r="AA64" s="634"/>
      <c r="AB64" s="634"/>
      <c r="AC64" s="634"/>
      <c r="AD64" s="634"/>
      <c r="AE64" s="634"/>
      <c r="AF64" s="634"/>
      <c r="AG64" s="634"/>
      <c r="AH64" s="634"/>
      <c r="AI64" s="634"/>
      <c r="AJ64" s="634"/>
      <c r="AK64" s="634"/>
      <c r="AL64" s="634"/>
      <c r="AM64" s="634"/>
      <c r="AN64" s="634"/>
      <c r="AO64" s="634"/>
      <c r="AP64" s="634"/>
      <c r="AQ64" s="634"/>
      <c r="AR64" s="634"/>
      <c r="AS64" s="634"/>
      <c r="AT64" s="634"/>
      <c r="AU64" s="634"/>
      <c r="AV64" s="634"/>
    </row>
    <row r="65" spans="1:48">
      <c r="A65" s="5970"/>
      <c r="B65" s="4622"/>
      <c r="C65" s="4623"/>
      <c r="D65" s="4623"/>
      <c r="E65" s="4623"/>
      <c r="F65" s="4624"/>
      <c r="G65" s="4625"/>
      <c r="H65" s="4626"/>
      <c r="I65" s="4627"/>
      <c r="J65" s="4628" t="s">
        <v>999</v>
      </c>
      <c r="K65" s="4624"/>
      <c r="L65" s="4624"/>
      <c r="M65" s="4624"/>
      <c r="N65" s="4624"/>
      <c r="O65" s="4624"/>
      <c r="P65" s="4624"/>
      <c r="Q65" s="4629"/>
      <c r="R65" s="634"/>
      <c r="S65" s="634"/>
      <c r="T65" s="634"/>
      <c r="U65" s="634"/>
      <c r="V65" s="634"/>
      <c r="W65" s="634"/>
      <c r="X65" s="634"/>
      <c r="Y65" s="634"/>
      <c r="Z65" s="634"/>
      <c r="AA65" s="634"/>
      <c r="AB65" s="634"/>
      <c r="AC65" s="634"/>
      <c r="AD65" s="634"/>
      <c r="AE65" s="634"/>
      <c r="AF65" s="634"/>
      <c r="AG65" s="634"/>
      <c r="AH65" s="634"/>
      <c r="AI65" s="634"/>
      <c r="AJ65" s="634"/>
      <c r="AK65" s="634"/>
      <c r="AL65" s="634"/>
      <c r="AM65" s="634"/>
      <c r="AN65" s="634"/>
      <c r="AO65" s="634"/>
      <c r="AP65" s="634"/>
      <c r="AQ65" s="634"/>
      <c r="AR65" s="634"/>
      <c r="AS65" s="634"/>
      <c r="AT65" s="634"/>
      <c r="AU65" s="634"/>
      <c r="AV65" s="634"/>
    </row>
    <row r="66" spans="1:48">
      <c r="A66" s="5970"/>
      <c r="B66" s="1281" t="s">
        <v>1048</v>
      </c>
      <c r="C66" s="1229"/>
      <c r="D66" s="1229"/>
      <c r="E66" s="1229"/>
      <c r="F66" s="1269"/>
      <c r="G66" s="1269"/>
      <c r="H66" s="816"/>
      <c r="I66" s="1229"/>
      <c r="J66" s="5815" t="s">
        <v>990</v>
      </c>
      <c r="K66" s="5961" t="s">
        <v>1000</v>
      </c>
      <c r="L66" s="5961"/>
      <c r="M66" s="5961"/>
      <c r="N66" s="5961"/>
      <c r="O66" s="5961"/>
      <c r="P66" s="5961"/>
      <c r="Q66" s="5962"/>
      <c r="R66" s="634"/>
      <c r="S66" s="634"/>
      <c r="T66" s="634"/>
      <c r="U66" s="634"/>
      <c r="V66" s="634"/>
      <c r="W66" s="634"/>
      <c r="X66" s="634"/>
      <c r="Y66" s="634"/>
      <c r="Z66" s="634"/>
      <c r="AA66" s="634"/>
      <c r="AB66" s="634"/>
      <c r="AC66" s="634"/>
      <c r="AD66" s="634"/>
      <c r="AE66" s="634"/>
      <c r="AF66" s="634"/>
      <c r="AG66" s="634"/>
      <c r="AH66" s="634"/>
      <c r="AI66" s="634"/>
      <c r="AJ66" s="634"/>
      <c r="AK66" s="634"/>
      <c r="AL66" s="634"/>
      <c r="AM66" s="634"/>
      <c r="AN66" s="634"/>
      <c r="AO66" s="634"/>
      <c r="AP66" s="634"/>
      <c r="AQ66" s="634"/>
      <c r="AR66" s="634"/>
      <c r="AS66" s="634"/>
      <c r="AT66" s="634"/>
      <c r="AU66" s="634"/>
      <c r="AV66" s="634"/>
    </row>
    <row r="67" spans="1:48">
      <c r="A67" s="5970"/>
      <c r="B67" s="1281" t="s">
        <v>1049</v>
      </c>
      <c r="C67" s="1229"/>
      <c r="D67" s="1229"/>
      <c r="E67" s="1229"/>
      <c r="F67" s="1269"/>
      <c r="G67" s="1269"/>
      <c r="H67" s="816"/>
      <c r="I67" s="1229"/>
      <c r="J67" s="5815"/>
      <c r="K67" s="5963" t="s">
        <v>1001</v>
      </c>
      <c r="L67" s="5963"/>
      <c r="M67" s="5963"/>
      <c r="N67" s="5963"/>
      <c r="O67" s="5963"/>
      <c r="P67" s="5963"/>
      <c r="Q67" s="5964"/>
      <c r="R67" s="634"/>
      <c r="S67" s="634"/>
      <c r="T67" s="634"/>
      <c r="U67" s="634"/>
      <c r="V67" s="634"/>
      <c r="W67" s="634"/>
      <c r="X67" s="634"/>
      <c r="Y67" s="634"/>
      <c r="Z67" s="634"/>
      <c r="AA67" s="634"/>
      <c r="AB67" s="634"/>
      <c r="AC67" s="634"/>
      <c r="AD67" s="634"/>
      <c r="AE67" s="634"/>
      <c r="AF67" s="634"/>
      <c r="AG67" s="634"/>
      <c r="AH67" s="634"/>
      <c r="AI67" s="634"/>
      <c r="AJ67" s="634"/>
      <c r="AK67" s="634"/>
      <c r="AL67" s="634"/>
      <c r="AM67" s="634"/>
      <c r="AN67" s="634"/>
      <c r="AO67" s="634"/>
      <c r="AP67" s="634"/>
      <c r="AQ67" s="634"/>
      <c r="AR67" s="634"/>
      <c r="AS67" s="634"/>
      <c r="AT67" s="634"/>
      <c r="AU67" s="634"/>
      <c r="AV67" s="634"/>
    </row>
    <row r="68" spans="1:48" ht="15.75" customHeight="1" thickBot="1">
      <c r="A68" s="5970"/>
      <c r="B68" s="5965" t="s">
        <v>998</v>
      </c>
      <c r="C68" s="5966"/>
      <c r="D68" s="5966"/>
      <c r="E68" s="5966"/>
      <c r="F68" s="5966"/>
      <c r="G68" s="5966"/>
      <c r="H68" s="5966"/>
      <c r="I68" s="5966"/>
      <c r="J68" s="1282" t="s">
        <v>1002</v>
      </c>
      <c r="K68" s="1283"/>
      <c r="L68" s="1283"/>
      <c r="M68" s="1283"/>
      <c r="N68" s="1283"/>
      <c r="O68" s="1283"/>
      <c r="P68" s="1283"/>
      <c r="Q68" s="1284"/>
      <c r="R68" s="634"/>
      <c r="S68" s="634"/>
      <c r="T68" s="634"/>
      <c r="U68" s="634"/>
      <c r="V68" s="634"/>
      <c r="W68" s="634"/>
      <c r="X68" s="634"/>
      <c r="Y68" s="634"/>
      <c r="Z68" s="634"/>
      <c r="AA68" s="634"/>
      <c r="AB68" s="634"/>
      <c r="AC68" s="634"/>
      <c r="AD68" s="634"/>
      <c r="AE68" s="634"/>
      <c r="AF68" s="634"/>
      <c r="AG68" s="634"/>
      <c r="AH68" s="634"/>
      <c r="AI68" s="634"/>
      <c r="AJ68" s="634"/>
      <c r="AK68" s="634"/>
      <c r="AL68" s="634"/>
      <c r="AM68" s="634"/>
      <c r="AN68" s="634"/>
      <c r="AO68" s="634"/>
      <c r="AP68" s="634"/>
      <c r="AQ68" s="634"/>
      <c r="AR68" s="634"/>
      <c r="AS68" s="634"/>
      <c r="AT68" s="634"/>
      <c r="AU68" s="634"/>
      <c r="AV68" s="634"/>
    </row>
    <row r="69" spans="1:48" ht="17.25" thickTop="1" thickBot="1">
      <c r="B69" s="634"/>
      <c r="C69" s="634"/>
      <c r="D69" s="634"/>
      <c r="E69" s="634"/>
      <c r="F69" s="634"/>
      <c r="G69" s="634"/>
      <c r="H69" s="634"/>
      <c r="I69" s="634"/>
      <c r="J69" s="634"/>
      <c r="K69" s="634"/>
      <c r="L69" s="634"/>
      <c r="M69" s="634"/>
      <c r="N69" s="634"/>
      <c r="O69" s="634"/>
      <c r="P69" s="634"/>
      <c r="Q69" s="634"/>
      <c r="R69" s="634"/>
      <c r="S69" s="634"/>
      <c r="T69" s="634"/>
      <c r="U69" s="634"/>
      <c r="V69" s="634"/>
      <c r="W69" s="634"/>
      <c r="X69" s="634"/>
      <c r="Y69" s="634"/>
      <c r="Z69" s="634"/>
      <c r="AA69" s="634"/>
      <c r="AB69" s="634"/>
      <c r="AC69" s="634"/>
      <c r="AD69" s="634"/>
      <c r="AE69" s="634"/>
      <c r="AF69" s="634"/>
      <c r="AG69" s="634"/>
      <c r="AH69" s="634"/>
      <c r="AI69" s="634"/>
      <c r="AJ69" s="634"/>
      <c r="AK69" s="634"/>
      <c r="AL69" s="634"/>
      <c r="AM69" s="634"/>
      <c r="AN69" s="634"/>
      <c r="AO69" s="634"/>
      <c r="AP69" s="634"/>
      <c r="AQ69" s="634"/>
      <c r="AR69" s="634"/>
      <c r="AS69" s="634"/>
      <c r="AT69" s="634"/>
      <c r="AU69" s="634"/>
      <c r="AV69" s="634"/>
    </row>
    <row r="70" spans="1:48" ht="27" thickTop="1">
      <c r="A70" s="1192" t="s">
        <v>70</v>
      </c>
      <c r="B70" s="5967" t="s">
        <v>1035</v>
      </c>
      <c r="C70" s="5968"/>
      <c r="D70" s="5968"/>
      <c r="E70" s="5968"/>
      <c r="F70" s="5968"/>
      <c r="G70" s="5968"/>
      <c r="H70" s="5968"/>
      <c r="I70" s="5968"/>
      <c r="J70" s="5968"/>
      <c r="K70" s="5968"/>
      <c r="L70" s="5968"/>
      <c r="M70" s="5968"/>
      <c r="N70" s="5968"/>
      <c r="O70" s="5968"/>
      <c r="P70" s="5968"/>
      <c r="Q70" s="5969"/>
      <c r="R70" s="634"/>
      <c r="S70" s="634"/>
      <c r="T70" s="634"/>
      <c r="U70" s="634"/>
      <c r="V70" s="634"/>
      <c r="W70" s="634"/>
      <c r="X70" s="634"/>
      <c r="Y70" s="634"/>
      <c r="Z70" s="634"/>
      <c r="AA70" s="634"/>
      <c r="AB70" s="634"/>
      <c r="AC70" s="634"/>
      <c r="AD70" s="634"/>
      <c r="AE70" s="634"/>
      <c r="AF70" s="634"/>
      <c r="AG70" s="634"/>
      <c r="AH70" s="634"/>
      <c r="AI70" s="634"/>
      <c r="AJ70" s="634"/>
      <c r="AK70" s="634"/>
      <c r="AL70" s="634"/>
      <c r="AM70" s="634"/>
      <c r="AN70" s="634"/>
      <c r="AO70" s="634"/>
      <c r="AP70" s="634"/>
      <c r="AQ70" s="634"/>
      <c r="AR70" s="634"/>
      <c r="AS70" s="634"/>
      <c r="AT70" s="634"/>
      <c r="AU70" s="634"/>
      <c r="AV70" s="634"/>
    </row>
    <row r="71" spans="1:48" ht="27" customHeight="1">
      <c r="A71" s="5970" t="str">
        <f>B70</f>
        <v>Les calculs en Boulangerie</v>
      </c>
      <c r="B71" s="5971" t="s">
        <v>1036</v>
      </c>
      <c r="C71" s="5972"/>
      <c r="D71" s="5972"/>
      <c r="E71" s="5972"/>
      <c r="F71" s="5972"/>
      <c r="G71" s="5972"/>
      <c r="H71" s="5972"/>
      <c r="I71" s="5957"/>
      <c r="J71" s="5972" t="s">
        <v>1003</v>
      </c>
      <c r="K71" s="5973"/>
      <c r="L71" s="5955" t="s">
        <v>1037</v>
      </c>
      <c r="M71" s="5973"/>
      <c r="N71" s="5955" t="s">
        <v>1038</v>
      </c>
      <c r="O71" s="5957"/>
      <c r="P71" s="5955" t="s">
        <v>1039</v>
      </c>
      <c r="Q71" s="5956"/>
      <c r="R71" s="634"/>
      <c r="S71" s="634"/>
      <c r="T71" s="634"/>
      <c r="U71" s="634"/>
      <c r="V71" s="634"/>
      <c r="W71" s="634"/>
      <c r="X71" s="634"/>
      <c r="Y71" s="634"/>
      <c r="Z71" s="634"/>
      <c r="AA71" s="634"/>
      <c r="AB71" s="634"/>
      <c r="AC71" s="634"/>
      <c r="AD71" s="634"/>
      <c r="AE71" s="634"/>
      <c r="AF71" s="634"/>
      <c r="AG71" s="634"/>
      <c r="AH71" s="634"/>
      <c r="AI71" s="634"/>
      <c r="AJ71" s="634"/>
      <c r="AK71" s="634"/>
      <c r="AL71" s="634"/>
      <c r="AM71" s="634"/>
      <c r="AN71" s="634"/>
      <c r="AO71" s="634"/>
      <c r="AP71" s="634"/>
      <c r="AQ71" s="634"/>
      <c r="AR71" s="634"/>
      <c r="AS71" s="634"/>
      <c r="AT71" s="634"/>
      <c r="AU71" s="634"/>
      <c r="AV71" s="634"/>
    </row>
    <row r="72" spans="1:48" ht="21">
      <c r="A72" s="5970"/>
      <c r="B72" s="1223" t="str">
        <f>ADDRESS(ROW(),COLUMN(),4)</f>
        <v>B72</v>
      </c>
      <c r="C72" s="1193" t="s">
        <v>691</v>
      </c>
      <c r="D72" s="1224"/>
      <c r="E72" s="1224"/>
      <c r="F72" s="1224"/>
      <c r="G72" s="1224"/>
      <c r="H72" s="1225" t="str">
        <f ca="1">MID(CELL("filename",B72),SEARCH("[",CELL("filename",B72))+1,SEARCH("]",CELL("filename",B72))-SEARCH("[",CELL("filename",B72))-1)</f>
        <v>ff-22-formats-formules-pourcentages.xlsx</v>
      </c>
      <c r="I72" s="1226">
        <v>1</v>
      </c>
      <c r="J72" s="5972"/>
      <c r="K72" s="5973"/>
      <c r="L72" s="5955"/>
      <c r="M72" s="5973"/>
      <c r="N72" s="5955" t="s">
        <v>1040</v>
      </c>
      <c r="O72" s="5957"/>
      <c r="P72" s="5955" t="s">
        <v>1041</v>
      </c>
      <c r="Q72" s="5956"/>
      <c r="R72" s="634"/>
      <c r="S72" s="634"/>
      <c r="T72" s="634"/>
      <c r="U72" s="634"/>
      <c r="V72" s="634"/>
      <c r="W72" s="634"/>
      <c r="X72" s="634"/>
      <c r="Y72" s="634"/>
      <c r="Z72" s="634"/>
      <c r="AA72" s="634"/>
      <c r="AB72" s="634"/>
      <c r="AC72" s="634"/>
      <c r="AD72" s="634"/>
      <c r="AE72" s="634"/>
      <c r="AF72" s="634"/>
      <c r="AG72" s="634"/>
      <c r="AH72" s="634"/>
      <c r="AI72" s="634"/>
      <c r="AJ72" s="634"/>
      <c r="AK72" s="634"/>
      <c r="AL72" s="634"/>
      <c r="AM72" s="634"/>
      <c r="AN72" s="634"/>
      <c r="AO72" s="634"/>
      <c r="AP72" s="634"/>
      <c r="AQ72" s="634"/>
      <c r="AR72" s="634"/>
      <c r="AS72" s="634"/>
      <c r="AT72" s="634"/>
      <c r="AU72" s="634"/>
      <c r="AV72" s="634"/>
    </row>
    <row r="73" spans="1:48" ht="18.75">
      <c r="A73" s="5970"/>
      <c r="B73" s="1227"/>
      <c r="C73" s="1200"/>
      <c r="D73" s="1201"/>
      <c r="E73" s="1201"/>
      <c r="F73" s="1201"/>
      <c r="G73" s="1203"/>
      <c r="H73" s="1204"/>
      <c r="I73" s="1204"/>
      <c r="J73" s="5958" t="s">
        <v>1042</v>
      </c>
      <c r="K73" s="5959"/>
      <c r="L73" s="5958" t="s">
        <v>1042</v>
      </c>
      <c r="M73" s="5959"/>
      <c r="N73" s="5958" t="s">
        <v>1042</v>
      </c>
      <c r="O73" s="5959"/>
      <c r="P73" s="5958" t="s">
        <v>1042</v>
      </c>
      <c r="Q73" s="5960"/>
      <c r="R73" s="634"/>
      <c r="S73" s="634"/>
      <c r="T73" s="634"/>
      <c r="U73" s="634"/>
      <c r="V73" s="634"/>
      <c r="W73" s="634"/>
      <c r="X73" s="634"/>
      <c r="Y73" s="634"/>
      <c r="Z73" s="634"/>
      <c r="AA73" s="634"/>
      <c r="AB73" s="634"/>
      <c r="AC73" s="634"/>
      <c r="AD73" s="634"/>
      <c r="AE73" s="634"/>
      <c r="AF73" s="634"/>
      <c r="AG73" s="634"/>
      <c r="AH73" s="634"/>
      <c r="AI73" s="634"/>
      <c r="AJ73" s="634"/>
      <c r="AK73" s="634"/>
      <c r="AL73" s="634"/>
      <c r="AM73" s="634"/>
      <c r="AN73" s="634"/>
      <c r="AO73" s="634"/>
      <c r="AP73" s="634"/>
      <c r="AQ73" s="634"/>
      <c r="AR73" s="634"/>
      <c r="AS73" s="634"/>
      <c r="AT73" s="634"/>
      <c r="AU73" s="634"/>
      <c r="AV73" s="634"/>
    </row>
    <row r="74" spans="1:48" ht="18.75">
      <c r="A74" s="5970"/>
      <c r="B74" s="1228"/>
      <c r="C74" s="1203" t="s">
        <v>1009</v>
      </c>
      <c r="D74" s="1202">
        <v>60</v>
      </c>
      <c r="E74" s="1229"/>
      <c r="F74" s="4608" t="s">
        <v>1010</v>
      </c>
      <c r="G74" s="1231">
        <v>100</v>
      </c>
      <c r="H74" s="4609">
        <f>(D76*G74)/G76</f>
        <v>12.375</v>
      </c>
      <c r="I74" s="1233"/>
      <c r="J74" s="5944">
        <v>1.8</v>
      </c>
      <c r="K74" s="5945"/>
      <c r="L74" s="5946">
        <v>1.8</v>
      </c>
      <c r="M74" s="5947"/>
      <c r="N74" s="5948">
        <v>10</v>
      </c>
      <c r="O74" s="5949"/>
      <c r="P74" s="5946">
        <v>0.5</v>
      </c>
      <c r="Q74" s="5950"/>
      <c r="R74" s="634"/>
      <c r="S74" s="634"/>
      <c r="T74" s="634"/>
      <c r="U74" s="634"/>
      <c r="V74" s="634"/>
      <c r="W74" s="634"/>
      <c r="X74" s="634"/>
      <c r="Y74" s="634"/>
      <c r="Z74" s="634"/>
      <c r="AA74" s="634"/>
      <c r="AB74" s="634"/>
      <c r="AC74" s="634"/>
      <c r="AD74" s="634"/>
      <c r="AE74" s="634"/>
      <c r="AF74" s="634"/>
      <c r="AG74" s="634"/>
      <c r="AH74" s="634"/>
      <c r="AI74" s="634"/>
      <c r="AJ74" s="634"/>
      <c r="AK74" s="634"/>
      <c r="AL74" s="634"/>
      <c r="AM74" s="634"/>
      <c r="AN74" s="634"/>
      <c r="AO74" s="634"/>
      <c r="AP74" s="634"/>
      <c r="AQ74" s="634"/>
      <c r="AR74" s="634"/>
      <c r="AS74" s="634"/>
      <c r="AT74" s="634"/>
      <c r="AU74" s="634"/>
      <c r="AV74" s="634"/>
    </row>
    <row r="75" spans="1:48" ht="19.5" thickBot="1">
      <c r="A75" s="5970"/>
      <c r="B75" s="1228"/>
      <c r="C75" s="634"/>
      <c r="D75" s="634"/>
      <c r="E75" s="1234"/>
      <c r="F75" s="1235" t="s">
        <v>320</v>
      </c>
      <c r="G75" s="1236">
        <f>D74</f>
        <v>60</v>
      </c>
      <c r="H75" s="1237">
        <f>(D76*D74)/G76</f>
        <v>7.4249999999999998</v>
      </c>
      <c r="I75" s="1237"/>
      <c r="J75" s="735"/>
      <c r="K75" s="634"/>
      <c r="L75" s="735"/>
      <c r="M75" s="1238"/>
      <c r="N75" s="735"/>
      <c r="O75" s="1238"/>
      <c r="P75" s="735"/>
      <c r="Q75" s="1239"/>
      <c r="R75" s="634"/>
      <c r="S75" s="634"/>
      <c r="T75" s="634"/>
      <c r="U75" s="634"/>
      <c r="V75" s="634"/>
      <c r="W75" s="634"/>
      <c r="X75" s="634"/>
      <c r="Y75" s="634"/>
      <c r="Z75" s="634"/>
      <c r="AA75" s="634"/>
      <c r="AB75" s="634"/>
      <c r="AC75" s="634"/>
      <c r="AD75" s="634"/>
      <c r="AE75" s="634"/>
      <c r="AF75" s="634"/>
      <c r="AG75" s="634"/>
      <c r="AH75" s="634"/>
      <c r="AI75" s="634"/>
      <c r="AJ75" s="634"/>
      <c r="AK75" s="634"/>
      <c r="AL75" s="634"/>
      <c r="AM75" s="634"/>
      <c r="AN75" s="634"/>
      <c r="AO75" s="634"/>
      <c r="AP75" s="634"/>
      <c r="AQ75" s="634"/>
      <c r="AR75" s="634"/>
      <c r="AS75" s="634"/>
      <c r="AT75" s="634"/>
      <c r="AU75" s="634"/>
      <c r="AV75" s="634"/>
    </row>
    <row r="76" spans="1:48" ht="18.75">
      <c r="A76" s="5970"/>
      <c r="B76" s="1228"/>
      <c r="C76" s="1203" t="s">
        <v>994</v>
      </c>
      <c r="D76" s="1240">
        <v>19.8</v>
      </c>
      <c r="E76" s="1229"/>
      <c r="F76" s="1229" t="s">
        <v>146</v>
      </c>
      <c r="G76" s="1241">
        <f>G74+G75</f>
        <v>160</v>
      </c>
      <c r="H76" s="1242">
        <f>H74+H75</f>
        <v>19.8</v>
      </c>
      <c r="I76" s="1242"/>
      <c r="J76" s="1243">
        <f>(H74*J74)/G74</f>
        <v>0.22275000000000003</v>
      </c>
      <c r="K76" s="1244">
        <f>J76*1000</f>
        <v>222.75000000000003</v>
      </c>
      <c r="L76" s="1245">
        <f>(H74*L74)/G74</f>
        <v>0.22275000000000003</v>
      </c>
      <c r="M76" s="1244">
        <f>L76*1000</f>
        <v>222.75000000000003</v>
      </c>
      <c r="N76" s="5951">
        <f>(H74*N74)/G74</f>
        <v>1.2375</v>
      </c>
      <c r="O76" s="5952"/>
      <c r="P76" s="1246">
        <f>(H74*P74)/G74</f>
        <v>6.1874999999999999E-2</v>
      </c>
      <c r="Q76" s="1247">
        <f>P76*1000</f>
        <v>61.875</v>
      </c>
      <c r="R76" s="634"/>
      <c r="S76" s="634"/>
      <c r="T76" s="634"/>
      <c r="U76" s="634"/>
      <c r="V76" s="634"/>
      <c r="W76" s="634"/>
      <c r="X76" s="634"/>
      <c r="Y76" s="634"/>
      <c r="Z76" s="634"/>
      <c r="AA76" s="634"/>
      <c r="AB76" s="634"/>
      <c r="AC76" s="634"/>
      <c r="AD76" s="634"/>
      <c r="AE76" s="634"/>
      <c r="AF76" s="634"/>
      <c r="AG76" s="634"/>
      <c r="AH76" s="634"/>
      <c r="AI76" s="634"/>
      <c r="AJ76" s="634"/>
      <c r="AK76" s="634"/>
      <c r="AL76" s="634"/>
      <c r="AM76" s="634"/>
      <c r="AN76" s="634"/>
      <c r="AO76" s="634"/>
      <c r="AP76" s="634"/>
      <c r="AQ76" s="634"/>
      <c r="AR76" s="634"/>
      <c r="AS76" s="634"/>
      <c r="AT76" s="634"/>
      <c r="AU76" s="634"/>
      <c r="AV76" s="634"/>
    </row>
    <row r="77" spans="1:48" ht="18.75">
      <c r="A77" s="5970"/>
      <c r="B77" s="1228"/>
      <c r="C77" s="1203"/>
      <c r="D77" s="1285"/>
      <c r="E77" s="1229"/>
      <c r="F77" s="1229"/>
      <c r="G77" s="1241"/>
      <c r="H77" s="1242"/>
      <c r="I77" s="1242"/>
      <c r="J77" s="1286"/>
      <c r="K77" s="1287"/>
      <c r="L77" s="1245"/>
      <c r="M77" s="1244"/>
      <c r="N77" s="1246"/>
      <c r="O77" s="1288"/>
      <c r="P77" s="1246"/>
      <c r="Q77" s="1247"/>
      <c r="R77" s="634"/>
      <c r="S77" s="634"/>
      <c r="T77" s="634"/>
      <c r="U77" s="634"/>
      <c r="V77" s="634"/>
      <c r="W77" s="634"/>
      <c r="X77" s="634"/>
      <c r="Y77" s="634"/>
      <c r="Z77" s="634"/>
      <c r="AA77" s="634"/>
      <c r="AB77" s="634"/>
      <c r="AC77" s="634"/>
      <c r="AD77" s="634"/>
      <c r="AE77" s="634"/>
      <c r="AF77" s="634"/>
      <c r="AG77" s="634"/>
      <c r="AH77" s="634"/>
      <c r="AI77" s="634"/>
      <c r="AJ77" s="634"/>
      <c r="AK77" s="634"/>
      <c r="AL77" s="634"/>
      <c r="AM77" s="634"/>
      <c r="AN77" s="634"/>
      <c r="AO77" s="634"/>
      <c r="AP77" s="634"/>
      <c r="AQ77" s="634"/>
      <c r="AR77" s="634"/>
      <c r="AS77" s="634"/>
      <c r="AT77" s="634"/>
      <c r="AU77" s="634"/>
      <c r="AV77" s="634"/>
    </row>
    <row r="78" spans="1:48" ht="18.75">
      <c r="A78" s="5970"/>
      <c r="B78" s="5953" t="s">
        <v>998</v>
      </c>
      <c r="C78" s="5954"/>
      <c r="D78" s="5954"/>
      <c r="E78" s="5954"/>
      <c r="F78" s="5954"/>
      <c r="G78" s="5954"/>
      <c r="H78" s="5954"/>
      <c r="I78" s="5954"/>
      <c r="J78" s="1289"/>
      <c r="K78" s="1289"/>
      <c r="L78" s="1290"/>
      <c r="M78" s="1291"/>
      <c r="N78" s="1292"/>
      <c r="O78" s="1292"/>
      <c r="P78" s="1292"/>
      <c r="Q78" s="1293"/>
      <c r="R78" s="634"/>
      <c r="S78" s="634"/>
      <c r="T78" s="634"/>
      <c r="U78" s="634"/>
      <c r="V78" s="634"/>
      <c r="W78" s="634"/>
      <c r="X78" s="634"/>
      <c r="Y78" s="634"/>
      <c r="Z78" s="634"/>
      <c r="AA78" s="634"/>
      <c r="AB78" s="634"/>
      <c r="AC78" s="634"/>
      <c r="AD78" s="634"/>
      <c r="AE78" s="634"/>
      <c r="AF78" s="634"/>
      <c r="AG78" s="634"/>
      <c r="AH78" s="634"/>
      <c r="AI78" s="634"/>
      <c r="AJ78" s="634"/>
      <c r="AK78" s="634"/>
      <c r="AL78" s="634"/>
      <c r="AM78" s="634"/>
      <c r="AN78" s="634"/>
      <c r="AO78" s="634"/>
      <c r="AP78" s="634"/>
      <c r="AQ78" s="634"/>
      <c r="AR78" s="634"/>
      <c r="AS78" s="634"/>
      <c r="AT78" s="634"/>
      <c r="AU78" s="634"/>
      <c r="AV78" s="634"/>
    </row>
    <row r="79" spans="1:48" ht="18.75">
      <c r="A79" s="5970"/>
      <c r="B79" s="1294" t="s">
        <v>1050</v>
      </c>
      <c r="C79" s="1295"/>
      <c r="D79" s="1296"/>
      <c r="E79" s="1297"/>
      <c r="F79" s="1297"/>
      <c r="G79" s="1298"/>
      <c r="H79" s="1299"/>
      <c r="I79" s="1299"/>
      <c r="J79" s="1300"/>
      <c r="K79" s="1300"/>
      <c r="L79" s="1301"/>
      <c r="M79" s="1302"/>
      <c r="N79" s="1303"/>
      <c r="O79" s="1303"/>
      <c r="P79" s="1303"/>
      <c r="Q79" s="1304"/>
      <c r="R79" s="634"/>
      <c r="S79" s="634"/>
      <c r="T79" s="634"/>
      <c r="U79" s="634"/>
      <c r="V79" s="634"/>
      <c r="W79" s="634"/>
      <c r="X79" s="634"/>
      <c r="Y79" s="634"/>
      <c r="Z79" s="634"/>
      <c r="AA79" s="634"/>
      <c r="AB79" s="634"/>
      <c r="AC79" s="634"/>
      <c r="AD79" s="634"/>
      <c r="AE79" s="634"/>
      <c r="AF79" s="634"/>
      <c r="AG79" s="634"/>
      <c r="AH79" s="634"/>
      <c r="AI79" s="634"/>
      <c r="AJ79" s="634"/>
      <c r="AK79" s="634"/>
      <c r="AL79" s="634"/>
      <c r="AM79" s="634"/>
      <c r="AN79" s="634"/>
      <c r="AO79" s="634"/>
      <c r="AP79" s="634"/>
      <c r="AQ79" s="634"/>
      <c r="AR79" s="634"/>
      <c r="AS79" s="634"/>
      <c r="AT79" s="634"/>
      <c r="AU79" s="634"/>
      <c r="AV79" s="634"/>
    </row>
    <row r="80" spans="1:48" ht="18.75">
      <c r="A80" s="5970"/>
      <c r="B80" s="1305" t="s">
        <v>999</v>
      </c>
      <c r="C80" s="1203"/>
      <c r="D80" s="1285"/>
      <c r="E80" s="1229"/>
      <c r="F80" s="1229"/>
      <c r="G80" s="1241"/>
      <c r="H80" s="1242"/>
      <c r="I80" s="1242"/>
      <c r="J80" s="1229" t="s">
        <v>1002</v>
      </c>
      <c r="K80" s="1287"/>
      <c r="L80" s="1306"/>
      <c r="M80" s="1266"/>
      <c r="N80" s="1307"/>
      <c r="O80" s="1307"/>
      <c r="P80" s="1307"/>
      <c r="Q80" s="1247"/>
      <c r="R80" s="634"/>
      <c r="S80" s="634"/>
      <c r="T80" s="634"/>
      <c r="U80" s="634"/>
      <c r="V80" s="634"/>
      <c r="W80" s="634"/>
      <c r="X80" s="634"/>
      <c r="Y80" s="634"/>
      <c r="Z80" s="634"/>
      <c r="AA80" s="634"/>
      <c r="AB80" s="634"/>
      <c r="AC80" s="634"/>
      <c r="AD80" s="634"/>
      <c r="AE80" s="634"/>
      <c r="AF80" s="634"/>
      <c r="AG80" s="634"/>
      <c r="AH80" s="634"/>
      <c r="AI80" s="634"/>
      <c r="AJ80" s="634"/>
      <c r="AK80" s="634"/>
      <c r="AL80" s="634"/>
      <c r="AM80" s="634"/>
      <c r="AN80" s="634"/>
      <c r="AO80" s="634"/>
      <c r="AP80" s="634"/>
      <c r="AQ80" s="634"/>
      <c r="AR80" s="634"/>
      <c r="AS80" s="634"/>
      <c r="AT80" s="634"/>
      <c r="AU80" s="634"/>
      <c r="AV80" s="634"/>
    </row>
    <row r="81" spans="1:48" ht="16.5" thickBot="1">
      <c r="A81" s="5970"/>
      <c r="B81" s="1308" t="s">
        <v>365</v>
      </c>
      <c r="C81" s="5941" t="s">
        <v>1000</v>
      </c>
      <c r="D81" s="5941"/>
      <c r="E81" s="5941"/>
      <c r="F81" s="5941"/>
      <c r="G81" s="5941"/>
      <c r="H81" s="1309"/>
      <c r="I81" s="1310" t="s">
        <v>365</v>
      </c>
      <c r="J81" s="5942" t="s">
        <v>1001</v>
      </c>
      <c r="K81" s="5942"/>
      <c r="L81" s="5942"/>
      <c r="M81" s="5942"/>
      <c r="N81" s="5942"/>
      <c r="O81" s="5942"/>
      <c r="P81" s="1311"/>
      <c r="Q81" s="1248"/>
      <c r="R81" s="634"/>
      <c r="S81" s="634"/>
      <c r="T81" s="634"/>
      <c r="U81" s="634"/>
      <c r="V81" s="634"/>
      <c r="W81" s="634"/>
      <c r="X81" s="634"/>
      <c r="Y81" s="634"/>
      <c r="Z81" s="634"/>
      <c r="AA81" s="634"/>
      <c r="AB81" s="634"/>
      <c r="AC81" s="634"/>
      <c r="AD81" s="634"/>
      <c r="AE81" s="634"/>
      <c r="AF81" s="634"/>
      <c r="AG81" s="634"/>
      <c r="AH81" s="634"/>
      <c r="AI81" s="634"/>
      <c r="AJ81" s="634"/>
      <c r="AK81" s="634"/>
      <c r="AL81" s="634"/>
      <c r="AM81" s="634"/>
      <c r="AN81" s="634"/>
      <c r="AO81" s="634"/>
      <c r="AP81" s="634"/>
      <c r="AQ81" s="634"/>
      <c r="AR81" s="634"/>
      <c r="AS81" s="634"/>
      <c r="AT81" s="634"/>
      <c r="AU81" s="634"/>
      <c r="AV81" s="634"/>
    </row>
    <row r="82" spans="1:48" ht="16.5" thickTop="1">
      <c r="B82" s="634"/>
      <c r="C82" s="634"/>
      <c r="D82" s="634"/>
      <c r="E82" s="634"/>
      <c r="F82" s="634"/>
      <c r="G82" s="634"/>
      <c r="H82" s="634"/>
      <c r="I82" s="634"/>
      <c r="J82" s="634"/>
      <c r="K82" s="634"/>
      <c r="L82" s="634"/>
      <c r="M82" s="634"/>
      <c r="N82" s="634"/>
      <c r="O82" s="634"/>
      <c r="P82" s="634"/>
      <c r="Q82" s="634"/>
      <c r="R82" s="634"/>
      <c r="S82" s="634"/>
      <c r="T82" s="634"/>
      <c r="U82" s="634"/>
      <c r="V82" s="634"/>
      <c r="W82" s="634"/>
      <c r="X82" s="634"/>
      <c r="Y82" s="634"/>
      <c r="Z82" s="634"/>
      <c r="AA82" s="634"/>
      <c r="AB82" s="634"/>
      <c r="AC82" s="634"/>
      <c r="AD82" s="634"/>
      <c r="AE82" s="634"/>
      <c r="AF82" s="634"/>
      <c r="AG82" s="634"/>
      <c r="AH82" s="634"/>
      <c r="AI82" s="634"/>
      <c r="AJ82" s="634"/>
      <c r="AK82" s="634"/>
      <c r="AL82" s="634"/>
      <c r="AM82" s="634"/>
      <c r="AN82" s="634"/>
      <c r="AO82" s="634"/>
      <c r="AP82" s="634"/>
      <c r="AQ82" s="634"/>
      <c r="AR82" s="634"/>
      <c r="AS82" s="634"/>
      <c r="AT82" s="634"/>
      <c r="AU82" s="634"/>
      <c r="AV82" s="634"/>
    </row>
    <row r="83" spans="1:48" ht="15.75" customHeight="1">
      <c r="A83" s="5890">
        <f>ROW()</f>
        <v>83</v>
      </c>
      <c r="B83" s="5943" t="s">
        <v>992</v>
      </c>
      <c r="C83" s="5943"/>
      <c r="D83" s="5943"/>
      <c r="E83" s="5943"/>
      <c r="F83" s="5943"/>
      <c r="G83" s="5943"/>
      <c r="H83" s="5943"/>
      <c r="I83" s="5943"/>
      <c r="J83" s="5943"/>
      <c r="K83" s="5943"/>
      <c r="L83" s="5943"/>
      <c r="M83" s="5943"/>
      <c r="N83" s="5943"/>
      <c r="O83" s="5943"/>
      <c r="P83" s="5943"/>
      <c r="Q83" s="5943"/>
      <c r="R83" s="5943"/>
      <c r="S83" s="5943"/>
      <c r="T83" s="5943"/>
      <c r="U83" s="5943"/>
      <c r="V83" s="5943"/>
      <c r="W83" s="5943"/>
      <c r="X83" s="5943"/>
      <c r="Y83" s="5943"/>
      <c r="Z83" s="5943"/>
      <c r="AA83" s="5943"/>
      <c r="AB83" s="5943"/>
      <c r="AC83" s="5943"/>
      <c r="AD83" s="5943"/>
      <c r="AE83" s="5943"/>
      <c r="AF83" s="5943"/>
      <c r="AG83" s="5943"/>
      <c r="AH83" s="5943"/>
      <c r="AI83" s="5943"/>
      <c r="AJ83" s="5943"/>
      <c r="AK83" s="5943"/>
      <c r="AL83" s="5943"/>
      <c r="AM83" s="5943"/>
      <c r="AN83" s="5943"/>
      <c r="AO83" s="5943"/>
      <c r="AP83" s="5943"/>
      <c r="AQ83" s="5943"/>
      <c r="AR83" s="5943"/>
      <c r="AS83" s="5943"/>
      <c r="AT83" s="5943"/>
      <c r="AU83" s="5943"/>
      <c r="AV83" s="5943"/>
    </row>
    <row r="84" spans="1:48" ht="15.75" customHeight="1">
      <c r="A84" s="5890"/>
      <c r="B84" s="5943"/>
      <c r="C84" s="5943"/>
      <c r="D84" s="5943"/>
      <c r="E84" s="5943"/>
      <c r="F84" s="5943"/>
      <c r="G84" s="5943"/>
      <c r="H84" s="5943"/>
      <c r="I84" s="5943"/>
      <c r="J84" s="5943"/>
      <c r="K84" s="5943"/>
      <c r="L84" s="5943"/>
      <c r="M84" s="5943"/>
      <c r="N84" s="5943"/>
      <c r="O84" s="5943"/>
      <c r="P84" s="5943"/>
      <c r="Q84" s="5943"/>
      <c r="R84" s="5943"/>
      <c r="S84" s="5943"/>
      <c r="T84" s="5943"/>
      <c r="U84" s="5943"/>
      <c r="V84" s="5943"/>
      <c r="W84" s="5943"/>
      <c r="X84" s="5943"/>
      <c r="Y84" s="5943"/>
      <c r="Z84" s="5943"/>
      <c r="AA84" s="5943"/>
      <c r="AB84" s="5943"/>
      <c r="AC84" s="5943"/>
      <c r="AD84" s="5943"/>
      <c r="AE84" s="5943"/>
      <c r="AF84" s="5943"/>
      <c r="AG84" s="5943"/>
      <c r="AH84" s="5943"/>
      <c r="AI84" s="5943"/>
      <c r="AJ84" s="5943"/>
      <c r="AK84" s="5943"/>
      <c r="AL84" s="5943"/>
      <c r="AM84" s="5943"/>
      <c r="AN84" s="5943"/>
      <c r="AO84" s="5943"/>
      <c r="AP84" s="5943"/>
      <c r="AQ84" s="5943"/>
      <c r="AR84" s="5943"/>
      <c r="AS84" s="5943"/>
      <c r="AT84" s="5943"/>
      <c r="AU84" s="5943"/>
      <c r="AV84" s="5943"/>
    </row>
    <row r="85" spans="1:48" ht="16.5" thickBot="1">
      <c r="B85" s="634"/>
      <c r="C85" s="634"/>
      <c r="D85" s="634"/>
      <c r="E85" s="634"/>
      <c r="F85" s="634"/>
      <c r="G85" s="634"/>
      <c r="H85" s="634"/>
      <c r="I85" s="634"/>
      <c r="J85" s="634"/>
      <c r="K85" s="634"/>
      <c r="L85" s="634"/>
      <c r="M85" s="634"/>
      <c r="N85" s="634"/>
      <c r="O85" s="634"/>
      <c r="P85" s="634"/>
      <c r="Q85" s="634"/>
      <c r="R85" s="634"/>
      <c r="S85" s="634"/>
      <c r="T85" s="634"/>
      <c r="U85" s="634"/>
      <c r="V85" s="634"/>
      <c r="W85" s="634"/>
      <c r="X85" s="634"/>
      <c r="Y85" s="634"/>
      <c r="Z85" s="634"/>
      <c r="AA85" s="634"/>
      <c r="AB85" s="634"/>
      <c r="AC85" s="634"/>
      <c r="AD85" s="634"/>
      <c r="AE85" s="634"/>
      <c r="AF85" s="634"/>
      <c r="AG85" s="634"/>
      <c r="AH85" s="634"/>
      <c r="AI85" s="634"/>
      <c r="AK85" s="634"/>
      <c r="AL85" s="634"/>
      <c r="AM85" s="634"/>
      <c r="AN85" s="634"/>
      <c r="AO85" s="634"/>
      <c r="AP85" s="634"/>
      <c r="AQ85" s="634"/>
      <c r="AR85" s="634"/>
      <c r="AS85" s="634"/>
      <c r="AT85" s="634"/>
      <c r="AU85" s="634"/>
      <c r="AV85" s="634"/>
    </row>
    <row r="86" spans="1:48" ht="21">
      <c r="A86" s="1192" t="s">
        <v>70</v>
      </c>
      <c r="B86" s="5892" t="s">
        <v>1051</v>
      </c>
      <c r="C86" s="5893"/>
      <c r="D86" s="5893"/>
      <c r="E86" s="5893"/>
      <c r="F86" s="5893"/>
      <c r="G86" s="5893"/>
      <c r="H86" s="5893"/>
      <c r="I86" s="5893"/>
      <c r="J86" s="5893"/>
      <c r="K86" s="5894"/>
      <c r="L86" s="1312"/>
      <c r="M86" s="1312"/>
      <c r="N86" s="1312"/>
      <c r="O86" s="634"/>
      <c r="P86" s="634"/>
      <c r="Q86" s="1192" t="s">
        <v>70</v>
      </c>
      <c r="R86" s="5892" t="s">
        <v>1051</v>
      </c>
      <c r="S86" s="5893"/>
      <c r="T86" s="5893"/>
      <c r="U86" s="5893"/>
      <c r="V86" s="5893"/>
      <c r="W86" s="5893"/>
      <c r="X86" s="5893"/>
      <c r="Y86" s="5893"/>
      <c r="Z86" s="5894"/>
      <c r="AA86" s="634"/>
      <c r="AB86" s="1192" t="s">
        <v>70</v>
      </c>
      <c r="AC86" s="5892" t="s">
        <v>1007</v>
      </c>
      <c r="AD86" s="5893"/>
      <c r="AE86" s="5893"/>
      <c r="AF86" s="5893"/>
      <c r="AG86" s="5893"/>
      <c r="AH86" s="5893"/>
      <c r="AI86" s="5893"/>
      <c r="AJ86" s="5893"/>
      <c r="AK86" s="5894"/>
      <c r="AL86" s="634"/>
      <c r="AM86" s="1192" t="s">
        <v>70</v>
      </c>
      <c r="AN86" s="5892" t="s">
        <v>1007</v>
      </c>
      <c r="AO86" s="5893"/>
      <c r="AP86" s="5893"/>
      <c r="AQ86" s="5893"/>
      <c r="AR86" s="5893"/>
      <c r="AS86" s="5893"/>
      <c r="AT86" s="5893"/>
      <c r="AU86" s="5893"/>
      <c r="AV86" s="5894"/>
    </row>
    <row r="87" spans="1:48" ht="15.75" customHeight="1">
      <c r="A87" s="4717" t="str">
        <f>B86</f>
        <v>Formule du calcul du poids de  FARINE - comparer deux % d'hydratation</v>
      </c>
      <c r="B87" s="533" t="str">
        <f>ADDRESS(ROW(),COLUMN(),4)</f>
        <v>B87</v>
      </c>
      <c r="C87" s="903" t="s">
        <v>691</v>
      </c>
      <c r="D87" s="1012"/>
      <c r="E87" s="1012"/>
      <c r="F87" s="1012"/>
      <c r="G87" s="1225"/>
      <c r="H87" s="1225"/>
      <c r="I87" s="1225"/>
      <c r="J87" s="1225" t="str">
        <f ca="1">MID(CELL("filename",B87),SEARCH("[",CELL("filename",B87))+1,SEARCH("]",CELL("filename",B87))-SEARCH("[",CELL("filename",B87))-1)</f>
        <v>ff-22-formats-formules-pourcentages.xlsx</v>
      </c>
      <c r="K87" s="1226">
        <v>2</v>
      </c>
      <c r="L87" s="634"/>
      <c r="M87" s="634"/>
      <c r="N87" s="634"/>
      <c r="O87" s="634"/>
      <c r="P87" s="634"/>
      <c r="Q87" s="4717" t="str">
        <f>R86</f>
        <v>Formule du calcul du poids de  FARINE - comparer deux % d'hydratation</v>
      </c>
      <c r="R87" s="1179" t="str">
        <f>ADDRESS(ROW(),COLUMN(),4)</f>
        <v>R87</v>
      </c>
      <c r="S87" s="1193" t="s">
        <v>691</v>
      </c>
      <c r="T87" s="1012"/>
      <c r="U87" s="1012"/>
      <c r="V87" s="1012"/>
      <c r="W87" s="1225"/>
      <c r="X87" s="1225"/>
      <c r="Y87" s="1225" t="str">
        <f ca="1">MID(CELL("filename",R87),SEARCH("[",CELL("filename",R87))+1,SEARCH("]",CELL("filename",R87))-SEARCH("[",CELL("filename",R87))-1)</f>
        <v>ff-22-formats-formules-pourcentages.xlsx</v>
      </c>
      <c r="Z87" s="1226">
        <v>2</v>
      </c>
      <c r="AA87" s="634"/>
      <c r="AB87" s="4717" t="str">
        <f>AC86</f>
        <v>Formule du calcul du poids de  FARINE</v>
      </c>
      <c r="AC87" s="1179" t="str">
        <f>ADDRESS(ROW(),COLUMN(),4)</f>
        <v>AC87</v>
      </c>
      <c r="AD87" s="1193" t="s">
        <v>691</v>
      </c>
      <c r="AE87" s="1224"/>
      <c r="AF87" s="1224"/>
      <c r="AG87" s="1224"/>
      <c r="AH87" s="1224"/>
      <c r="AI87" s="1225"/>
      <c r="AJ87" s="1225" t="str">
        <f ca="1">MID(CELL("filename",AC87),SEARCH("[",CELL("filename",AC87))+1,SEARCH("]",CELL("filename",AC87))-SEARCH("[",CELL("filename",AC87))-1)</f>
        <v>ff-22-formats-formules-pourcentages.xlsx</v>
      </c>
      <c r="AK87" s="1226">
        <v>2</v>
      </c>
      <c r="AL87" s="634"/>
      <c r="AM87" s="4717" t="str">
        <f>AN86</f>
        <v>Formule du calcul du poids de  FARINE</v>
      </c>
      <c r="AN87" s="1179" t="str">
        <f>ADDRESS(ROW(),COLUMN(),4)</f>
        <v>AN87</v>
      </c>
      <c r="AO87" s="1193" t="s">
        <v>691</v>
      </c>
      <c r="AP87" s="1224"/>
      <c r="AQ87" s="1224"/>
      <c r="AR87" s="1224"/>
      <c r="AS87" s="1224"/>
      <c r="AT87" s="1225"/>
      <c r="AU87" s="1225" t="str">
        <f ca="1">MID(CELL("filename",AN87),SEARCH("[",CELL("filename",AN87))+1,SEARCH("]",CELL("filename",AN87))-SEARCH("[",CELL("filename",AN87))-1)</f>
        <v>ff-22-formats-formules-pourcentages.xlsx</v>
      </c>
      <c r="AV87" s="1226">
        <v>2</v>
      </c>
    </row>
    <row r="88" spans="1:48" ht="18.75">
      <c r="A88" s="4717"/>
      <c r="B88" s="1313" t="s">
        <v>1052</v>
      </c>
      <c r="C88" s="1314"/>
      <c r="D88" s="1315"/>
      <c r="E88" s="1315"/>
      <c r="F88" s="1315"/>
      <c r="G88" s="1316"/>
      <c r="H88" s="1316"/>
      <c r="I88" s="1316"/>
      <c r="J88" s="1317"/>
      <c r="K88" s="517"/>
      <c r="L88" s="634"/>
      <c r="M88" s="634"/>
      <c r="N88" s="634"/>
      <c r="O88" s="634"/>
      <c r="P88" s="634"/>
      <c r="Q88" s="4717"/>
      <c r="R88" s="1318" t="s">
        <v>1052</v>
      </c>
      <c r="S88" s="1314"/>
      <c r="T88" s="1315"/>
      <c r="U88" s="1315"/>
      <c r="V88" s="1315"/>
      <c r="W88" s="1316"/>
      <c r="X88" s="1316"/>
      <c r="Y88" s="1316"/>
      <c r="Z88" s="1319"/>
      <c r="AA88" s="634"/>
      <c r="AB88" s="4717"/>
      <c r="AC88" s="1318"/>
      <c r="AD88" s="1200"/>
      <c r="AE88" s="1201"/>
      <c r="AF88" s="1201"/>
      <c r="AG88" s="1201"/>
      <c r="AH88" s="1203"/>
      <c r="AI88" s="1204"/>
      <c r="AJ88" s="1201"/>
      <c r="AK88" s="517"/>
      <c r="AL88" s="634"/>
      <c r="AM88" s="4717"/>
      <c r="AN88" s="1318"/>
      <c r="AO88" s="1200"/>
      <c r="AP88" s="1201"/>
      <c r="AQ88" s="1201"/>
      <c r="AR88" s="1201"/>
      <c r="AS88" s="1203"/>
      <c r="AT88" s="1204"/>
      <c r="AU88" s="1201"/>
      <c r="AV88" s="517"/>
    </row>
    <row r="89" spans="1:48" ht="18.75">
      <c r="A89" s="4717"/>
      <c r="B89" s="1318"/>
      <c r="C89" s="814"/>
      <c r="D89" s="634"/>
      <c r="E89" s="634"/>
      <c r="F89" s="634"/>
      <c r="G89" s="1320"/>
      <c r="H89" s="1320"/>
      <c r="I89" s="1320"/>
      <c r="J89" s="1279"/>
      <c r="K89" s="517"/>
      <c r="L89" s="634"/>
      <c r="M89" s="634"/>
      <c r="N89" s="634"/>
      <c r="O89" s="634"/>
      <c r="P89" s="634"/>
      <c r="Q89" s="4717"/>
      <c r="R89" s="633"/>
      <c r="S89" s="634"/>
      <c r="T89" s="634"/>
      <c r="U89" s="634"/>
      <c r="V89" s="634"/>
      <c r="W89" s="1321" t="s">
        <v>473</v>
      </c>
      <c r="X89" s="634"/>
      <c r="Y89" s="1322" t="s">
        <v>473</v>
      </c>
      <c r="Z89" s="517"/>
      <c r="AA89" s="634"/>
      <c r="AB89" s="4717"/>
      <c r="AC89" s="1323"/>
      <c r="AD89" s="1229"/>
      <c r="AE89" s="1324" t="s">
        <v>1053</v>
      </c>
      <c r="AF89" s="1229"/>
      <c r="AG89" s="1230" t="s">
        <v>1010</v>
      </c>
      <c r="AH89" s="1231">
        <v>100</v>
      </c>
      <c r="AI89" s="1232">
        <f>(AE91*AH89)/AH91</f>
        <v>12.375</v>
      </c>
      <c r="AJ89" s="1229"/>
      <c r="AK89" s="517"/>
      <c r="AL89" s="634"/>
      <c r="AM89" s="4717"/>
      <c r="AN89" s="1323"/>
      <c r="AO89" s="1229"/>
      <c r="AP89" s="1324" t="s">
        <v>1053</v>
      </c>
      <c r="AQ89" s="1229"/>
      <c r="AR89" s="1230" t="s">
        <v>1010</v>
      </c>
      <c r="AS89" s="1231">
        <v>100</v>
      </c>
      <c r="AT89" s="1232">
        <f>(AP91*AS89)/AS91</f>
        <v>12</v>
      </c>
      <c r="AU89" s="1229"/>
      <c r="AV89" s="517"/>
    </row>
    <row r="90" spans="1:48" ht="16.5" customHeight="1" thickBot="1">
      <c r="A90" s="4717"/>
      <c r="B90" s="1318"/>
      <c r="C90" s="814"/>
      <c r="D90" s="634"/>
      <c r="E90" s="1325"/>
      <c r="F90" s="1325" t="s">
        <v>994</v>
      </c>
      <c r="G90" s="1240">
        <v>19.8</v>
      </c>
      <c r="H90" s="1320"/>
      <c r="I90" s="1320"/>
      <c r="J90" s="1279"/>
      <c r="K90" s="517"/>
      <c r="L90" s="634"/>
      <c r="M90" s="634"/>
      <c r="N90" s="634"/>
      <c r="O90" s="634"/>
      <c r="P90" s="634"/>
      <c r="Q90" s="4717"/>
      <c r="R90" s="1326"/>
      <c r="S90" s="1210"/>
      <c r="T90" s="1203"/>
      <c r="U90" s="1203"/>
      <c r="V90" s="1327" t="s">
        <v>1008</v>
      </c>
      <c r="W90" s="1328">
        <v>60</v>
      </c>
      <c r="X90" s="1329" t="s">
        <v>1054</v>
      </c>
      <c r="Y90" s="1330">
        <v>65</v>
      </c>
      <c r="Z90" s="517"/>
      <c r="AA90" s="634"/>
      <c r="AB90" s="4717"/>
      <c r="AC90" s="1323"/>
      <c r="AD90" s="1327" t="s">
        <v>1009</v>
      </c>
      <c r="AE90" s="1202">
        <v>60</v>
      </c>
      <c r="AF90" s="1234"/>
      <c r="AG90" s="1235" t="s">
        <v>320</v>
      </c>
      <c r="AH90" s="1236">
        <f>AE90</f>
        <v>60</v>
      </c>
      <c r="AI90" s="1242">
        <f>(AE91*AE90)/AH91</f>
        <v>7.4249999999999998</v>
      </c>
      <c r="AJ90" s="1229"/>
      <c r="AK90" s="517"/>
      <c r="AL90" s="634"/>
      <c r="AM90" s="4717"/>
      <c r="AN90" s="1323"/>
      <c r="AO90" s="1327" t="s">
        <v>1009</v>
      </c>
      <c r="AP90" s="1202">
        <v>65</v>
      </c>
      <c r="AQ90" s="1234"/>
      <c r="AR90" s="1235" t="s">
        <v>320</v>
      </c>
      <c r="AS90" s="1236">
        <f>AP90</f>
        <v>65</v>
      </c>
      <c r="AT90" s="1242">
        <f>(AP91*AP90)/AS91</f>
        <v>7.8</v>
      </c>
      <c r="AU90" s="1229"/>
      <c r="AV90" s="517"/>
    </row>
    <row r="91" spans="1:48" ht="18.75">
      <c r="A91" s="4717"/>
      <c r="B91" s="1318"/>
      <c r="C91" s="814"/>
      <c r="D91" s="634"/>
      <c r="E91" s="1320"/>
      <c r="F91" s="1320"/>
      <c r="G91" s="1320"/>
      <c r="H91" s="1320"/>
      <c r="I91" s="1320"/>
      <c r="J91" s="1279"/>
      <c r="K91" s="517"/>
      <c r="L91" s="634"/>
      <c r="M91" s="634"/>
      <c r="N91" s="634"/>
      <c r="O91" s="634"/>
      <c r="P91" s="634"/>
      <c r="Q91" s="4717"/>
      <c r="R91" s="633"/>
      <c r="S91" s="634"/>
      <c r="U91" s="634"/>
      <c r="V91" s="634"/>
      <c r="W91" s="1320"/>
      <c r="X91" s="1320"/>
      <c r="Y91" s="634"/>
      <c r="Z91" s="517"/>
      <c r="AA91" s="634"/>
      <c r="AB91" s="4717"/>
      <c r="AC91" s="1323"/>
      <c r="AD91" s="1331" t="s">
        <v>994</v>
      </c>
      <c r="AE91" s="1240">
        <v>19.8</v>
      </c>
      <c r="AF91" s="1229"/>
      <c r="AG91" s="1229" t="s">
        <v>146</v>
      </c>
      <c r="AH91" s="1241">
        <f>AH89+AH90</f>
        <v>160</v>
      </c>
      <c r="AI91" s="1242">
        <f>AI89+AI90</f>
        <v>19.8</v>
      </c>
      <c r="AJ91" s="1229"/>
      <c r="AK91" s="517"/>
      <c r="AL91" s="634"/>
      <c r="AM91" s="4717"/>
      <c r="AN91" s="1323"/>
      <c r="AO91" s="1331" t="s">
        <v>994</v>
      </c>
      <c r="AP91" s="1240">
        <v>19.8</v>
      </c>
      <c r="AQ91" s="1229"/>
      <c r="AR91" s="1229" t="s">
        <v>146</v>
      </c>
      <c r="AS91" s="1241">
        <f>AS89+AS90</f>
        <v>165</v>
      </c>
      <c r="AT91" s="1242">
        <f>AT89+AT90</f>
        <v>19.8</v>
      </c>
      <c r="AU91" s="1229"/>
      <c r="AV91" s="517"/>
    </row>
    <row r="92" spans="1:48" ht="18.75">
      <c r="A92" s="4717"/>
      <c r="B92" s="633"/>
      <c r="C92" s="634"/>
      <c r="D92" s="1321" t="s">
        <v>473</v>
      </c>
      <c r="E92" s="634"/>
      <c r="F92" s="634"/>
      <c r="G92" s="1320"/>
      <c r="H92" s="634"/>
      <c r="I92" s="1322" t="s">
        <v>473</v>
      </c>
      <c r="J92" s="634"/>
      <c r="K92" s="517"/>
      <c r="L92" s="634"/>
      <c r="M92" s="634"/>
      <c r="N92" s="634"/>
      <c r="O92" s="634"/>
      <c r="P92" s="634"/>
      <c r="Q92" s="4717"/>
      <c r="R92" s="1326"/>
      <c r="S92" s="1210"/>
      <c r="T92" s="1331"/>
      <c r="U92" s="1331"/>
      <c r="V92" s="1331" t="s">
        <v>994</v>
      </c>
      <c r="W92" s="1240">
        <v>19.8</v>
      </c>
      <c r="X92" s="1285"/>
      <c r="Y92" s="1332">
        <f>W92</f>
        <v>19.8</v>
      </c>
      <c r="Z92" s="517"/>
      <c r="AA92" s="634"/>
      <c r="AB92" s="4717"/>
      <c r="AC92" s="1333"/>
      <c r="AD92" s="1224"/>
      <c r="AE92" s="1224"/>
      <c r="AF92" s="1224"/>
      <c r="AG92" s="1224"/>
      <c r="AH92" s="1224"/>
      <c r="AI92" s="1224"/>
      <c r="AJ92" s="1224"/>
      <c r="AK92" s="1194"/>
      <c r="AL92" s="634"/>
      <c r="AM92" s="4717"/>
      <c r="AN92" s="1333"/>
      <c r="AO92" s="1224"/>
      <c r="AP92" s="1224"/>
      <c r="AQ92" s="1224"/>
      <c r="AR92" s="1224"/>
      <c r="AS92" s="1224"/>
      <c r="AT92" s="1224"/>
      <c r="AU92" s="1224"/>
      <c r="AV92" s="1194"/>
    </row>
    <row r="93" spans="1:48" ht="18.75">
      <c r="A93" s="4717"/>
      <c r="B93" s="1326"/>
      <c r="C93" s="1203" t="s">
        <v>1009</v>
      </c>
      <c r="D93" s="1328">
        <v>60</v>
      </c>
      <c r="E93" s="1203"/>
      <c r="F93" s="874" t="s">
        <v>1054</v>
      </c>
      <c r="G93" s="634"/>
      <c r="H93" s="1203" t="s">
        <v>1009</v>
      </c>
      <c r="I93" s="1330">
        <v>65</v>
      </c>
      <c r="J93" s="634"/>
      <c r="K93" s="517"/>
      <c r="L93" s="634"/>
      <c r="M93" s="634"/>
      <c r="N93" s="634"/>
      <c r="O93" s="634"/>
      <c r="P93" s="634"/>
      <c r="Q93" s="4717"/>
      <c r="R93" s="633"/>
      <c r="S93" s="634"/>
      <c r="T93" s="634"/>
      <c r="U93" s="634"/>
      <c r="V93" s="634"/>
      <c r="W93" s="1320"/>
      <c r="X93" s="1320"/>
      <c r="Y93" s="634"/>
      <c r="Z93" s="517"/>
      <c r="AA93" s="634"/>
      <c r="AB93" s="4717"/>
      <c r="AC93" s="1323"/>
      <c r="AD93" s="1190" t="s">
        <v>993</v>
      </c>
      <c r="AE93" s="1229"/>
      <c r="AF93" s="1229"/>
      <c r="AG93" s="1229"/>
      <c r="AH93" s="1229"/>
      <c r="AI93" s="816"/>
      <c r="AJ93" s="1229"/>
      <c r="AK93" s="1334" t="s">
        <v>1055</v>
      </c>
      <c r="AL93" s="634"/>
      <c r="AM93" s="4717"/>
      <c r="AN93" s="1323"/>
      <c r="AO93" s="1190" t="s">
        <v>993</v>
      </c>
      <c r="AP93" s="1229"/>
      <c r="AQ93" s="1229"/>
      <c r="AR93" s="1229"/>
      <c r="AS93" s="1229"/>
      <c r="AT93" s="816"/>
      <c r="AU93" s="1229"/>
      <c r="AV93" s="1334" t="s">
        <v>1055</v>
      </c>
    </row>
    <row r="94" spans="1:48" ht="18.75">
      <c r="A94" s="4717"/>
      <c r="B94" s="633"/>
      <c r="C94" s="634"/>
      <c r="E94" s="634"/>
      <c r="F94" s="634"/>
      <c r="G94" s="1320"/>
      <c r="H94" s="1320"/>
      <c r="I94" s="634"/>
      <c r="J94" s="634"/>
      <c r="K94" s="517"/>
      <c r="L94" s="634"/>
      <c r="M94" s="634"/>
      <c r="N94" s="634"/>
      <c r="O94" s="634"/>
      <c r="P94" s="634"/>
      <c r="Q94" s="4717"/>
      <c r="R94" s="633"/>
      <c r="S94" s="1335" t="s">
        <v>1010</v>
      </c>
      <c r="T94" s="1231">
        <v>100</v>
      </c>
      <c r="U94" s="1336">
        <f>(W92*T94)/T96</f>
        <v>12.375</v>
      </c>
      <c r="V94" s="634"/>
      <c r="W94" s="1337" t="s">
        <v>1010</v>
      </c>
      <c r="X94" s="1231">
        <v>100</v>
      </c>
      <c r="Y94" s="1338">
        <f>(W92*X94)/X96</f>
        <v>12</v>
      </c>
      <c r="Z94" s="517"/>
      <c r="AA94" s="634"/>
      <c r="AB94" s="4717"/>
      <c r="AC94" s="1323"/>
      <c r="AD94" s="1229"/>
      <c r="AE94" s="1229"/>
      <c r="AF94" s="1229"/>
      <c r="AG94" s="1229"/>
      <c r="AH94" s="1229"/>
      <c r="AI94" s="816"/>
      <c r="AJ94" s="1229"/>
      <c r="AK94" s="1334" t="s">
        <v>1055</v>
      </c>
      <c r="AL94" s="634"/>
      <c r="AM94" s="4717"/>
      <c r="AN94" s="1323"/>
      <c r="AO94" s="1229"/>
      <c r="AP94" s="1229"/>
      <c r="AQ94" s="1229"/>
      <c r="AR94" s="1229"/>
      <c r="AS94" s="1229"/>
      <c r="AT94" s="816"/>
      <c r="AU94" s="1229"/>
      <c r="AV94" s="1334" t="s">
        <v>1055</v>
      </c>
    </row>
    <row r="95" spans="1:48" ht="19.5" thickBot="1">
      <c r="A95" s="4717"/>
      <c r="B95" s="633"/>
      <c r="C95" s="1335" t="s">
        <v>1010</v>
      </c>
      <c r="D95" s="1231">
        <v>100</v>
      </c>
      <c r="E95" s="1336">
        <f>(G90*D95)/D97</f>
        <v>12.375</v>
      </c>
      <c r="F95" s="634"/>
      <c r="G95" s="634"/>
      <c r="H95" s="1337" t="s">
        <v>1010</v>
      </c>
      <c r="I95" s="1231">
        <v>100</v>
      </c>
      <c r="J95" s="1338">
        <f>(G90*I95)/I97</f>
        <v>12</v>
      </c>
      <c r="K95" s="517"/>
      <c r="L95" s="634"/>
      <c r="M95" s="634"/>
      <c r="N95" s="634"/>
      <c r="O95" s="634"/>
      <c r="P95" s="634"/>
      <c r="Q95" s="4717"/>
      <c r="R95" s="633"/>
      <c r="S95" s="1235" t="s">
        <v>320</v>
      </c>
      <c r="T95" s="1236">
        <f>W90</f>
        <v>60</v>
      </c>
      <c r="U95" s="1339">
        <f>(W92*W90)/T96</f>
        <v>7.4249999999999998</v>
      </c>
      <c r="V95" s="634"/>
      <c r="W95" s="1340" t="s">
        <v>320</v>
      </c>
      <c r="X95" s="1341">
        <f>Y90</f>
        <v>65</v>
      </c>
      <c r="Y95" s="1339">
        <f>(W92*Y90)/X96</f>
        <v>7.8</v>
      </c>
      <c r="Z95" s="517"/>
      <c r="AA95" s="634"/>
      <c r="AB95" s="4717"/>
      <c r="AC95" s="1323"/>
      <c r="AD95" s="1252" t="s">
        <v>994</v>
      </c>
      <c r="AE95" s="1205"/>
      <c r="AF95" s="1253" t="str">
        <f>ADDRESS(ROW(AF96),COLUMN(AF96),4)</f>
        <v>AF96</v>
      </c>
      <c r="AG95" s="1229"/>
      <c r="AH95" s="1254" t="s">
        <v>995</v>
      </c>
      <c r="AI95" s="1255" t="s">
        <v>685</v>
      </c>
      <c r="AJ95" s="1229"/>
      <c r="AK95" s="1334" t="s">
        <v>1055</v>
      </c>
      <c r="AL95" s="634"/>
      <c r="AM95" s="4717"/>
      <c r="AN95" s="1323"/>
      <c r="AO95" s="1252" t="s">
        <v>994</v>
      </c>
      <c r="AP95" s="1205"/>
      <c r="AQ95" s="1253" t="str">
        <f>ADDRESS(ROW(AQ96),COLUMN(AQ96),4)</f>
        <v>AQ96</v>
      </c>
      <c r="AR95" s="1229"/>
      <c r="AS95" s="1254" t="s">
        <v>995</v>
      </c>
      <c r="AT95" s="1255" t="s">
        <v>685</v>
      </c>
      <c r="AU95" s="1229"/>
      <c r="AV95" s="1334" t="s">
        <v>1055</v>
      </c>
    </row>
    <row r="96" spans="1:48" ht="19.5" thickBot="1">
      <c r="A96" s="4717"/>
      <c r="B96" s="633"/>
      <c r="C96" s="1235" t="s">
        <v>320</v>
      </c>
      <c r="D96" s="1236">
        <f>D93</f>
        <v>60</v>
      </c>
      <c r="E96" s="1339">
        <f>(G90*D93)/D97</f>
        <v>7.4249999999999998</v>
      </c>
      <c r="F96" s="1342"/>
      <c r="G96" s="634"/>
      <c r="H96" s="1340" t="s">
        <v>320</v>
      </c>
      <c r="I96" s="1341">
        <f>I93</f>
        <v>65</v>
      </c>
      <c r="J96" s="1339">
        <f>(G90*I93)/I97</f>
        <v>7.8</v>
      </c>
      <c r="K96" s="517"/>
      <c r="L96" s="634"/>
      <c r="M96" s="634"/>
      <c r="N96" s="634"/>
      <c r="O96" s="634"/>
      <c r="P96" s="634"/>
      <c r="Q96" s="4717"/>
      <c r="R96" s="633"/>
      <c r="S96" s="634" t="s">
        <v>146</v>
      </c>
      <c r="T96" s="1343">
        <f>T94+T95</f>
        <v>160</v>
      </c>
      <c r="U96" s="1339">
        <f>U94+U95</f>
        <v>19.8</v>
      </c>
      <c r="V96" s="634"/>
      <c r="W96" s="634" t="s">
        <v>146</v>
      </c>
      <c r="X96" s="1343">
        <f>X94+X95</f>
        <v>165</v>
      </c>
      <c r="Y96" s="1339">
        <f>Y94+Y95</f>
        <v>19.8</v>
      </c>
      <c r="Z96" s="517"/>
      <c r="AA96" s="634"/>
      <c r="AB96" s="4717"/>
      <c r="AC96" s="1344" t="str">
        <f>ADDRESS(ROW(AD96),COLUMN(AD96),4)</f>
        <v>AD96</v>
      </c>
      <c r="AD96" s="1258">
        <f>AE91</f>
        <v>19.8</v>
      </c>
      <c r="AE96" s="1259" t="s">
        <v>603</v>
      </c>
      <c r="AF96" s="1345">
        <f>AH89</f>
        <v>100</v>
      </c>
      <c r="AG96" s="1261" t="s">
        <v>997</v>
      </c>
      <c r="AH96" s="1262">
        <f>(AD96*AF96)/AD97</f>
        <v>12.375</v>
      </c>
      <c r="AI96" s="680" t="str">
        <f ca="1">_xlfn.FORMULATEXT(AH96)</f>
        <v>=(AD96*AF96)/AD97</v>
      </c>
      <c r="AJ96" s="1229"/>
      <c r="AK96" s="1334" t="s">
        <v>1055</v>
      </c>
      <c r="AL96" s="634"/>
      <c r="AM96" s="4717"/>
      <c r="AN96" s="1344" t="str">
        <f>ADDRESS(ROW(AO96),COLUMN(AO96),4)</f>
        <v>AO96</v>
      </c>
      <c r="AO96" s="1258">
        <f>AP91</f>
        <v>19.8</v>
      </c>
      <c r="AP96" s="1259" t="s">
        <v>603</v>
      </c>
      <c r="AQ96" s="1345">
        <f>AS89</f>
        <v>100</v>
      </c>
      <c r="AR96" s="1261" t="s">
        <v>997</v>
      </c>
      <c r="AS96" s="1262">
        <f>(AO96*AQ96)/AO97</f>
        <v>12</v>
      </c>
      <c r="AT96" s="680" t="str">
        <f ca="1">_xlfn.FORMULATEXT(AS96)</f>
        <v>=(AO96*AQ96)/AO97</v>
      </c>
      <c r="AU96" s="1229"/>
      <c r="AV96" s="1334" t="s">
        <v>1055</v>
      </c>
    </row>
    <row r="97" spans="1:48">
      <c r="A97" s="4717"/>
      <c r="B97" s="633"/>
      <c r="C97" s="1346" t="s">
        <v>994</v>
      </c>
      <c r="D97" s="1343">
        <f>D95+D96</f>
        <v>160</v>
      </c>
      <c r="E97" s="1339">
        <f>E95+E96</f>
        <v>19.8</v>
      </c>
      <c r="F97" s="634"/>
      <c r="G97" s="634"/>
      <c r="H97" s="1346" t="s">
        <v>994</v>
      </c>
      <c r="I97" s="1343">
        <f>I95+I96</f>
        <v>165</v>
      </c>
      <c r="J97" s="1339">
        <f>J95+J96</f>
        <v>19.8</v>
      </c>
      <c r="K97" s="517"/>
      <c r="L97" s="634"/>
      <c r="M97" s="634"/>
      <c r="N97" s="634"/>
      <c r="O97" s="634"/>
      <c r="P97" s="634"/>
      <c r="Q97" s="4717"/>
      <c r="R97" s="633"/>
      <c r="S97" s="634"/>
      <c r="T97" s="634"/>
      <c r="U97" s="634"/>
      <c r="V97" s="634"/>
      <c r="W97" s="634"/>
      <c r="X97" s="634"/>
      <c r="Y97" s="634"/>
      <c r="Z97" s="517"/>
      <c r="AA97" s="634"/>
      <c r="AB97" s="4717"/>
      <c r="AC97" s="1344" t="str">
        <f>ADDRESS(ROW(AD97),COLUMN(AD97),4)</f>
        <v>AD97</v>
      </c>
      <c r="AD97" s="5906">
        <f>AH91</f>
        <v>160</v>
      </c>
      <c r="AE97" s="5906"/>
      <c r="AF97" s="5906"/>
      <c r="AG97" s="1229"/>
      <c r="AH97" s="1234"/>
      <c r="AI97" s="1267"/>
      <c r="AJ97" s="1229"/>
      <c r="AK97" s="1334" t="s">
        <v>1055</v>
      </c>
      <c r="AL97" s="634"/>
      <c r="AM97" s="4717"/>
      <c r="AN97" s="1344" t="str">
        <f>ADDRESS(ROW(AO97),COLUMN(AO97),4)</f>
        <v>AO97</v>
      </c>
      <c r="AO97" s="5906">
        <f>AS91</f>
        <v>165</v>
      </c>
      <c r="AP97" s="5906"/>
      <c r="AQ97" s="5906"/>
      <c r="AR97" s="1229"/>
      <c r="AS97" s="1234"/>
      <c r="AT97" s="1267"/>
      <c r="AU97" s="1229"/>
      <c r="AV97" s="1334" t="s">
        <v>1055</v>
      </c>
    </row>
    <row r="98" spans="1:48" ht="18.75">
      <c r="A98" s="4717"/>
      <c r="B98" s="633"/>
      <c r="C98" s="634"/>
      <c r="D98" s="634"/>
      <c r="E98" s="634"/>
      <c r="F98" s="634"/>
      <c r="G98" s="634"/>
      <c r="H98" s="634"/>
      <c r="I98" s="634"/>
      <c r="J98" s="634"/>
      <c r="K98" s="517"/>
      <c r="L98" s="634"/>
      <c r="M98" s="634"/>
      <c r="N98" s="634"/>
      <c r="O98" s="634"/>
      <c r="P98" s="634"/>
      <c r="Q98" s="4717"/>
      <c r="R98" s="633"/>
      <c r="S98" s="1347"/>
      <c r="T98" s="634"/>
      <c r="U98" s="634"/>
      <c r="V98" s="1348" t="s">
        <v>1056</v>
      </c>
      <c r="W98" s="1349">
        <f>IF(U94&gt;Y94,U94-Y94,Y94-U94)</f>
        <v>0.375</v>
      </c>
      <c r="X98" s="1350"/>
      <c r="Y98" s="634"/>
      <c r="Z98" s="517"/>
      <c r="AA98" s="634"/>
      <c r="AB98" s="4717"/>
      <c r="AC98" s="1323"/>
      <c r="AD98" s="1229"/>
      <c r="AE98" s="1229"/>
      <c r="AF98" s="1229"/>
      <c r="AG98" s="1269"/>
      <c r="AH98" s="1269"/>
      <c r="AI98" s="816"/>
      <c r="AJ98" s="1229"/>
      <c r="AK98" s="1334" t="s">
        <v>1055</v>
      </c>
      <c r="AL98" s="634"/>
      <c r="AM98" s="4717"/>
      <c r="AN98" s="1323"/>
      <c r="AO98" s="1229"/>
      <c r="AP98" s="1229"/>
      <c r="AQ98" s="1229"/>
      <c r="AR98" s="1269"/>
      <c r="AS98" s="1269"/>
      <c r="AT98" s="816"/>
      <c r="AU98" s="1229"/>
      <c r="AV98" s="1334" t="s">
        <v>1055</v>
      </c>
    </row>
    <row r="99" spans="1:48" ht="15.75" customHeight="1">
      <c r="A99" s="4717"/>
      <c r="B99" s="5915" t="s">
        <v>684</v>
      </c>
      <c r="C99" s="5916"/>
      <c r="D99" s="5916"/>
      <c r="E99" s="5916"/>
      <c r="F99" s="5916"/>
      <c r="G99" s="5916"/>
      <c r="H99" s="5916"/>
      <c r="I99" s="5916"/>
      <c r="J99" s="5916"/>
      <c r="K99" s="5917"/>
      <c r="L99" s="634"/>
      <c r="M99" s="634"/>
      <c r="N99" s="634"/>
      <c r="O99" s="634"/>
      <c r="P99" s="634"/>
      <c r="Q99" s="4717"/>
      <c r="R99" s="1351"/>
      <c r="S99" s="1012"/>
      <c r="T99" s="1012"/>
      <c r="U99" s="1012"/>
      <c r="V99" s="1012"/>
      <c r="W99" s="1352"/>
      <c r="X99" s="1352"/>
      <c r="Y99" s="1012"/>
      <c r="Z99" s="1194"/>
      <c r="AA99" s="634"/>
      <c r="AB99" s="4717"/>
      <c r="AC99" s="656" t="s">
        <v>1052</v>
      </c>
      <c r="AD99" s="1229"/>
      <c r="AE99" s="1229"/>
      <c r="AF99" s="1229"/>
      <c r="AG99" s="1269"/>
      <c r="AH99" s="1269"/>
      <c r="AI99" s="816"/>
      <c r="AJ99" s="1229"/>
      <c r="AK99" s="1334" t="s">
        <v>1055</v>
      </c>
      <c r="AL99" s="634"/>
      <c r="AM99" s="4717"/>
      <c r="AN99" s="656" t="s">
        <v>1052</v>
      </c>
      <c r="AO99" s="1229"/>
      <c r="AP99" s="1229"/>
      <c r="AQ99" s="1229"/>
      <c r="AR99" s="1269"/>
      <c r="AS99" s="1269"/>
      <c r="AT99" s="816"/>
      <c r="AU99" s="1229"/>
      <c r="AV99" s="1334" t="s">
        <v>1055</v>
      </c>
    </row>
    <row r="100" spans="1:48">
      <c r="A100" s="4717"/>
      <c r="B100" s="1353"/>
      <c r="C100" s="1206"/>
      <c r="D100" s="1206"/>
      <c r="E100" s="1206"/>
      <c r="F100" s="1354"/>
      <c r="G100" s="1206"/>
      <c r="H100" s="1206"/>
      <c r="I100" s="1206"/>
      <c r="J100" s="634"/>
      <c r="K100" s="521"/>
      <c r="L100" s="634"/>
      <c r="M100" s="634"/>
      <c r="N100" s="634"/>
      <c r="O100" s="634"/>
      <c r="P100" s="634"/>
      <c r="Q100" s="4717"/>
      <c r="R100" s="633" t="s">
        <v>1048</v>
      </c>
      <c r="S100" s="634"/>
      <c r="T100" s="634"/>
      <c r="U100" s="634"/>
      <c r="V100" s="634"/>
      <c r="W100" s="1350"/>
      <c r="X100" s="1350"/>
      <c r="Y100" s="634"/>
      <c r="Z100" s="517"/>
      <c r="AA100" s="634"/>
      <c r="AB100" s="4717"/>
      <c r="AC100" s="656" t="s">
        <v>1057</v>
      </c>
      <c r="AD100" s="1229"/>
      <c r="AE100" s="1229"/>
      <c r="AF100" s="1229"/>
      <c r="AG100" s="1269"/>
      <c r="AH100" s="1269"/>
      <c r="AI100" s="816"/>
      <c r="AJ100" s="1229"/>
      <c r="AK100" s="1334" t="s">
        <v>1055</v>
      </c>
      <c r="AL100" s="634"/>
      <c r="AM100" s="4717"/>
      <c r="AN100" s="656" t="s">
        <v>1057</v>
      </c>
      <c r="AO100" s="1229"/>
      <c r="AP100" s="1229"/>
      <c r="AQ100" s="1229"/>
      <c r="AR100" s="1269"/>
      <c r="AS100" s="1269"/>
      <c r="AT100" s="816"/>
      <c r="AU100" s="1229"/>
      <c r="AV100" s="1334" t="s">
        <v>1055</v>
      </c>
    </row>
    <row r="101" spans="1:48">
      <c r="A101" s="4717"/>
      <c r="B101" s="1355"/>
      <c r="C101" s="1356"/>
      <c r="D101" s="1356" t="s">
        <v>1009</v>
      </c>
      <c r="E101" s="1357">
        <v>60</v>
      </c>
      <c r="F101" s="517"/>
      <c r="G101" s="1358"/>
      <c r="H101" s="1359"/>
      <c r="I101" s="1359" t="s">
        <v>1009</v>
      </c>
      <c r="J101" s="1360">
        <f>I93</f>
        <v>65</v>
      </c>
      <c r="K101" s="1361"/>
      <c r="L101" s="634"/>
      <c r="M101" s="634"/>
      <c r="N101" s="634"/>
      <c r="O101" s="634"/>
      <c r="P101" s="634"/>
      <c r="Q101" s="4717"/>
      <c r="R101" s="656" t="s">
        <v>1049</v>
      </c>
      <c r="S101" s="1362"/>
      <c r="T101" s="634"/>
      <c r="U101" s="634"/>
      <c r="V101" s="634"/>
      <c r="W101" s="634"/>
      <c r="X101" s="634"/>
      <c r="Y101" s="634"/>
      <c r="Z101" s="517"/>
      <c r="AA101" s="634"/>
      <c r="AB101" s="4717"/>
      <c r="AC101" s="656"/>
      <c r="AD101" s="1229"/>
      <c r="AE101" s="1229"/>
      <c r="AF101" s="1229"/>
      <c r="AG101" s="1269"/>
      <c r="AH101" s="1269"/>
      <c r="AI101" s="816"/>
      <c r="AJ101" s="1320" t="s">
        <v>1058</v>
      </c>
      <c r="AK101" s="1334" t="s">
        <v>1055</v>
      </c>
      <c r="AL101" s="634"/>
      <c r="AM101" s="4717"/>
      <c r="AN101" s="656"/>
      <c r="AO101" s="1229"/>
      <c r="AP101" s="1229"/>
      <c r="AQ101" s="1229"/>
      <c r="AR101" s="1269"/>
      <c r="AS101" s="1269"/>
      <c r="AT101" s="816"/>
      <c r="AU101" s="1320" t="s">
        <v>1058</v>
      </c>
      <c r="AV101" s="1334" t="s">
        <v>1055</v>
      </c>
    </row>
    <row r="102" spans="1:48" ht="16.5" customHeight="1">
      <c r="A102" s="4717"/>
      <c r="B102" s="1363" t="s">
        <v>1059</v>
      </c>
      <c r="C102" s="1206"/>
      <c r="D102" s="634"/>
      <c r="E102" s="1347"/>
      <c r="F102" s="517"/>
      <c r="G102" s="1364" t="s">
        <v>1059</v>
      </c>
      <c r="H102" s="1206"/>
      <c r="I102" s="634"/>
      <c r="J102" s="634"/>
      <c r="K102" s="1365"/>
      <c r="L102" s="634"/>
      <c r="M102" s="634"/>
      <c r="N102" s="634"/>
      <c r="O102" s="634"/>
      <c r="P102" s="634"/>
      <c r="Q102" s="4717"/>
      <c r="R102" s="5935" t="s">
        <v>998</v>
      </c>
      <c r="S102" s="5936"/>
      <c r="T102" s="5936"/>
      <c r="U102" s="5936"/>
      <c r="V102" s="5936"/>
      <c r="W102" s="5936"/>
      <c r="X102" s="5936"/>
      <c r="Y102" s="5936"/>
      <c r="Z102" s="5937"/>
      <c r="AA102" s="634"/>
      <c r="AB102" s="4717"/>
      <c r="AC102" s="656" t="s">
        <v>1048</v>
      </c>
      <c r="AD102" s="1229"/>
      <c r="AE102" s="1229"/>
      <c r="AF102" s="1229"/>
      <c r="AG102" s="1269"/>
      <c r="AH102" s="1269"/>
      <c r="AI102" s="816"/>
      <c r="AJ102" s="1229"/>
      <c r="AK102" s="517"/>
      <c r="AL102" s="634"/>
      <c r="AM102" s="4717"/>
      <c r="AN102" s="656" t="s">
        <v>1048</v>
      </c>
      <c r="AO102" s="1229"/>
      <c r="AP102" s="1229"/>
      <c r="AQ102" s="1229"/>
      <c r="AR102" s="1269"/>
      <c r="AS102" s="1269"/>
      <c r="AT102" s="816"/>
      <c r="AU102" s="1229"/>
      <c r="AV102" s="517"/>
    </row>
    <row r="103" spans="1:48" ht="18.75" customHeight="1">
      <c r="A103" s="4717"/>
      <c r="B103" s="1344" t="str">
        <f>ADDRESS(ROW(B104),COLUMN(B104),4)</f>
        <v>B104</v>
      </c>
      <c r="C103" s="1206"/>
      <c r="D103" s="1253" t="str">
        <f>ADDRESS(ROW(D104),COLUMN(D104),4)</f>
        <v>D104</v>
      </c>
      <c r="E103" s="1347" t="s">
        <v>995</v>
      </c>
      <c r="F103" s="517"/>
      <c r="G103" s="1253" t="str">
        <f>ADDRESS(ROW(G104),COLUMN(G104),4)</f>
        <v>G104</v>
      </c>
      <c r="H103" s="1206"/>
      <c r="I103" s="1253" t="str">
        <f>ADDRESS(ROW(I104),COLUMN(I104),4)</f>
        <v>I104</v>
      </c>
      <c r="J103" s="1347" t="s">
        <v>995</v>
      </c>
      <c r="K103" s="517"/>
      <c r="L103" s="634"/>
      <c r="M103" s="634"/>
      <c r="N103" s="634"/>
      <c r="O103" s="634"/>
      <c r="P103" s="634"/>
      <c r="Q103" s="4717"/>
      <c r="R103" s="5938" t="s">
        <v>999</v>
      </c>
      <c r="S103" s="5939"/>
      <c r="T103" s="5939"/>
      <c r="U103" s="5939"/>
      <c r="V103" s="5939"/>
      <c r="W103" s="5939"/>
      <c r="X103" s="5939"/>
      <c r="Y103" s="5939"/>
      <c r="Z103" s="5940"/>
      <c r="AA103" s="634"/>
      <c r="AB103" s="4717"/>
      <c r="AC103" s="656" t="s">
        <v>1049</v>
      </c>
      <c r="AD103" s="1229"/>
      <c r="AE103" s="1229"/>
      <c r="AF103" s="1229"/>
      <c r="AG103" s="1269"/>
      <c r="AH103" s="1269"/>
      <c r="AI103" s="816"/>
      <c r="AJ103" s="1229"/>
      <c r="AK103" s="517"/>
      <c r="AL103" s="634"/>
      <c r="AM103" s="4717"/>
      <c r="AN103" s="656" t="s">
        <v>1049</v>
      </c>
      <c r="AO103" s="1229"/>
      <c r="AP103" s="1229"/>
      <c r="AQ103" s="1229"/>
      <c r="AR103" s="1269"/>
      <c r="AS103" s="1269"/>
      <c r="AT103" s="816"/>
      <c r="AU103" s="1229"/>
      <c r="AV103" s="517"/>
    </row>
    <row r="104" spans="1:48" ht="16.5" customHeight="1" thickBot="1">
      <c r="A104" s="4717"/>
      <c r="B104" s="1366">
        <f>G90</f>
        <v>19.8</v>
      </c>
      <c r="C104" s="1367" t="s">
        <v>603</v>
      </c>
      <c r="D104" s="1208">
        <f>D95</f>
        <v>100</v>
      </c>
      <c r="E104" s="1270">
        <f>(B104*D104)/B105</f>
        <v>12.375</v>
      </c>
      <c r="F104" s="517"/>
      <c r="G104" s="1368">
        <f>G90</f>
        <v>19.8</v>
      </c>
      <c r="H104" s="1367" t="s">
        <v>603</v>
      </c>
      <c r="I104" s="1208">
        <f>I95</f>
        <v>100</v>
      </c>
      <c r="J104" s="1270">
        <f>(G104*I104)/G105</f>
        <v>12</v>
      </c>
      <c r="K104" s="517"/>
      <c r="L104" s="634"/>
      <c r="M104" s="634"/>
      <c r="N104" s="634"/>
      <c r="O104" s="634"/>
      <c r="P104" s="634"/>
      <c r="Q104" s="4717"/>
      <c r="R104" s="5815" t="s">
        <v>990</v>
      </c>
      <c r="S104" s="5803" t="s">
        <v>1000</v>
      </c>
      <c r="T104" s="5803"/>
      <c r="U104" s="5803"/>
      <c r="V104" s="5803"/>
      <c r="W104" s="5803"/>
      <c r="X104" s="5803"/>
      <c r="Y104" s="5803"/>
      <c r="Z104" s="517"/>
      <c r="AA104" s="634"/>
      <c r="AB104" s="4717"/>
      <c r="AC104" s="5919" t="s">
        <v>998</v>
      </c>
      <c r="AD104" s="5920"/>
      <c r="AE104" s="5920"/>
      <c r="AF104" s="5920"/>
      <c r="AG104" s="5920"/>
      <c r="AH104" s="5920"/>
      <c r="AI104" s="5920"/>
      <c r="AJ104" s="5920"/>
      <c r="AK104" s="5921"/>
      <c r="AL104" s="634"/>
      <c r="AM104" s="4717"/>
      <c r="AN104" s="5919" t="s">
        <v>998</v>
      </c>
      <c r="AO104" s="5920"/>
      <c r="AP104" s="5920"/>
      <c r="AQ104" s="5920"/>
      <c r="AR104" s="5920"/>
      <c r="AS104" s="5920"/>
      <c r="AT104" s="5920"/>
      <c r="AU104" s="5920"/>
      <c r="AV104" s="5921"/>
    </row>
    <row r="105" spans="1:48" ht="18.75">
      <c r="A105" s="4717"/>
      <c r="B105" s="5926">
        <f>D97</f>
        <v>160</v>
      </c>
      <c r="C105" s="5927"/>
      <c r="D105" s="1369" t="s">
        <v>997</v>
      </c>
      <c r="E105" s="680" t="str">
        <f ca="1">_xlfn.FORMULATEXT(E104)</f>
        <v>=(B104*D104)/B105</v>
      </c>
      <c r="F105" s="517"/>
      <c r="G105" s="5928">
        <f>I97</f>
        <v>165</v>
      </c>
      <c r="H105" s="5928"/>
      <c r="I105" s="1369" t="s">
        <v>997</v>
      </c>
      <c r="J105" s="680" t="str">
        <f ca="1">_xlfn.FORMULATEXT(J104)</f>
        <v>=(G104*I104)/G105</v>
      </c>
      <c r="K105" s="517"/>
      <c r="L105" s="634"/>
      <c r="M105" s="634"/>
      <c r="N105" s="634"/>
      <c r="O105" s="634"/>
      <c r="P105" s="634"/>
      <c r="Q105" s="4717"/>
      <c r="R105" s="5815"/>
      <c r="S105" s="5805" t="s">
        <v>1001</v>
      </c>
      <c r="T105" s="5805"/>
      <c r="U105" s="5805"/>
      <c r="V105" s="5805"/>
      <c r="W105" s="5805"/>
      <c r="X105" s="5805"/>
      <c r="Y105" s="5805"/>
      <c r="Z105" s="517"/>
      <c r="AA105" s="634"/>
      <c r="AB105" s="4717"/>
      <c r="AC105" s="1280" t="s">
        <v>999</v>
      </c>
      <c r="AD105" s="1229"/>
      <c r="AE105" s="1229"/>
      <c r="AF105" s="1229"/>
      <c r="AG105" s="1229"/>
      <c r="AH105" s="1229"/>
      <c r="AI105" s="1229"/>
      <c r="AJ105" s="1229"/>
      <c r="AK105" s="517"/>
      <c r="AL105" s="634"/>
      <c r="AM105" s="4717"/>
      <c r="AN105" s="1280" t="s">
        <v>999</v>
      </c>
      <c r="AO105" s="1229"/>
      <c r="AP105" s="1229"/>
      <c r="AQ105" s="1229"/>
      <c r="AR105" s="1229"/>
      <c r="AS105" s="1229"/>
      <c r="AT105" s="1229"/>
      <c r="AU105" s="1229"/>
      <c r="AV105" s="517"/>
    </row>
    <row r="106" spans="1:48" ht="16.5" thickBot="1">
      <c r="A106" s="4717"/>
      <c r="B106" s="633"/>
      <c r="C106" s="1253" t="str">
        <f>ADDRESS(ROW(B105),COLUMN(B105),4)</f>
        <v>B105</v>
      </c>
      <c r="D106" s="634"/>
      <c r="E106" s="1350"/>
      <c r="F106" s="517"/>
      <c r="G106" s="634"/>
      <c r="H106" s="1253" t="str">
        <f>ADDRESS(ROW(G105),COLUMN(G105),4)</f>
        <v>G105</v>
      </c>
      <c r="I106" s="634"/>
      <c r="J106" s="634"/>
      <c r="K106" s="1361"/>
      <c r="L106" s="634"/>
      <c r="M106" s="634"/>
      <c r="N106" s="634"/>
      <c r="O106" s="634"/>
      <c r="P106" s="634"/>
      <c r="Q106" s="4717"/>
      <c r="R106" s="1370" t="s">
        <v>1002</v>
      </c>
      <c r="S106" s="580"/>
      <c r="T106" s="580"/>
      <c r="U106" s="580"/>
      <c r="V106" s="580"/>
      <c r="W106" s="580"/>
      <c r="X106" s="580"/>
      <c r="Y106" s="580"/>
      <c r="Z106" s="581"/>
      <c r="AA106" s="634"/>
      <c r="AB106" s="4717"/>
      <c r="AC106" s="5815" t="s">
        <v>990</v>
      </c>
      <c r="AD106" s="5803" t="s">
        <v>1000</v>
      </c>
      <c r="AE106" s="5803"/>
      <c r="AF106" s="5803"/>
      <c r="AG106" s="5803"/>
      <c r="AH106" s="5803"/>
      <c r="AI106" s="5803"/>
      <c r="AJ106" s="5803"/>
      <c r="AK106" s="517"/>
      <c r="AL106" s="634"/>
      <c r="AM106" s="4717"/>
      <c r="AN106" s="5815" t="s">
        <v>990</v>
      </c>
      <c r="AO106" s="5803" t="s">
        <v>1000</v>
      </c>
      <c r="AP106" s="5803"/>
      <c r="AQ106" s="5803"/>
      <c r="AR106" s="5803"/>
      <c r="AS106" s="5803"/>
      <c r="AT106" s="5803"/>
      <c r="AU106" s="5803"/>
      <c r="AV106" s="517"/>
    </row>
    <row r="107" spans="1:48">
      <c r="A107" s="4717"/>
      <c r="B107" s="1351"/>
      <c r="C107" s="1012"/>
      <c r="D107" s="1012"/>
      <c r="E107" s="1012"/>
      <c r="F107" s="1371"/>
      <c r="G107" s="1352"/>
      <c r="H107" s="1012"/>
      <c r="I107" s="1012"/>
      <c r="J107" s="1012"/>
      <c r="K107" s="1194"/>
      <c r="L107" s="634"/>
      <c r="M107" s="634"/>
      <c r="N107" s="634"/>
      <c r="O107" s="634"/>
      <c r="P107" s="634"/>
      <c r="Q107" s="634"/>
      <c r="R107" s="634"/>
      <c r="S107" s="634"/>
      <c r="T107" s="634"/>
      <c r="U107" s="634"/>
      <c r="V107" s="634"/>
      <c r="W107" s="634"/>
      <c r="X107" s="634"/>
      <c r="Y107" s="634"/>
      <c r="Z107" s="634"/>
      <c r="AA107" s="634"/>
      <c r="AB107" s="4717"/>
      <c r="AC107" s="5815"/>
      <c r="AD107" s="5805" t="s">
        <v>1001</v>
      </c>
      <c r="AE107" s="5805"/>
      <c r="AF107" s="5805"/>
      <c r="AG107" s="5805"/>
      <c r="AH107" s="5805"/>
      <c r="AI107" s="5805"/>
      <c r="AJ107" s="5805"/>
      <c r="AK107" s="517"/>
      <c r="AL107" s="634"/>
      <c r="AM107" s="4717"/>
      <c r="AN107" s="5815"/>
      <c r="AO107" s="5805" t="s">
        <v>1001</v>
      </c>
      <c r="AP107" s="5805"/>
      <c r="AQ107" s="5805"/>
      <c r="AR107" s="5805"/>
      <c r="AS107" s="5805"/>
      <c r="AT107" s="5805"/>
      <c r="AU107" s="5805"/>
      <c r="AV107" s="517"/>
    </row>
    <row r="108" spans="1:48" ht="18.75" customHeight="1" thickBot="1">
      <c r="A108" s="4717"/>
      <c r="B108" s="633"/>
      <c r="C108" s="634"/>
      <c r="D108" s="634"/>
      <c r="E108" s="634"/>
      <c r="F108" s="634"/>
      <c r="G108" s="1350"/>
      <c r="H108" s="1350"/>
      <c r="I108" s="634"/>
      <c r="J108" s="634"/>
      <c r="K108" s="517"/>
      <c r="L108" s="634"/>
      <c r="M108" s="634"/>
      <c r="N108" s="634"/>
      <c r="O108" s="634"/>
      <c r="P108" s="634"/>
      <c r="Q108" s="634"/>
      <c r="R108" s="634"/>
      <c r="S108" s="634"/>
      <c r="T108" s="634"/>
      <c r="U108" s="634"/>
      <c r="V108" s="634"/>
      <c r="W108" s="634"/>
      <c r="X108" s="634"/>
      <c r="Y108" s="634"/>
      <c r="Z108" s="634"/>
      <c r="AA108" s="634"/>
      <c r="AB108" s="4717"/>
      <c r="AC108" s="1372" t="s">
        <v>1002</v>
      </c>
      <c r="AD108" s="1373"/>
      <c r="AE108" s="1373"/>
      <c r="AF108" s="1373"/>
      <c r="AG108" s="1373"/>
      <c r="AH108" s="1373"/>
      <c r="AI108" s="1373"/>
      <c r="AJ108" s="1373"/>
      <c r="AK108" s="1374"/>
      <c r="AL108" s="634"/>
      <c r="AM108" s="4717"/>
      <c r="AN108" s="1372" t="s">
        <v>1002</v>
      </c>
      <c r="AO108" s="1373"/>
      <c r="AP108" s="1373"/>
      <c r="AQ108" s="1373"/>
      <c r="AR108" s="1373"/>
      <c r="AS108" s="1373"/>
      <c r="AT108" s="1373"/>
      <c r="AU108" s="1373"/>
      <c r="AV108" s="1374"/>
    </row>
    <row r="109" spans="1:48" ht="21">
      <c r="A109" s="4717"/>
      <c r="B109" s="633"/>
      <c r="C109" s="1347"/>
      <c r="D109" s="634"/>
      <c r="E109" s="634"/>
      <c r="F109" s="1348" t="s">
        <v>1056</v>
      </c>
      <c r="G109" s="1349">
        <f>IF(E95&gt;J95,E95-J95,J95-E95)</f>
        <v>0.375</v>
      </c>
      <c r="H109" s="1350"/>
      <c r="I109" s="634"/>
      <c r="J109" s="634"/>
      <c r="K109" s="517"/>
      <c r="L109" s="634"/>
      <c r="M109" s="634"/>
      <c r="N109" s="634"/>
      <c r="O109" s="634"/>
      <c r="P109" s="634"/>
      <c r="Q109" s="1192" t="s">
        <v>70</v>
      </c>
      <c r="R109" s="5892" t="s">
        <v>1007</v>
      </c>
      <c r="S109" s="5893"/>
      <c r="T109" s="5893"/>
      <c r="U109" s="5893"/>
      <c r="V109" s="5893"/>
      <c r="W109" s="5893"/>
      <c r="X109" s="5893"/>
      <c r="Y109" s="5893"/>
      <c r="Z109" s="5894"/>
      <c r="AA109" s="634"/>
      <c r="AB109" s="634"/>
      <c r="AC109" s="634"/>
      <c r="AD109" s="634"/>
      <c r="AE109" s="634"/>
      <c r="AF109" s="634"/>
      <c r="AG109" s="634"/>
      <c r="AH109" s="634"/>
      <c r="AI109" s="634"/>
      <c r="AJ109" s="634"/>
      <c r="AK109" s="634"/>
      <c r="AL109" s="634"/>
      <c r="AM109" s="634"/>
      <c r="AN109" s="634"/>
      <c r="AO109" s="634"/>
      <c r="AP109" s="634"/>
      <c r="AQ109" s="634"/>
      <c r="AR109" s="634"/>
      <c r="AS109" s="634"/>
      <c r="AT109" s="634"/>
      <c r="AU109" s="634"/>
      <c r="AV109" s="634"/>
    </row>
    <row r="110" spans="1:48" ht="18.75" customHeight="1">
      <c r="A110" s="4717"/>
      <c r="B110" s="633"/>
      <c r="C110" s="634"/>
      <c r="D110" s="634"/>
      <c r="E110" s="634"/>
      <c r="F110" s="634"/>
      <c r="G110" s="1350"/>
      <c r="H110" s="1350"/>
      <c r="I110" s="634"/>
      <c r="J110" s="634"/>
      <c r="K110" s="517"/>
      <c r="L110" s="634"/>
      <c r="M110" s="634"/>
      <c r="N110" s="634"/>
      <c r="O110" s="634"/>
      <c r="P110" s="634"/>
      <c r="Q110" s="4717" t="str">
        <f>R109</f>
        <v>Formule du calcul du poids de  FARINE</v>
      </c>
      <c r="R110" s="1179" t="str">
        <f>ADDRESS(ROW(),COLUMN(),4)</f>
        <v>R110</v>
      </c>
      <c r="S110" s="1193" t="s">
        <v>691</v>
      </c>
      <c r="T110" s="1224"/>
      <c r="U110" s="1224"/>
      <c r="V110" s="1224"/>
      <c r="W110" s="1224"/>
      <c r="X110" s="1225"/>
      <c r="Y110" s="1225" t="str">
        <f ca="1">MID(CELL("filename",R110),SEARCH("[",CELL("filename",R110))+1,SEARCH("]",CELL("filename",R110))-SEARCH("[",CELL("filename",R110))-1)</f>
        <v>ff-22-formats-formules-pourcentages.xlsx</v>
      </c>
      <c r="Z110" s="1226">
        <v>2</v>
      </c>
      <c r="AA110" s="634"/>
      <c r="AB110" s="634"/>
      <c r="AC110" s="634"/>
      <c r="AD110" s="634"/>
      <c r="AE110" s="634"/>
      <c r="AF110" s="634"/>
      <c r="AG110" s="634"/>
      <c r="AH110" s="634"/>
      <c r="AI110" s="634"/>
      <c r="AJ110" s="634"/>
      <c r="AK110" s="634"/>
      <c r="AL110" s="634"/>
      <c r="AM110" s="634"/>
      <c r="AN110" s="634"/>
      <c r="AO110" s="634"/>
      <c r="AP110" s="634"/>
      <c r="AQ110" s="634"/>
      <c r="AR110" s="634"/>
      <c r="AS110" s="634"/>
      <c r="AT110" s="634"/>
      <c r="AU110" s="634"/>
      <c r="AV110" s="634"/>
    </row>
    <row r="111" spans="1:48" ht="18.75">
      <c r="A111" s="4717"/>
      <c r="B111" s="1375" t="s">
        <v>1048</v>
      </c>
      <c r="C111" s="1315"/>
      <c r="D111" s="1315"/>
      <c r="E111" s="1315"/>
      <c r="F111" s="1315"/>
      <c r="G111" s="1376"/>
      <c r="H111" s="1376"/>
      <c r="I111" s="1315"/>
      <c r="J111" s="1315"/>
      <c r="K111" s="1377"/>
      <c r="L111" s="634"/>
      <c r="M111" s="634"/>
      <c r="N111" s="634"/>
      <c r="O111" s="634"/>
      <c r="P111" s="634"/>
      <c r="Q111" s="4717"/>
      <c r="R111" s="1318"/>
      <c r="S111" s="1200"/>
      <c r="T111" s="1201"/>
      <c r="U111" s="1201"/>
      <c r="V111" s="1201"/>
      <c r="W111" s="1203"/>
      <c r="X111" s="1204"/>
      <c r="Y111" s="1201"/>
      <c r="Z111" s="517"/>
      <c r="AA111" s="634"/>
      <c r="AB111" s="634"/>
      <c r="AC111" s="634"/>
      <c r="AD111" s="634"/>
      <c r="AE111" s="634"/>
      <c r="AF111" s="634"/>
      <c r="AG111" s="634"/>
      <c r="AH111" s="634"/>
      <c r="AI111" s="634"/>
      <c r="AJ111" s="634"/>
      <c r="AK111" s="634"/>
      <c r="AL111" s="634"/>
      <c r="AM111" s="634"/>
      <c r="AN111" s="634"/>
      <c r="AO111" s="634"/>
      <c r="AP111" s="634"/>
      <c r="AQ111" s="634"/>
      <c r="AR111" s="634"/>
      <c r="AS111" s="634"/>
      <c r="AT111" s="634"/>
      <c r="AU111" s="634"/>
      <c r="AV111" s="634"/>
    </row>
    <row r="112" spans="1:48" ht="18.75" customHeight="1">
      <c r="A112" s="4717"/>
      <c r="B112" s="656" t="s">
        <v>1049</v>
      </c>
      <c r="C112" s="1362"/>
      <c r="D112" s="634"/>
      <c r="E112" s="634"/>
      <c r="F112" s="634"/>
      <c r="G112" s="634"/>
      <c r="H112" s="634"/>
      <c r="I112" s="634"/>
      <c r="J112" s="634"/>
      <c r="K112" s="517"/>
      <c r="L112" s="634"/>
      <c r="M112" s="634"/>
      <c r="N112" s="634"/>
      <c r="O112" s="634"/>
      <c r="P112" s="634"/>
      <c r="Q112" s="4717"/>
      <c r="R112" s="1323"/>
      <c r="S112" s="1229"/>
      <c r="T112" s="1324" t="s">
        <v>1053</v>
      </c>
      <c r="U112" s="1229"/>
      <c r="V112" s="1230" t="s">
        <v>1010</v>
      </c>
      <c r="W112" s="1231">
        <v>100</v>
      </c>
      <c r="X112" s="1232">
        <f>(T114*W112)/W114</f>
        <v>12.611464968152866</v>
      </c>
      <c r="Y112" s="1229"/>
      <c r="Z112" s="517"/>
      <c r="AA112" s="634"/>
      <c r="AB112" s="634"/>
      <c r="AC112" s="634"/>
      <c r="AD112" s="634"/>
      <c r="AE112" s="634"/>
      <c r="AF112" s="634"/>
      <c r="AG112" s="634"/>
      <c r="AH112" s="634"/>
      <c r="AI112" s="634"/>
      <c r="AJ112" s="634"/>
      <c r="AK112" s="634"/>
      <c r="AL112" s="634"/>
      <c r="AM112" s="634"/>
      <c r="AN112" s="634"/>
      <c r="AO112" s="634"/>
      <c r="AP112" s="634"/>
      <c r="AQ112" s="634"/>
      <c r="AR112" s="634"/>
      <c r="AS112" s="634"/>
      <c r="AT112" s="634"/>
      <c r="AU112" s="634"/>
      <c r="AV112" s="634"/>
    </row>
    <row r="113" spans="1:48" ht="19.5" customHeight="1" thickBot="1">
      <c r="A113" s="4717"/>
      <c r="B113" s="5902" t="s">
        <v>998</v>
      </c>
      <c r="C113" s="5903"/>
      <c r="D113" s="5903"/>
      <c r="E113" s="5903"/>
      <c r="F113" s="5903"/>
      <c r="G113" s="5903"/>
      <c r="H113" s="5903"/>
      <c r="I113" s="5903"/>
      <c r="J113" s="5903"/>
      <c r="K113" s="5904"/>
      <c r="L113" s="634"/>
      <c r="M113" s="634"/>
      <c r="N113" s="634"/>
      <c r="O113" s="634"/>
      <c r="P113" s="634"/>
      <c r="Q113" s="4717"/>
      <c r="R113" s="1323"/>
      <c r="S113" s="1327" t="s">
        <v>1009</v>
      </c>
      <c r="T113" s="1202">
        <v>57</v>
      </c>
      <c r="U113" s="1234"/>
      <c r="V113" s="1235" t="s">
        <v>320</v>
      </c>
      <c r="W113" s="1236">
        <f>T113</f>
        <v>57</v>
      </c>
      <c r="X113" s="1242">
        <f>(T114*T113)/W114</f>
        <v>7.1885350318471346</v>
      </c>
      <c r="Y113" s="1229"/>
      <c r="Z113" s="517"/>
      <c r="AA113" s="634"/>
      <c r="AB113" s="634"/>
      <c r="AC113" s="634"/>
      <c r="AD113" s="634"/>
      <c r="AE113" s="634"/>
      <c r="AF113" s="634"/>
      <c r="AG113" s="634"/>
      <c r="AH113" s="634"/>
      <c r="AI113" s="634"/>
      <c r="AJ113" s="634"/>
      <c r="AK113" s="634"/>
      <c r="AL113" s="634"/>
      <c r="AM113" s="634"/>
      <c r="AN113" s="634"/>
      <c r="AO113" s="634"/>
      <c r="AP113" s="634"/>
      <c r="AQ113" s="634"/>
      <c r="AR113" s="634"/>
      <c r="AS113" s="634"/>
      <c r="AT113" s="634"/>
      <c r="AU113" s="634"/>
      <c r="AV113" s="634"/>
    </row>
    <row r="114" spans="1:48" ht="18.75">
      <c r="A114" s="4717"/>
      <c r="B114" s="5905" t="s">
        <v>999</v>
      </c>
      <c r="C114" s="5857"/>
      <c r="D114" s="5857"/>
      <c r="E114" s="5857"/>
      <c r="F114" s="5857"/>
      <c r="G114" s="5857"/>
      <c r="H114" s="5857"/>
      <c r="I114" s="5857"/>
      <c r="J114" s="5857"/>
      <c r="K114" s="517"/>
      <c r="L114" s="634"/>
      <c r="M114" s="634"/>
      <c r="N114" s="634"/>
      <c r="O114" s="634"/>
      <c r="P114" s="634"/>
      <c r="Q114" s="4717"/>
      <c r="R114" s="1323"/>
      <c r="S114" s="1331" t="s">
        <v>994</v>
      </c>
      <c r="T114" s="1240">
        <v>19.8</v>
      </c>
      <c r="U114" s="1229"/>
      <c r="V114" s="1229" t="s">
        <v>146</v>
      </c>
      <c r="W114" s="1241">
        <f>W112+W113</f>
        <v>157</v>
      </c>
      <c r="X114" s="1242">
        <f>X112+X113</f>
        <v>19.8</v>
      </c>
      <c r="Y114" s="1229"/>
      <c r="Z114" s="517"/>
      <c r="AA114" s="634"/>
      <c r="AB114" s="634"/>
      <c r="AC114" s="634"/>
      <c r="AD114" s="634"/>
      <c r="AE114" s="634"/>
      <c r="AF114" s="634"/>
      <c r="AG114" s="634"/>
      <c r="AH114" s="634"/>
      <c r="AI114" s="634"/>
      <c r="AJ114" s="634"/>
      <c r="AK114" s="634"/>
      <c r="AL114" s="634"/>
      <c r="AM114" s="634"/>
      <c r="AN114" s="634"/>
      <c r="AO114" s="634"/>
      <c r="AP114" s="634"/>
      <c r="AQ114" s="634"/>
      <c r="AR114" s="634"/>
      <c r="AS114" s="634"/>
      <c r="AT114" s="634"/>
      <c r="AU114" s="634"/>
      <c r="AV114" s="634"/>
    </row>
    <row r="115" spans="1:48">
      <c r="A115" s="4717"/>
      <c r="B115" s="5815" t="s">
        <v>990</v>
      </c>
      <c r="C115" s="5803" t="s">
        <v>1000</v>
      </c>
      <c r="D115" s="5803"/>
      <c r="E115" s="5803"/>
      <c r="F115" s="5803"/>
      <c r="G115" s="5803"/>
      <c r="H115" s="5803"/>
      <c r="I115" s="5803"/>
      <c r="J115" s="634"/>
      <c r="K115" s="517"/>
      <c r="L115" s="634"/>
      <c r="M115" s="634"/>
      <c r="N115" s="634"/>
      <c r="O115" s="634"/>
      <c r="P115" s="634"/>
      <c r="Q115" s="4717"/>
      <c r="R115" s="1333"/>
      <c r="S115" s="1224"/>
      <c r="T115" s="1224"/>
      <c r="U115" s="1224"/>
      <c r="V115" s="1224"/>
      <c r="W115" s="1224"/>
      <c r="X115" s="1224"/>
      <c r="Y115" s="1224"/>
      <c r="Z115" s="1194"/>
      <c r="AA115" s="634"/>
      <c r="AB115" s="634"/>
      <c r="AC115" s="634"/>
      <c r="AD115" s="634"/>
      <c r="AE115" s="634"/>
      <c r="AF115" s="634"/>
      <c r="AG115" s="634"/>
      <c r="AH115" s="634"/>
      <c r="AI115" s="634"/>
      <c r="AJ115" s="634"/>
      <c r="AK115" s="634"/>
      <c r="AL115" s="634"/>
      <c r="AM115" s="634"/>
      <c r="AN115" s="634"/>
      <c r="AO115" s="634"/>
      <c r="AP115" s="634"/>
      <c r="AQ115" s="634"/>
      <c r="AR115" s="634"/>
      <c r="AS115" s="634"/>
      <c r="AT115" s="634"/>
      <c r="AU115" s="634"/>
      <c r="AV115" s="634"/>
    </row>
    <row r="116" spans="1:48" ht="15.75" customHeight="1">
      <c r="A116" s="4717"/>
      <c r="B116" s="5815"/>
      <c r="C116" s="5805" t="s">
        <v>1001</v>
      </c>
      <c r="D116" s="5805"/>
      <c r="E116" s="5805"/>
      <c r="F116" s="5805"/>
      <c r="G116" s="5805"/>
      <c r="H116" s="5805"/>
      <c r="I116" s="5805"/>
      <c r="J116" s="634"/>
      <c r="K116" s="517"/>
      <c r="L116" s="634"/>
      <c r="M116" s="634"/>
      <c r="N116" s="634"/>
      <c r="O116" s="634"/>
      <c r="P116" s="634"/>
      <c r="Q116" s="4717"/>
      <c r="R116" s="1323"/>
      <c r="S116" s="1190" t="s">
        <v>993</v>
      </c>
      <c r="T116" s="1229"/>
      <c r="U116" s="1229"/>
      <c r="V116" s="1229"/>
      <c r="W116" s="1229"/>
      <c r="X116" s="816"/>
      <c r="Y116" s="1229"/>
      <c r="Z116" s="1334" t="s">
        <v>1055</v>
      </c>
      <c r="AA116" s="634"/>
      <c r="AB116" s="634"/>
      <c r="AC116" s="634"/>
      <c r="AD116" s="634"/>
      <c r="AE116" s="634"/>
      <c r="AF116" s="634"/>
      <c r="AG116" s="634"/>
      <c r="AH116" s="634"/>
      <c r="AI116" s="634"/>
      <c r="AJ116" s="634"/>
      <c r="AK116" s="634"/>
      <c r="AL116" s="634"/>
      <c r="AM116" s="634"/>
      <c r="AN116" s="634"/>
      <c r="AO116" s="634"/>
      <c r="AP116" s="634"/>
      <c r="AQ116" s="634"/>
      <c r="AR116" s="634"/>
      <c r="AS116" s="634"/>
      <c r="AT116" s="634"/>
      <c r="AU116" s="634"/>
      <c r="AV116" s="634"/>
    </row>
    <row r="117" spans="1:48" ht="16.5" thickBot="1">
      <c r="A117" s="4717"/>
      <c r="B117" s="1370" t="s">
        <v>1002</v>
      </c>
      <c r="C117" s="580"/>
      <c r="D117" s="580"/>
      <c r="E117" s="580"/>
      <c r="F117" s="580"/>
      <c r="G117" s="580"/>
      <c r="H117" s="580"/>
      <c r="I117" s="580"/>
      <c r="J117" s="580"/>
      <c r="K117" s="581"/>
      <c r="L117" s="634"/>
      <c r="M117" s="634"/>
      <c r="N117" s="634"/>
      <c r="O117" s="634"/>
      <c r="P117" s="634"/>
      <c r="Q117" s="4717"/>
      <c r="R117" s="1323"/>
      <c r="S117" s="1229"/>
      <c r="T117" s="1229"/>
      <c r="U117" s="1229"/>
      <c r="V117" s="1229"/>
      <c r="W117" s="1229"/>
      <c r="X117" s="816"/>
      <c r="Y117" s="1229"/>
      <c r="Z117" s="1334" t="s">
        <v>1055</v>
      </c>
      <c r="AA117" s="634"/>
      <c r="AB117" s="634"/>
      <c r="AC117" s="634"/>
      <c r="AD117" s="634"/>
      <c r="AE117" s="634"/>
      <c r="AF117" s="634"/>
      <c r="AG117" s="634"/>
      <c r="AH117" s="634"/>
      <c r="AI117" s="634"/>
      <c r="AJ117" s="634"/>
      <c r="AK117" s="634"/>
      <c r="AL117" s="634"/>
      <c r="AM117" s="634"/>
      <c r="AN117" s="634"/>
      <c r="AO117" s="634"/>
      <c r="AP117" s="634"/>
      <c r="AQ117" s="634"/>
      <c r="AR117" s="634"/>
      <c r="AS117" s="634"/>
      <c r="AT117" s="634"/>
      <c r="AU117" s="634"/>
      <c r="AV117" s="634"/>
    </row>
    <row r="118" spans="1:48" ht="15.75" customHeight="1">
      <c r="A118" s="634"/>
      <c r="B118" s="634"/>
      <c r="C118" s="634"/>
      <c r="D118" s="634"/>
      <c r="E118" s="634"/>
      <c r="F118" s="634"/>
      <c r="G118" s="634"/>
      <c r="H118" s="634"/>
      <c r="I118" s="634"/>
      <c r="J118" s="634"/>
      <c r="K118" s="634"/>
      <c r="L118" s="634"/>
      <c r="M118" s="634"/>
      <c r="N118" s="634"/>
      <c r="O118" s="634"/>
      <c r="P118" s="634"/>
      <c r="Q118" s="4717"/>
      <c r="R118" s="1323"/>
      <c r="S118" s="1252" t="s">
        <v>994</v>
      </c>
      <c r="T118" s="1205"/>
      <c r="U118" s="1253" t="str">
        <f>ADDRESS(ROW(U119),COLUMN(U119),4)</f>
        <v>U119</v>
      </c>
      <c r="V118" s="1229"/>
      <c r="W118" s="1254" t="s">
        <v>995</v>
      </c>
      <c r="X118" s="1255" t="s">
        <v>685</v>
      </c>
      <c r="Y118" s="1229"/>
      <c r="Z118" s="1334" t="s">
        <v>1055</v>
      </c>
      <c r="AA118" s="634"/>
      <c r="AB118" s="634"/>
      <c r="AC118" s="634"/>
      <c r="AD118" s="634"/>
      <c r="AE118" s="634"/>
      <c r="AF118" s="634"/>
      <c r="AG118" s="634"/>
      <c r="AH118" s="634"/>
      <c r="AI118" s="634"/>
      <c r="AJ118" s="634"/>
      <c r="AK118" s="634"/>
      <c r="AL118" s="634"/>
      <c r="AM118" s="634"/>
      <c r="AN118" s="634"/>
      <c r="AO118" s="634"/>
      <c r="AP118" s="634"/>
      <c r="AQ118" s="634"/>
      <c r="AR118" s="634"/>
      <c r="AS118" s="634"/>
      <c r="AT118" s="634"/>
      <c r="AU118" s="634"/>
      <c r="AV118" s="634"/>
    </row>
    <row r="119" spans="1:48" ht="19.5" thickBot="1">
      <c r="A119" s="634"/>
      <c r="B119" s="634"/>
      <c r="C119" s="634"/>
      <c r="D119" s="634"/>
      <c r="E119" s="634"/>
      <c r="F119" s="634"/>
      <c r="G119" s="634"/>
      <c r="H119" s="634"/>
      <c r="I119" s="634"/>
      <c r="J119" s="634"/>
      <c r="K119" s="634"/>
      <c r="L119" s="634"/>
      <c r="M119" s="634"/>
      <c r="N119" s="634"/>
      <c r="O119" s="634"/>
      <c r="P119" s="634"/>
      <c r="Q119" s="4717"/>
      <c r="R119" s="1344" t="str">
        <f>ADDRESS(ROW(S119),COLUMN(S119),4)</f>
        <v>S119</v>
      </c>
      <c r="S119" s="1258">
        <f>T114</f>
        <v>19.8</v>
      </c>
      <c r="T119" s="1259" t="s">
        <v>603</v>
      </c>
      <c r="U119" s="1345">
        <f>W112</f>
        <v>100</v>
      </c>
      <c r="V119" s="1261" t="s">
        <v>997</v>
      </c>
      <c r="W119" s="1262">
        <f>(S119*U119)/S120</f>
        <v>12.611464968152866</v>
      </c>
      <c r="X119" s="680" t="str">
        <f ca="1">_xlfn.FORMULATEXT(W119)</f>
        <v>=(S119*U119)/S120</v>
      </c>
      <c r="Y119" s="1229"/>
      <c r="Z119" s="1334" t="s">
        <v>1055</v>
      </c>
      <c r="AA119" s="634"/>
      <c r="AB119" s="634"/>
      <c r="AC119" s="634"/>
      <c r="AD119" s="634"/>
      <c r="AE119" s="634"/>
      <c r="AF119" s="634"/>
      <c r="AG119" s="634"/>
      <c r="AH119" s="634"/>
      <c r="AI119" s="634"/>
      <c r="AJ119" s="634"/>
      <c r="AK119" s="634"/>
      <c r="AL119" s="634"/>
      <c r="AM119" s="634"/>
      <c r="AN119" s="634"/>
      <c r="AO119" s="634"/>
      <c r="AP119" s="634"/>
      <c r="AQ119" s="634"/>
      <c r="AR119" s="634"/>
      <c r="AS119" s="634"/>
      <c r="AT119" s="634"/>
      <c r="AU119" s="634"/>
      <c r="AV119" s="634"/>
    </row>
    <row r="120" spans="1:48" ht="15.75" customHeight="1">
      <c r="A120" s="634"/>
      <c r="B120" s="634"/>
      <c r="C120" s="634"/>
      <c r="D120" s="634"/>
      <c r="E120" s="634"/>
      <c r="F120" s="634"/>
      <c r="G120" s="634"/>
      <c r="H120" s="634"/>
      <c r="I120" s="634"/>
      <c r="J120" s="634"/>
      <c r="K120" s="634"/>
      <c r="L120" s="634"/>
      <c r="M120" s="634"/>
      <c r="N120" s="634"/>
      <c r="O120" s="634"/>
      <c r="P120" s="634"/>
      <c r="Q120" s="4717"/>
      <c r="R120" s="1344" t="str">
        <f>ADDRESS(ROW(S120),COLUMN(S120),4)</f>
        <v>S120</v>
      </c>
      <c r="S120" s="5906">
        <f>W114</f>
        <v>157</v>
      </c>
      <c r="T120" s="5906"/>
      <c r="U120" s="5906"/>
      <c r="V120" s="1229"/>
      <c r="W120" s="1234"/>
      <c r="X120" s="1267"/>
      <c r="Y120" s="1229"/>
      <c r="Z120" s="1334" t="s">
        <v>1055</v>
      </c>
      <c r="AA120" s="634"/>
      <c r="AB120" s="634"/>
      <c r="AC120" s="634"/>
      <c r="AD120" s="634"/>
      <c r="AE120" s="634"/>
      <c r="AF120" s="634"/>
      <c r="AG120" s="634"/>
      <c r="AH120" s="634"/>
      <c r="AI120" s="634"/>
      <c r="AJ120" s="634"/>
      <c r="AK120" s="634"/>
      <c r="AL120" s="634"/>
      <c r="AM120" s="634"/>
      <c r="AN120" s="634"/>
      <c r="AO120" s="634"/>
      <c r="AP120" s="634"/>
      <c r="AQ120" s="634"/>
      <c r="AR120" s="634"/>
      <c r="AS120" s="634"/>
      <c r="AT120" s="634"/>
      <c r="AU120" s="634"/>
      <c r="AV120" s="634"/>
    </row>
    <row r="121" spans="1:48">
      <c r="A121" s="634"/>
      <c r="B121" s="634"/>
      <c r="C121" s="634"/>
      <c r="D121" s="634"/>
      <c r="E121" s="634"/>
      <c r="F121" s="634"/>
      <c r="G121" s="634"/>
      <c r="H121" s="634"/>
      <c r="I121" s="634"/>
      <c r="J121" s="634"/>
      <c r="K121" s="634"/>
      <c r="L121" s="634"/>
      <c r="M121" s="634"/>
      <c r="N121" s="634"/>
      <c r="O121" s="634"/>
      <c r="P121" s="634"/>
      <c r="Q121" s="4717"/>
      <c r="R121" s="1323"/>
      <c r="S121" s="1229"/>
      <c r="T121" s="1229"/>
      <c r="U121" s="1229"/>
      <c r="V121" s="1269"/>
      <c r="W121" s="1269"/>
      <c r="X121" s="816"/>
      <c r="Y121" s="1229"/>
      <c r="Z121" s="1334" t="s">
        <v>1055</v>
      </c>
      <c r="AA121" s="634"/>
      <c r="AB121" s="634"/>
      <c r="AC121" s="634"/>
      <c r="AD121" s="634"/>
      <c r="AE121" s="634"/>
      <c r="AF121" s="634"/>
      <c r="AG121" s="634"/>
      <c r="AH121" s="634"/>
      <c r="AI121" s="634"/>
      <c r="AJ121" s="634"/>
      <c r="AK121" s="634"/>
      <c r="AL121" s="634"/>
      <c r="AM121" s="634"/>
      <c r="AN121" s="634"/>
      <c r="AO121" s="634"/>
      <c r="AP121" s="634"/>
      <c r="AQ121" s="634"/>
      <c r="AR121" s="634"/>
      <c r="AS121" s="634"/>
      <c r="AT121" s="634"/>
      <c r="AU121" s="634"/>
      <c r="AV121" s="634"/>
    </row>
    <row r="122" spans="1:48" ht="15.75" customHeight="1">
      <c r="A122" s="634"/>
      <c r="B122" s="634"/>
      <c r="C122" s="634"/>
      <c r="D122" s="634"/>
      <c r="E122" s="634"/>
      <c r="F122" s="634"/>
      <c r="G122" s="634"/>
      <c r="H122" s="634"/>
      <c r="I122" s="634"/>
      <c r="J122" s="634"/>
      <c r="K122" s="634"/>
      <c r="L122" s="634"/>
      <c r="M122" s="634"/>
      <c r="N122" s="634"/>
      <c r="O122" s="634"/>
      <c r="P122" s="634"/>
      <c r="Q122" s="4717"/>
      <c r="R122" s="656" t="s">
        <v>1052</v>
      </c>
      <c r="S122" s="1229"/>
      <c r="T122" s="1229"/>
      <c r="U122" s="1229"/>
      <c r="V122" s="1269"/>
      <c r="W122" s="1269"/>
      <c r="X122" s="816"/>
      <c r="Y122" s="1229"/>
      <c r="Z122" s="1334" t="s">
        <v>1055</v>
      </c>
      <c r="AA122" s="634"/>
      <c r="AB122" s="634"/>
      <c r="AC122" s="634"/>
      <c r="AD122" s="634"/>
      <c r="AE122" s="634"/>
      <c r="AF122" s="634"/>
      <c r="AG122" s="634"/>
      <c r="AH122" s="634"/>
      <c r="AI122" s="634"/>
      <c r="AJ122" s="634"/>
      <c r="AK122" s="634"/>
      <c r="AL122" s="634"/>
      <c r="AM122" s="634"/>
      <c r="AN122" s="634"/>
      <c r="AO122" s="634"/>
      <c r="AP122" s="634"/>
      <c r="AQ122" s="634"/>
      <c r="AR122" s="634"/>
      <c r="AS122" s="634"/>
      <c r="AT122" s="634"/>
      <c r="AU122" s="634"/>
      <c r="AV122" s="634"/>
    </row>
    <row r="123" spans="1:48">
      <c r="A123" s="634"/>
      <c r="B123" s="634"/>
      <c r="C123" s="634"/>
      <c r="D123" s="634"/>
      <c r="E123" s="634"/>
      <c r="F123" s="634"/>
      <c r="G123" s="634"/>
      <c r="H123" s="634"/>
      <c r="I123" s="634"/>
      <c r="J123" s="634"/>
      <c r="K123" s="634"/>
      <c r="L123" s="634"/>
      <c r="M123" s="634"/>
      <c r="N123" s="634"/>
      <c r="O123" s="634"/>
      <c r="P123" s="634"/>
      <c r="Q123" s="4717"/>
      <c r="R123" s="656" t="s">
        <v>1057</v>
      </c>
      <c r="S123" s="1229"/>
      <c r="T123" s="1229"/>
      <c r="U123" s="1229"/>
      <c r="V123" s="1269"/>
      <c r="W123" s="1269"/>
      <c r="X123" s="816"/>
      <c r="Y123" s="1229"/>
      <c r="Z123" s="1334" t="s">
        <v>1055</v>
      </c>
      <c r="AA123" s="634"/>
      <c r="AB123" s="634"/>
      <c r="AC123" s="634"/>
      <c r="AD123" s="634"/>
      <c r="AE123" s="634"/>
      <c r="AF123" s="634"/>
      <c r="AG123" s="634"/>
      <c r="AH123" s="634"/>
      <c r="AI123" s="634"/>
      <c r="AJ123" s="634"/>
      <c r="AK123" s="634"/>
      <c r="AL123" s="634"/>
      <c r="AM123" s="634"/>
      <c r="AN123" s="634"/>
      <c r="AO123" s="634"/>
      <c r="AP123" s="634"/>
      <c r="AQ123" s="634"/>
      <c r="AR123" s="634"/>
      <c r="AS123" s="634"/>
      <c r="AT123" s="634"/>
      <c r="AU123" s="634"/>
      <c r="AV123" s="634"/>
    </row>
    <row r="124" spans="1:48">
      <c r="A124" s="634"/>
      <c r="B124" s="634"/>
      <c r="C124" s="634"/>
      <c r="D124" s="634"/>
      <c r="E124" s="634"/>
      <c r="F124" s="634"/>
      <c r="G124" s="634"/>
      <c r="H124" s="634"/>
      <c r="I124" s="634"/>
      <c r="J124" s="634"/>
      <c r="K124" s="634"/>
      <c r="L124" s="634"/>
      <c r="M124" s="634"/>
      <c r="N124" s="634"/>
      <c r="O124" s="634"/>
      <c r="P124" s="634"/>
      <c r="Q124" s="4717"/>
      <c r="R124" s="656"/>
      <c r="S124" s="1229"/>
      <c r="T124" s="1229"/>
      <c r="U124" s="1229"/>
      <c r="V124" s="1269"/>
      <c r="W124" s="1269"/>
      <c r="X124" s="816"/>
      <c r="Y124" s="1320" t="s">
        <v>1058</v>
      </c>
      <c r="Z124" s="1334" t="s">
        <v>1055</v>
      </c>
      <c r="AA124" s="634"/>
      <c r="AB124" s="634"/>
      <c r="AC124" s="634"/>
      <c r="AD124" s="634"/>
      <c r="AE124" s="634"/>
      <c r="AF124" s="634"/>
      <c r="AG124" s="634"/>
      <c r="AH124" s="634"/>
      <c r="AI124" s="634"/>
      <c r="AJ124" s="634"/>
      <c r="AK124" s="634"/>
      <c r="AL124" s="634"/>
      <c r="AM124" s="634"/>
      <c r="AN124" s="634"/>
      <c r="AO124" s="634"/>
      <c r="AP124" s="634"/>
      <c r="AQ124" s="634"/>
      <c r="AR124" s="634"/>
      <c r="AS124" s="634"/>
      <c r="AT124" s="634"/>
      <c r="AU124" s="634"/>
      <c r="AV124" s="634"/>
    </row>
    <row r="125" spans="1:48">
      <c r="A125" s="634"/>
      <c r="B125" s="634"/>
      <c r="C125" s="634"/>
      <c r="D125" s="634"/>
      <c r="E125" s="634"/>
      <c r="F125" s="634"/>
      <c r="G125" s="634"/>
      <c r="H125" s="634"/>
      <c r="I125" s="634"/>
      <c r="J125" s="634"/>
      <c r="K125" s="634"/>
      <c r="L125" s="634"/>
      <c r="M125" s="634"/>
      <c r="N125" s="634"/>
      <c r="O125" s="634"/>
      <c r="P125" s="634"/>
      <c r="Q125" s="4717"/>
      <c r="R125" s="656" t="s">
        <v>1048</v>
      </c>
      <c r="S125" s="1229"/>
      <c r="T125" s="1229"/>
      <c r="U125" s="1229"/>
      <c r="V125" s="1269"/>
      <c r="W125" s="1269"/>
      <c r="X125" s="816"/>
      <c r="Y125" s="1229"/>
      <c r="Z125" s="517"/>
      <c r="AA125" s="634"/>
      <c r="AB125" s="634"/>
      <c r="AC125" s="634"/>
      <c r="AD125" s="634"/>
      <c r="AE125" s="634"/>
      <c r="AF125" s="634"/>
      <c r="AG125" s="634"/>
      <c r="AH125" s="634"/>
      <c r="AI125" s="634"/>
      <c r="AJ125" s="634"/>
      <c r="AK125" s="634"/>
      <c r="AL125" s="634"/>
      <c r="AM125" s="634"/>
      <c r="AN125" s="634"/>
      <c r="AO125" s="634"/>
      <c r="AP125" s="634"/>
      <c r="AQ125" s="634"/>
      <c r="AR125" s="634"/>
      <c r="AS125" s="634"/>
      <c r="AT125" s="634"/>
      <c r="AU125" s="634"/>
      <c r="AV125" s="634"/>
    </row>
    <row r="126" spans="1:48" ht="16.5" customHeight="1">
      <c r="A126" s="634"/>
      <c r="B126" s="634"/>
      <c r="C126" s="634"/>
      <c r="D126" s="634"/>
      <c r="E126" s="634"/>
      <c r="F126" s="634"/>
      <c r="G126" s="634"/>
      <c r="H126" s="634"/>
      <c r="I126" s="634"/>
      <c r="J126" s="634"/>
      <c r="K126" s="634"/>
      <c r="L126" s="634"/>
      <c r="M126" s="634"/>
      <c r="N126" s="634"/>
      <c r="O126" s="634"/>
      <c r="P126" s="634"/>
      <c r="Q126" s="4717"/>
      <c r="R126" s="656" t="s">
        <v>1049</v>
      </c>
      <c r="S126" s="1229"/>
      <c r="T126" s="1229"/>
      <c r="U126" s="1229"/>
      <c r="V126" s="1269"/>
      <c r="W126" s="1269"/>
      <c r="X126" s="816"/>
      <c r="Y126" s="1229"/>
      <c r="Z126" s="517"/>
      <c r="AA126" s="634"/>
      <c r="AB126" s="634"/>
      <c r="AC126" s="634"/>
      <c r="AD126" s="634"/>
      <c r="AE126" s="634"/>
      <c r="AF126" s="634"/>
      <c r="AG126" s="634"/>
      <c r="AH126" s="634"/>
      <c r="AI126" s="634"/>
      <c r="AJ126" s="634"/>
      <c r="AK126" s="634"/>
      <c r="AL126" s="634"/>
      <c r="AM126" s="634"/>
      <c r="AN126" s="634"/>
      <c r="AO126" s="634"/>
      <c r="AP126" s="634"/>
      <c r="AQ126" s="634"/>
      <c r="AR126" s="634"/>
      <c r="AS126" s="634"/>
      <c r="AT126" s="634"/>
      <c r="AU126" s="634"/>
      <c r="AV126" s="634"/>
    </row>
    <row r="127" spans="1:48" ht="15.75" customHeight="1">
      <c r="A127" s="634"/>
      <c r="B127" s="634"/>
      <c r="C127" s="634"/>
      <c r="D127" s="634"/>
      <c r="E127" s="634"/>
      <c r="F127" s="634"/>
      <c r="G127" s="634"/>
      <c r="H127" s="634"/>
      <c r="I127" s="634"/>
      <c r="J127" s="634"/>
      <c r="K127" s="634"/>
      <c r="L127" s="634"/>
      <c r="M127" s="634"/>
      <c r="N127" s="634"/>
      <c r="O127" s="634"/>
      <c r="P127" s="634"/>
      <c r="Q127" s="4717"/>
      <c r="R127" s="5919" t="s">
        <v>998</v>
      </c>
      <c r="S127" s="5920"/>
      <c r="T127" s="5920"/>
      <c r="U127" s="5920"/>
      <c r="V127" s="5920"/>
      <c r="W127" s="5920"/>
      <c r="X127" s="5920"/>
      <c r="Y127" s="5920"/>
      <c r="Z127" s="5921"/>
      <c r="AA127" s="634"/>
      <c r="AB127" s="634"/>
      <c r="AC127" s="634"/>
      <c r="AD127" s="634"/>
      <c r="AE127" s="634"/>
      <c r="AF127" s="634"/>
      <c r="AG127" s="634"/>
      <c r="AH127" s="634"/>
      <c r="AI127" s="634"/>
      <c r="AJ127" s="634"/>
      <c r="AK127" s="634"/>
      <c r="AL127" s="634"/>
      <c r="AM127" s="634"/>
      <c r="AN127" s="634"/>
      <c r="AO127" s="634"/>
      <c r="AP127" s="634"/>
      <c r="AQ127" s="634"/>
      <c r="AR127" s="634"/>
      <c r="AS127" s="634"/>
      <c r="AT127" s="634"/>
      <c r="AU127" s="634"/>
      <c r="AV127" s="634"/>
    </row>
    <row r="128" spans="1:48">
      <c r="A128" s="634"/>
      <c r="B128" s="634"/>
      <c r="C128" s="634"/>
      <c r="D128" s="634"/>
      <c r="E128" s="634"/>
      <c r="F128" s="634"/>
      <c r="G128" s="634"/>
      <c r="H128" s="634"/>
      <c r="I128" s="634"/>
      <c r="J128" s="634"/>
      <c r="K128" s="634"/>
      <c r="L128" s="634"/>
      <c r="M128" s="634"/>
      <c r="N128" s="634"/>
      <c r="O128" s="634"/>
      <c r="P128" s="634"/>
      <c r="Q128" s="4717"/>
      <c r="R128" s="1280" t="s">
        <v>999</v>
      </c>
      <c r="S128" s="1229"/>
      <c r="T128" s="1229"/>
      <c r="U128" s="1229"/>
      <c r="V128" s="1229"/>
      <c r="W128" s="1229"/>
      <c r="X128" s="1229"/>
      <c r="Y128" s="1229"/>
      <c r="Z128" s="517"/>
      <c r="AA128" s="634"/>
      <c r="AB128" s="634"/>
      <c r="AC128" s="634"/>
      <c r="AD128" s="634"/>
      <c r="AE128" s="634"/>
      <c r="AF128" s="634"/>
      <c r="AG128" s="634"/>
      <c r="AH128" s="634"/>
      <c r="AI128" s="634"/>
      <c r="AJ128" s="634"/>
      <c r="AK128" s="634"/>
      <c r="AL128" s="634"/>
      <c r="AM128" s="634"/>
      <c r="AN128" s="634"/>
      <c r="AO128" s="634"/>
      <c r="AP128" s="634"/>
      <c r="AQ128" s="634"/>
      <c r="AR128" s="634"/>
      <c r="AS128" s="634"/>
      <c r="AT128" s="634"/>
      <c r="AU128" s="634"/>
      <c r="AV128" s="634"/>
    </row>
    <row r="129" spans="1:48">
      <c r="A129" s="634"/>
      <c r="B129" s="634"/>
      <c r="C129" s="634"/>
      <c r="D129" s="634"/>
      <c r="E129" s="634"/>
      <c r="F129" s="634"/>
      <c r="G129" s="634"/>
      <c r="H129" s="634"/>
      <c r="I129" s="634"/>
      <c r="J129" s="634"/>
      <c r="K129" s="634"/>
      <c r="L129" s="634"/>
      <c r="M129" s="634"/>
      <c r="N129" s="634"/>
      <c r="O129" s="634"/>
      <c r="P129" s="634"/>
      <c r="Q129" s="4717"/>
      <c r="R129" s="5815" t="s">
        <v>990</v>
      </c>
      <c r="S129" s="5803" t="s">
        <v>1000</v>
      </c>
      <c r="T129" s="5803"/>
      <c r="U129" s="5803"/>
      <c r="V129" s="5803"/>
      <c r="W129" s="5803"/>
      <c r="X129" s="5803"/>
      <c r="Y129" s="5803"/>
      <c r="Z129" s="517"/>
      <c r="AA129" s="634"/>
      <c r="AB129" s="634"/>
      <c r="AC129" s="634"/>
      <c r="AD129" s="634"/>
      <c r="AE129" s="634"/>
      <c r="AF129" s="634"/>
      <c r="AG129" s="634"/>
      <c r="AH129" s="634"/>
      <c r="AI129" s="634"/>
      <c r="AJ129" s="634"/>
      <c r="AK129" s="634"/>
      <c r="AL129" s="634"/>
      <c r="AM129" s="634"/>
      <c r="AN129" s="634"/>
      <c r="AO129" s="634"/>
      <c r="AP129" s="634"/>
      <c r="AQ129" s="634"/>
      <c r="AR129" s="634"/>
      <c r="AS129" s="634"/>
      <c r="AT129" s="634"/>
      <c r="AU129" s="634"/>
      <c r="AV129" s="634"/>
    </row>
    <row r="130" spans="1:48">
      <c r="A130" s="634"/>
      <c r="B130" s="634"/>
      <c r="C130" s="634"/>
      <c r="D130" s="634"/>
      <c r="E130" s="634"/>
      <c r="F130" s="634"/>
      <c r="G130" s="634"/>
      <c r="H130" s="634"/>
      <c r="I130" s="634"/>
      <c r="J130" s="634"/>
      <c r="K130" s="634"/>
      <c r="L130" s="634"/>
      <c r="M130" s="634"/>
      <c r="N130" s="634"/>
      <c r="O130" s="634"/>
      <c r="P130" s="634"/>
      <c r="Q130" s="4717"/>
      <c r="R130" s="5815"/>
      <c r="S130" s="5805" t="s">
        <v>1001</v>
      </c>
      <c r="T130" s="5805"/>
      <c r="U130" s="5805"/>
      <c r="V130" s="5805"/>
      <c r="W130" s="5805"/>
      <c r="X130" s="5805"/>
      <c r="Y130" s="5805"/>
      <c r="Z130" s="517"/>
      <c r="AA130" s="634"/>
      <c r="AB130" s="634"/>
      <c r="AC130" s="634"/>
      <c r="AD130" s="634"/>
      <c r="AE130" s="634"/>
      <c r="AF130" s="634"/>
      <c r="AG130" s="634"/>
      <c r="AH130" s="634"/>
      <c r="AI130" s="634"/>
      <c r="AJ130" s="634"/>
      <c r="AK130" s="634"/>
      <c r="AL130" s="634"/>
      <c r="AM130" s="634"/>
      <c r="AN130" s="634"/>
      <c r="AO130" s="634"/>
      <c r="AP130" s="634"/>
      <c r="AQ130" s="634"/>
      <c r="AR130" s="634"/>
      <c r="AS130" s="634"/>
      <c r="AT130" s="634"/>
      <c r="AU130" s="634"/>
      <c r="AV130" s="634"/>
    </row>
    <row r="131" spans="1:48" ht="16.5" thickBot="1">
      <c r="A131" s="634"/>
      <c r="B131" s="634"/>
      <c r="C131" s="634"/>
      <c r="D131" s="634"/>
      <c r="E131" s="634"/>
      <c r="F131" s="634"/>
      <c r="G131" s="634"/>
      <c r="H131" s="634"/>
      <c r="I131" s="634"/>
      <c r="J131" s="634"/>
      <c r="K131" s="634"/>
      <c r="L131" s="634"/>
      <c r="M131" s="634"/>
      <c r="N131" s="634"/>
      <c r="O131" s="634"/>
      <c r="P131" s="634"/>
      <c r="Q131" s="4717"/>
      <c r="R131" s="1372" t="s">
        <v>1002</v>
      </c>
      <c r="S131" s="1373"/>
      <c r="T131" s="1373"/>
      <c r="U131" s="1373"/>
      <c r="V131" s="1373"/>
      <c r="W131" s="1373"/>
      <c r="X131" s="1373"/>
      <c r="Y131" s="1373"/>
      <c r="Z131" s="1374"/>
      <c r="AA131" s="634"/>
      <c r="AB131" s="634"/>
      <c r="AC131" s="634"/>
      <c r="AD131" s="634"/>
      <c r="AE131" s="634"/>
      <c r="AF131" s="634"/>
      <c r="AG131" s="634"/>
      <c r="AH131" s="634"/>
      <c r="AI131" s="634"/>
      <c r="AJ131" s="634"/>
      <c r="AK131" s="634"/>
      <c r="AL131" s="634"/>
      <c r="AM131" s="634"/>
      <c r="AN131" s="634"/>
      <c r="AO131" s="634"/>
      <c r="AP131" s="634"/>
      <c r="AQ131" s="634"/>
      <c r="AR131" s="634"/>
      <c r="AS131" s="634"/>
      <c r="AT131" s="634"/>
      <c r="AU131" s="634"/>
      <c r="AV131" s="634"/>
    </row>
    <row r="132" spans="1:48">
      <c r="A132" s="634"/>
      <c r="B132" s="634"/>
      <c r="C132" s="634"/>
      <c r="D132" s="634"/>
      <c r="E132" s="634"/>
      <c r="F132" s="634"/>
      <c r="G132" s="634"/>
      <c r="H132" s="634"/>
      <c r="I132" s="634"/>
      <c r="J132" s="634"/>
      <c r="K132" s="634"/>
      <c r="L132" s="634"/>
      <c r="M132" s="634"/>
      <c r="N132" s="634"/>
      <c r="O132" s="634"/>
      <c r="P132" s="634"/>
      <c r="Q132" s="634"/>
      <c r="R132" s="634"/>
      <c r="S132" s="634"/>
      <c r="T132" s="634"/>
      <c r="U132" s="634"/>
      <c r="V132" s="634"/>
      <c r="W132" s="634"/>
      <c r="X132" s="634"/>
      <c r="Y132" s="634"/>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c r="AT132" s="634"/>
      <c r="AU132" s="634"/>
      <c r="AV132" s="634"/>
    </row>
    <row r="133" spans="1:48">
      <c r="A133" s="634"/>
      <c r="B133" s="634"/>
      <c r="C133" s="634"/>
      <c r="D133" s="634"/>
      <c r="E133" s="634"/>
      <c r="F133" s="634"/>
      <c r="G133" s="634"/>
      <c r="H133" s="634"/>
      <c r="I133" s="634"/>
      <c r="J133" s="634"/>
      <c r="K133" s="634"/>
      <c r="L133" s="634"/>
      <c r="M133" s="634"/>
      <c r="N133" s="634"/>
      <c r="O133" s="634"/>
      <c r="P133" s="634"/>
      <c r="Q133" s="634"/>
      <c r="R133" s="634"/>
      <c r="S133" s="634"/>
      <c r="T133" s="634"/>
      <c r="U133" s="634"/>
      <c r="V133" s="634"/>
      <c r="W133" s="634"/>
      <c r="X133" s="634"/>
      <c r="Y133" s="634"/>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c r="AT133" s="634"/>
      <c r="AU133" s="634"/>
      <c r="AV133" s="634"/>
    </row>
    <row r="134" spans="1:48" ht="15.75" customHeight="1">
      <c r="A134" s="5890">
        <f>ROW()</f>
        <v>134</v>
      </c>
      <c r="B134" s="5929" t="s">
        <v>1257</v>
      </c>
      <c r="C134" s="5929"/>
      <c r="D134" s="5929"/>
      <c r="E134" s="5929"/>
      <c r="F134" s="5929"/>
      <c r="G134" s="5929"/>
      <c r="H134" s="5929"/>
      <c r="I134" s="5929"/>
      <c r="J134" s="5929"/>
      <c r="K134" s="5929"/>
      <c r="L134" s="5929"/>
      <c r="M134" s="5929"/>
      <c r="N134" s="5929"/>
      <c r="O134" s="5929"/>
      <c r="P134" s="5929"/>
      <c r="Q134" s="5929"/>
      <c r="R134" s="5929"/>
      <c r="S134" s="5929"/>
      <c r="T134" s="5929"/>
      <c r="U134" s="5929"/>
      <c r="V134" s="5929"/>
      <c r="W134" s="5929"/>
      <c r="X134" s="5929"/>
      <c r="Y134" s="5929"/>
      <c r="Z134" s="5929"/>
      <c r="AA134" s="5929"/>
      <c r="AB134" s="5929"/>
      <c r="AC134" s="5929"/>
      <c r="AD134" s="5929"/>
      <c r="AE134" s="5929"/>
      <c r="AF134" s="5929"/>
      <c r="AG134" s="5929"/>
      <c r="AH134" s="5929"/>
      <c r="AI134" s="5929"/>
      <c r="AJ134" s="5929"/>
      <c r="AK134" s="5929"/>
      <c r="AL134" s="5929"/>
      <c r="AM134" s="5929"/>
      <c r="AN134" s="5929"/>
      <c r="AO134" s="5929"/>
      <c r="AP134" s="5929"/>
      <c r="AQ134" s="5929"/>
      <c r="AR134" s="5929"/>
      <c r="AS134" s="5929"/>
      <c r="AT134" s="5929"/>
      <c r="AU134" s="5929"/>
      <c r="AV134" s="5929"/>
    </row>
    <row r="135" spans="1:48" ht="15.75" customHeight="1">
      <c r="A135" s="5890"/>
      <c r="B135" s="5929"/>
      <c r="C135" s="5929"/>
      <c r="D135" s="5929"/>
      <c r="E135" s="5929"/>
      <c r="F135" s="5929"/>
      <c r="G135" s="5929"/>
      <c r="H135" s="5929"/>
      <c r="I135" s="5929"/>
      <c r="J135" s="5929"/>
      <c r="K135" s="5929"/>
      <c r="L135" s="5929"/>
      <c r="M135" s="5929"/>
      <c r="N135" s="5929"/>
      <c r="O135" s="5929"/>
      <c r="P135" s="5929"/>
      <c r="Q135" s="5929"/>
      <c r="R135" s="5929"/>
      <c r="S135" s="5929"/>
      <c r="T135" s="5929"/>
      <c r="U135" s="5929"/>
      <c r="V135" s="5929"/>
      <c r="W135" s="5929"/>
      <c r="X135" s="5929"/>
      <c r="Y135" s="5929"/>
      <c r="Z135" s="5929"/>
      <c r="AA135" s="5929"/>
      <c r="AB135" s="5929"/>
      <c r="AC135" s="5929"/>
      <c r="AD135" s="5929"/>
      <c r="AE135" s="5929"/>
      <c r="AF135" s="5929"/>
      <c r="AG135" s="5929"/>
      <c r="AH135" s="5929"/>
      <c r="AI135" s="5929"/>
      <c r="AJ135" s="5929"/>
      <c r="AK135" s="5929"/>
      <c r="AL135" s="5929"/>
      <c r="AM135" s="5929"/>
      <c r="AN135" s="5929"/>
      <c r="AO135" s="5929"/>
      <c r="AP135" s="5929"/>
      <c r="AQ135" s="5929"/>
      <c r="AR135" s="5929"/>
      <c r="AS135" s="5929"/>
      <c r="AT135" s="5929"/>
      <c r="AU135" s="5929"/>
      <c r="AV135" s="5929"/>
    </row>
    <row r="136" spans="1:48">
      <c r="A136" s="634"/>
      <c r="B136" s="634"/>
      <c r="C136" s="634"/>
      <c r="D136" s="634"/>
      <c r="E136" s="634"/>
      <c r="F136" s="634"/>
      <c r="G136" s="634"/>
      <c r="H136" s="634"/>
      <c r="I136" s="634"/>
      <c r="J136" s="634"/>
      <c r="K136" s="634"/>
      <c r="L136" s="634"/>
      <c r="M136" s="634"/>
      <c r="N136" s="634"/>
      <c r="O136" s="634"/>
      <c r="P136" s="634"/>
      <c r="Q136" s="634"/>
      <c r="R136" s="634"/>
      <c r="S136" s="634"/>
      <c r="T136" s="634"/>
      <c r="U136" s="634"/>
      <c r="V136" s="634"/>
      <c r="W136" s="634"/>
      <c r="X136" s="634"/>
      <c r="Y136" s="634"/>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c r="AT136" s="634"/>
      <c r="AU136" s="634"/>
      <c r="AV136" s="634"/>
    </row>
    <row r="137" spans="1:48" ht="16.5" thickBot="1">
      <c r="A137" s="634"/>
      <c r="B137" s="634"/>
      <c r="C137" s="634"/>
      <c r="D137" s="634"/>
      <c r="E137" s="634"/>
      <c r="F137" s="634"/>
      <c r="G137" s="634"/>
      <c r="H137" s="634"/>
      <c r="I137" s="634"/>
      <c r="J137" s="634"/>
      <c r="K137" s="634"/>
      <c r="L137" s="634"/>
      <c r="M137" s="634"/>
      <c r="N137" s="634"/>
      <c r="O137" s="634"/>
      <c r="P137" s="634"/>
      <c r="Q137" s="634"/>
      <c r="R137" s="634"/>
      <c r="S137" s="634"/>
      <c r="T137" s="634"/>
      <c r="U137" s="634"/>
      <c r="V137" s="634"/>
      <c r="W137" s="634"/>
      <c r="X137" s="634"/>
      <c r="Y137" s="634"/>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c r="AT137" s="634"/>
      <c r="AU137" s="634"/>
      <c r="AV137" s="634"/>
    </row>
    <row r="138" spans="1:48" ht="21">
      <c r="A138" s="1192" t="s">
        <v>70</v>
      </c>
      <c r="B138" s="5930" t="s">
        <v>1060</v>
      </c>
      <c r="C138" s="5931"/>
      <c r="D138" s="5931"/>
      <c r="E138" s="5931"/>
      <c r="F138" s="5931"/>
      <c r="G138" s="5931"/>
      <c r="H138" s="5931"/>
      <c r="I138" s="5931"/>
      <c r="J138" s="5931"/>
      <c r="K138" s="5932"/>
      <c r="L138" s="634"/>
      <c r="M138" s="634"/>
      <c r="N138" s="634"/>
      <c r="O138" s="634"/>
      <c r="P138" s="634"/>
      <c r="Q138" s="1192" t="s">
        <v>70</v>
      </c>
      <c r="R138" s="5933" t="s">
        <v>1011</v>
      </c>
      <c r="S138" s="5934"/>
      <c r="T138" s="5934"/>
      <c r="U138" s="5934"/>
      <c r="V138" s="5934"/>
      <c r="W138" s="5934"/>
      <c r="X138" s="5934"/>
      <c r="Y138" s="5934"/>
      <c r="Z138" s="5934"/>
      <c r="AA138" s="634"/>
      <c r="AB138" s="1192" t="s">
        <v>70</v>
      </c>
      <c r="AC138" s="5933" t="s">
        <v>1011</v>
      </c>
      <c r="AD138" s="5934"/>
      <c r="AE138" s="5934"/>
      <c r="AF138" s="5934"/>
      <c r="AG138" s="5934"/>
      <c r="AH138" s="5934"/>
      <c r="AI138" s="5934"/>
      <c r="AJ138" s="5934"/>
      <c r="AK138" s="5934"/>
      <c r="AL138" s="634"/>
      <c r="AM138" s="1192" t="s">
        <v>70</v>
      </c>
      <c r="AN138" s="5933" t="s">
        <v>1011</v>
      </c>
      <c r="AO138" s="5934"/>
      <c r="AP138" s="5934"/>
      <c r="AQ138" s="5934"/>
      <c r="AR138" s="5934"/>
      <c r="AS138" s="5934"/>
      <c r="AT138" s="5934"/>
      <c r="AU138" s="5934"/>
      <c r="AV138" s="5934"/>
    </row>
    <row r="139" spans="1:48" ht="15.75" customHeight="1">
      <c r="A139" s="4717" t="str">
        <f>B138</f>
        <v>Formule du calcul du poids d'  EAU  - comparer deux % d'hydratation</v>
      </c>
      <c r="B139" s="533" t="str">
        <f>ADDRESS(ROW(),COLUMN(),4)</f>
        <v>B139</v>
      </c>
      <c r="C139" s="903" t="s">
        <v>691</v>
      </c>
      <c r="D139" s="1012"/>
      <c r="E139" s="1012"/>
      <c r="F139" s="1012"/>
      <c r="G139" s="1225"/>
      <c r="H139" s="1225"/>
      <c r="I139" s="1225"/>
      <c r="J139" s="1225" t="str">
        <f ca="1">MID(CELL("filename",B139),SEARCH("[",CELL("filename",B139))+1,SEARCH("]",CELL("filename",B139))-SEARCH("[",CELL("filename",B139))-1)</f>
        <v>ff-22-formats-formules-pourcentages.xlsx</v>
      </c>
      <c r="K139" s="1226">
        <v>3</v>
      </c>
      <c r="L139" s="634"/>
      <c r="M139" s="634"/>
      <c r="N139" s="634"/>
      <c r="O139" s="634"/>
      <c r="P139" s="634"/>
      <c r="Q139" s="4717" t="str">
        <f>R138</f>
        <v>Formule du calcul du poids d'  EAU</v>
      </c>
      <c r="R139" s="1179" t="str">
        <f>ADDRESS(ROW(),COLUMN(),4)</f>
        <v>R139</v>
      </c>
      <c r="S139" s="1193" t="s">
        <v>691</v>
      </c>
      <c r="T139" s="1224"/>
      <c r="U139" s="1224"/>
      <c r="V139" s="1224"/>
      <c r="W139" s="1224"/>
      <c r="X139" s="1225"/>
      <c r="Y139" s="1225" t="str">
        <f ca="1">MID(CELL("filename",R139),SEARCH("[",CELL("filename",R139))+1,SEARCH("]",CELL("filename",R139))-SEARCH("[",CELL("filename",R139))-1)</f>
        <v>ff-22-formats-formules-pourcentages.xlsx</v>
      </c>
      <c r="Z139" s="1226">
        <v>3</v>
      </c>
      <c r="AA139" s="634"/>
      <c r="AB139" s="4717" t="str">
        <f>AC138</f>
        <v>Formule du calcul du poids d'  EAU</v>
      </c>
      <c r="AC139" s="1179" t="str">
        <f>ADDRESS(ROW(),COLUMN(),4)</f>
        <v>AC139</v>
      </c>
      <c r="AD139" s="1193" t="s">
        <v>691</v>
      </c>
      <c r="AE139" s="1224"/>
      <c r="AF139" s="1224"/>
      <c r="AG139" s="1224"/>
      <c r="AH139" s="1224"/>
      <c r="AI139" s="1225"/>
      <c r="AJ139" s="1225" t="str">
        <f ca="1">MID(CELL("filename",AC139),SEARCH("[",CELL("filename",AC139))+1,SEARCH("]",CELL("filename",AC139))-SEARCH("[",CELL("filename",AC139))-1)</f>
        <v>ff-22-formats-formules-pourcentages.xlsx</v>
      </c>
      <c r="AK139" s="1226">
        <v>3</v>
      </c>
      <c r="AL139" s="634"/>
      <c r="AM139" s="4717" t="str">
        <f>AN138</f>
        <v>Formule du calcul du poids d'  EAU</v>
      </c>
      <c r="AN139" s="1179" t="str">
        <f>ADDRESS(ROW(),COLUMN(),4)</f>
        <v>AN139</v>
      </c>
      <c r="AO139" s="1193" t="s">
        <v>691</v>
      </c>
      <c r="AP139" s="1224"/>
      <c r="AQ139" s="1224"/>
      <c r="AR139" s="1224"/>
      <c r="AS139" s="1224"/>
      <c r="AT139" s="1225"/>
      <c r="AU139" s="1225" t="str">
        <f ca="1">MID(CELL("filename",AN139),SEARCH("[",CELL("filename",AN139))+1,SEARCH("]",CELL("filename",AN139))-SEARCH("[",CELL("filename",AN139))-1)</f>
        <v>ff-22-formats-formules-pourcentages.xlsx</v>
      </c>
      <c r="AV139" s="1226">
        <v>3</v>
      </c>
    </row>
    <row r="140" spans="1:48" ht="15.75" customHeight="1">
      <c r="A140" s="4717"/>
      <c r="B140" s="1313" t="s">
        <v>1052</v>
      </c>
      <c r="C140" s="1314"/>
      <c r="D140" s="1315"/>
      <c r="E140" s="1315"/>
      <c r="F140" s="1315"/>
      <c r="G140" s="1316"/>
      <c r="H140" s="1316"/>
      <c r="I140" s="1316"/>
      <c r="J140" s="1317"/>
      <c r="K140" s="517"/>
      <c r="L140" s="634"/>
      <c r="M140" s="634"/>
      <c r="N140" s="634"/>
      <c r="O140" s="634"/>
      <c r="P140" s="634"/>
      <c r="Q140" s="4717"/>
      <c r="R140" s="1318"/>
      <c r="S140" s="1200"/>
      <c r="T140" s="1321" t="s">
        <v>473</v>
      </c>
      <c r="U140" s="1201"/>
      <c r="V140" s="1201"/>
      <c r="W140" s="1203"/>
      <c r="X140" s="1204"/>
      <c r="Y140" s="1201"/>
      <c r="Z140" s="517"/>
      <c r="AA140" s="634"/>
      <c r="AB140" s="4717"/>
      <c r="AC140" s="1318"/>
      <c r="AD140" s="1200"/>
      <c r="AE140" s="1321" t="s">
        <v>473</v>
      </c>
      <c r="AF140" s="1201"/>
      <c r="AG140" s="1201"/>
      <c r="AH140" s="1203"/>
      <c r="AI140" s="1204"/>
      <c r="AJ140" s="1201"/>
      <c r="AK140" s="517"/>
      <c r="AL140" s="634"/>
      <c r="AM140" s="4717"/>
      <c r="AN140" s="1318"/>
      <c r="AO140" s="1200"/>
      <c r="AP140" s="1321" t="s">
        <v>473</v>
      </c>
      <c r="AQ140" s="1201"/>
      <c r="AR140" s="1201"/>
      <c r="AS140" s="1203"/>
      <c r="AT140" s="1204"/>
      <c r="AU140" s="1201"/>
      <c r="AV140" s="517"/>
    </row>
    <row r="141" spans="1:48" ht="18.75" customHeight="1">
      <c r="A141" s="4717"/>
      <c r="B141" s="1318"/>
      <c r="C141" s="814"/>
      <c r="D141" s="634"/>
      <c r="E141" s="634"/>
      <c r="F141" s="634"/>
      <c r="G141" s="1378" t="s">
        <v>473</v>
      </c>
      <c r="H141" s="1320"/>
      <c r="I141" s="1320"/>
      <c r="J141" s="1279"/>
      <c r="K141" s="517"/>
      <c r="L141" s="634"/>
      <c r="M141" s="634"/>
      <c r="N141" s="634"/>
      <c r="O141" s="634"/>
      <c r="P141" s="634"/>
      <c r="Q141" s="4717"/>
      <c r="R141" s="1323"/>
      <c r="S141" s="1327" t="s">
        <v>1009</v>
      </c>
      <c r="T141" s="1202">
        <v>65</v>
      </c>
      <c r="U141" s="1229"/>
      <c r="V141" s="1379" t="s">
        <v>320</v>
      </c>
      <c r="W141" s="1380">
        <f>T141</f>
        <v>65</v>
      </c>
      <c r="X141" s="1237">
        <f>(T143*T141)/W143</f>
        <v>7.8</v>
      </c>
      <c r="Y141" s="1229"/>
      <c r="Z141" s="517"/>
      <c r="AA141" s="634"/>
      <c r="AB141" s="4717"/>
      <c r="AC141" s="1323"/>
      <c r="AD141" s="1327" t="s">
        <v>1009</v>
      </c>
      <c r="AE141" s="1202">
        <v>60</v>
      </c>
      <c r="AF141" s="1229"/>
      <c r="AG141" s="1379" t="s">
        <v>320</v>
      </c>
      <c r="AH141" s="1380">
        <f>AE141</f>
        <v>60</v>
      </c>
      <c r="AI141" s="1237">
        <f>(AE143*AE141)/AH143</f>
        <v>7.4249999999999998</v>
      </c>
      <c r="AJ141" s="1229"/>
      <c r="AK141" s="517"/>
      <c r="AL141" s="634"/>
      <c r="AM141" s="4717"/>
      <c r="AN141" s="1323"/>
      <c r="AO141" s="1327" t="s">
        <v>1009</v>
      </c>
      <c r="AP141" s="1202">
        <v>57</v>
      </c>
      <c r="AQ141" s="1229"/>
      <c r="AR141" s="1379" t="s">
        <v>320</v>
      </c>
      <c r="AS141" s="1380">
        <f>AP141</f>
        <v>57</v>
      </c>
      <c r="AT141" s="1237">
        <f>(AP143*AP141)/AS143</f>
        <v>7.1885350318471346</v>
      </c>
      <c r="AU141" s="1229"/>
      <c r="AV141" s="517"/>
    </row>
    <row r="142" spans="1:48" ht="19.5" thickBot="1">
      <c r="A142" s="4717"/>
      <c r="B142" s="1318"/>
      <c r="C142" s="814"/>
      <c r="D142" s="634"/>
      <c r="E142" s="1211"/>
      <c r="F142" s="1211" t="s">
        <v>994</v>
      </c>
      <c r="G142" s="1240">
        <v>19.8</v>
      </c>
      <c r="H142" s="1320"/>
      <c r="I142" s="1320"/>
      <c r="J142" s="1279"/>
      <c r="K142" s="517"/>
      <c r="L142" s="634"/>
      <c r="M142" s="634"/>
      <c r="N142" s="634"/>
      <c r="O142" s="634"/>
      <c r="P142" s="634"/>
      <c r="Q142" s="4717"/>
      <c r="R142" s="1323"/>
      <c r="S142" s="1203"/>
      <c r="T142" s="1378" t="s">
        <v>473</v>
      </c>
      <c r="U142" s="1229"/>
      <c r="V142" s="892" t="s">
        <v>1010</v>
      </c>
      <c r="W142" s="1381">
        <v>100</v>
      </c>
      <c r="X142" s="1382">
        <f>(T143*W142)/W143</f>
        <v>12</v>
      </c>
      <c r="Y142" s="1229"/>
      <c r="Z142" s="517"/>
      <c r="AA142" s="634"/>
      <c r="AB142" s="4717"/>
      <c r="AC142" s="1323"/>
      <c r="AD142" s="1203"/>
      <c r="AE142" s="1378" t="s">
        <v>473</v>
      </c>
      <c r="AF142" s="1229"/>
      <c r="AG142" s="892" t="s">
        <v>1010</v>
      </c>
      <c r="AH142" s="1381">
        <v>100</v>
      </c>
      <c r="AI142" s="1382">
        <f>(AE143*AH142)/AH143</f>
        <v>12.375</v>
      </c>
      <c r="AJ142" s="1229"/>
      <c r="AK142" s="517"/>
      <c r="AL142" s="634"/>
      <c r="AM142" s="4717"/>
      <c r="AN142" s="1323"/>
      <c r="AO142" s="1203"/>
      <c r="AP142" s="1378" t="s">
        <v>473</v>
      </c>
      <c r="AQ142" s="1229"/>
      <c r="AR142" s="892" t="s">
        <v>1010</v>
      </c>
      <c r="AS142" s="1381">
        <v>100</v>
      </c>
      <c r="AT142" s="1382">
        <f>(AP143*AS142)/AS143</f>
        <v>12.611464968152866</v>
      </c>
      <c r="AU142" s="1229"/>
      <c r="AV142" s="517"/>
    </row>
    <row r="143" spans="1:48" ht="18.75">
      <c r="A143" s="4717"/>
      <c r="B143" s="1318"/>
      <c r="C143" s="814"/>
      <c r="D143" s="634"/>
      <c r="E143" s="1320"/>
      <c r="F143" s="1320"/>
      <c r="G143" s="1320"/>
      <c r="H143" s="1320"/>
      <c r="I143" s="1320"/>
      <c r="J143" s="1279"/>
      <c r="K143" s="517"/>
      <c r="L143" s="634"/>
      <c r="M143" s="634"/>
      <c r="N143" s="634"/>
      <c r="O143" s="634"/>
      <c r="P143" s="634"/>
      <c r="Q143" s="4717"/>
      <c r="R143" s="1323"/>
      <c r="S143" s="1331" t="s">
        <v>994</v>
      </c>
      <c r="T143" s="1240">
        <v>19.8</v>
      </c>
      <c r="U143" s="1229"/>
      <c r="V143" s="1383" t="s">
        <v>994</v>
      </c>
      <c r="W143" s="1241">
        <f>W142+W141</f>
        <v>165</v>
      </c>
      <c r="X143" s="1242">
        <f>X142+X141</f>
        <v>19.8</v>
      </c>
      <c r="Y143" s="1229"/>
      <c r="Z143" s="517"/>
      <c r="AA143" s="634"/>
      <c r="AB143" s="4717"/>
      <c r="AC143" s="1323"/>
      <c r="AD143" s="1331" t="s">
        <v>994</v>
      </c>
      <c r="AE143" s="1240">
        <v>19.8</v>
      </c>
      <c r="AF143" s="1229"/>
      <c r="AG143" s="1383" t="s">
        <v>994</v>
      </c>
      <c r="AH143" s="1241">
        <f>AH142+AH141</f>
        <v>160</v>
      </c>
      <c r="AI143" s="1242">
        <f>AI142+AI141</f>
        <v>19.8</v>
      </c>
      <c r="AJ143" s="1229"/>
      <c r="AK143" s="517"/>
      <c r="AL143" s="634"/>
      <c r="AM143" s="4717"/>
      <c r="AN143" s="1323"/>
      <c r="AO143" s="1331" t="s">
        <v>994</v>
      </c>
      <c r="AP143" s="1240">
        <v>19.8</v>
      </c>
      <c r="AQ143" s="1229"/>
      <c r="AR143" s="1383" t="s">
        <v>994</v>
      </c>
      <c r="AS143" s="1241">
        <f>AS142+AS141</f>
        <v>157</v>
      </c>
      <c r="AT143" s="1242">
        <f>AT142+AT141</f>
        <v>19.8</v>
      </c>
      <c r="AU143" s="1229"/>
      <c r="AV143" s="517"/>
    </row>
    <row r="144" spans="1:48">
      <c r="A144" s="4717"/>
      <c r="B144" s="633"/>
      <c r="C144" s="634"/>
      <c r="D144" s="1321" t="s">
        <v>473</v>
      </c>
      <c r="E144" s="634"/>
      <c r="F144" s="634"/>
      <c r="G144" s="1320"/>
      <c r="H144" s="634"/>
      <c r="I144" s="1322" t="s">
        <v>473</v>
      </c>
      <c r="J144" s="634"/>
      <c r="K144" s="517"/>
      <c r="L144" s="634"/>
      <c r="M144" s="634"/>
      <c r="N144" s="634"/>
      <c r="O144" s="634"/>
      <c r="P144" s="634"/>
      <c r="Q144" s="4717"/>
      <c r="R144" s="1333"/>
      <c r="S144" s="1224"/>
      <c r="T144" s="1224"/>
      <c r="U144" s="1224"/>
      <c r="V144" s="1224"/>
      <c r="W144" s="1224"/>
      <c r="X144" s="1224"/>
      <c r="Y144" s="1224"/>
      <c r="Z144" s="1194"/>
      <c r="AA144" s="634"/>
      <c r="AB144" s="4717"/>
      <c r="AC144" s="1333"/>
      <c r="AD144" s="1224"/>
      <c r="AE144" s="1224"/>
      <c r="AF144" s="1224"/>
      <c r="AG144" s="1224"/>
      <c r="AH144" s="1224"/>
      <c r="AI144" s="1224"/>
      <c r="AJ144" s="1224"/>
      <c r="AK144" s="1194"/>
      <c r="AL144" s="634"/>
      <c r="AM144" s="4717"/>
      <c r="AN144" s="1333"/>
      <c r="AO144" s="1224"/>
      <c r="AP144" s="1224"/>
      <c r="AQ144" s="1224"/>
      <c r="AR144" s="1224"/>
      <c r="AS144" s="1224"/>
      <c r="AT144" s="1224"/>
      <c r="AU144" s="1224"/>
      <c r="AV144" s="1194"/>
    </row>
    <row r="145" spans="1:48" ht="18.75">
      <c r="A145" s="4717"/>
      <c r="B145" s="1326"/>
      <c r="C145" s="1203" t="s">
        <v>1009</v>
      </c>
      <c r="D145" s="1328">
        <v>65</v>
      </c>
      <c r="E145" s="1203"/>
      <c r="F145" s="874" t="s">
        <v>1054</v>
      </c>
      <c r="G145" s="634"/>
      <c r="H145" s="1203" t="s">
        <v>1009</v>
      </c>
      <c r="I145" s="1330">
        <v>60</v>
      </c>
      <c r="J145" s="634"/>
      <c r="K145" s="517"/>
      <c r="L145" s="634"/>
      <c r="M145" s="634"/>
      <c r="N145" s="634"/>
      <c r="O145" s="634"/>
      <c r="P145" s="634"/>
      <c r="Q145" s="4717"/>
      <c r="R145" s="1323"/>
      <c r="S145" s="1190" t="s">
        <v>993</v>
      </c>
      <c r="T145" s="1229"/>
      <c r="U145" s="1229"/>
      <c r="V145" s="1229"/>
      <c r="W145" s="1229"/>
      <c r="X145" s="816"/>
      <c r="Y145" s="634"/>
      <c r="Z145" s="1334" t="s">
        <v>1055</v>
      </c>
      <c r="AA145" s="634"/>
      <c r="AB145" s="4717"/>
      <c r="AC145" s="1323"/>
      <c r="AD145" s="1190" t="s">
        <v>993</v>
      </c>
      <c r="AE145" s="1229"/>
      <c r="AF145" s="1229"/>
      <c r="AG145" s="1229"/>
      <c r="AH145" s="1229"/>
      <c r="AI145" s="816"/>
      <c r="AJ145" s="634"/>
      <c r="AK145" s="1334" t="s">
        <v>1055</v>
      </c>
      <c r="AL145" s="634"/>
      <c r="AM145" s="4717"/>
      <c r="AN145" s="1323"/>
      <c r="AO145" s="1190" t="s">
        <v>993</v>
      </c>
      <c r="AP145" s="1229"/>
      <c r="AQ145" s="1229"/>
      <c r="AR145" s="1229"/>
      <c r="AS145" s="1229"/>
      <c r="AT145" s="816"/>
      <c r="AU145" s="634"/>
      <c r="AV145" s="1334" t="s">
        <v>1055</v>
      </c>
    </row>
    <row r="146" spans="1:48">
      <c r="A146" s="4717"/>
      <c r="B146" s="633"/>
      <c r="C146" s="634"/>
      <c r="E146" s="634"/>
      <c r="F146" s="634"/>
      <c r="G146" s="1320"/>
      <c r="H146" s="1320"/>
      <c r="I146" s="634"/>
      <c r="J146" s="634"/>
      <c r="K146" s="517"/>
      <c r="L146" s="634"/>
      <c r="M146" s="634"/>
      <c r="N146" s="634"/>
      <c r="O146" s="634"/>
      <c r="P146" s="634"/>
      <c r="Q146" s="4717"/>
      <c r="R146" s="1323"/>
      <c r="S146" s="1229"/>
      <c r="T146" s="1229"/>
      <c r="U146" s="1229"/>
      <c r="V146" s="1229"/>
      <c r="W146" s="1229"/>
      <c r="X146" s="816"/>
      <c r="Y146" s="634"/>
      <c r="Z146" s="1334" t="s">
        <v>1055</v>
      </c>
      <c r="AA146" s="634"/>
      <c r="AB146" s="4717"/>
      <c r="AC146" s="1323"/>
      <c r="AD146" s="1229"/>
      <c r="AE146" s="1229"/>
      <c r="AF146" s="1229"/>
      <c r="AG146" s="1229"/>
      <c r="AH146" s="1229"/>
      <c r="AI146" s="816"/>
      <c r="AJ146" s="634"/>
      <c r="AK146" s="1334" t="s">
        <v>1055</v>
      </c>
      <c r="AL146" s="634"/>
      <c r="AM146" s="4717"/>
      <c r="AN146" s="1323"/>
      <c r="AO146" s="1229"/>
      <c r="AP146" s="1229"/>
      <c r="AQ146" s="1229"/>
      <c r="AR146" s="1229"/>
      <c r="AS146" s="1229"/>
      <c r="AT146" s="816"/>
      <c r="AU146" s="634"/>
      <c r="AV146" s="1334" t="s">
        <v>1055</v>
      </c>
    </row>
    <row r="147" spans="1:48" ht="18.75">
      <c r="A147" s="4717"/>
      <c r="B147" s="633"/>
      <c r="C147" s="1335" t="s">
        <v>320</v>
      </c>
      <c r="D147" s="1380">
        <f>D145</f>
        <v>65</v>
      </c>
      <c r="E147" s="1336">
        <f>(G142*D145)/D149</f>
        <v>7.8</v>
      </c>
      <c r="F147" s="1342"/>
      <c r="G147" s="634"/>
      <c r="H147" s="1337" t="s">
        <v>320</v>
      </c>
      <c r="I147" s="1384">
        <f>I145</f>
        <v>60</v>
      </c>
      <c r="J147" s="1338">
        <f>(G142*I145)/I149</f>
        <v>7.4249999999999998</v>
      </c>
      <c r="K147" s="517"/>
      <c r="L147" s="634"/>
      <c r="M147" s="634"/>
      <c r="N147" s="634"/>
      <c r="O147" s="634"/>
      <c r="P147" s="634"/>
      <c r="Q147" s="4717"/>
      <c r="R147" s="1323"/>
      <c r="S147" s="1196" t="s">
        <v>994</v>
      </c>
      <c r="T147" s="1205"/>
      <c r="U147" s="1253" t="str">
        <f>ADDRESS(ROW(U148),COLUMN(U148),4)</f>
        <v>U148</v>
      </c>
      <c r="V147" s="1229"/>
      <c r="W147" s="1195" t="s">
        <v>1012</v>
      </c>
      <c r="X147" s="1255" t="s">
        <v>685</v>
      </c>
      <c r="Y147" s="634"/>
      <c r="Z147" s="1334" t="s">
        <v>1055</v>
      </c>
      <c r="AA147" s="634"/>
      <c r="AB147" s="4717"/>
      <c r="AC147" s="1323"/>
      <c r="AD147" s="1196" t="s">
        <v>994</v>
      </c>
      <c r="AE147" s="1205"/>
      <c r="AF147" s="1253" t="str">
        <f>ADDRESS(ROW(AF148),COLUMN(AF148),4)</f>
        <v>AF148</v>
      </c>
      <c r="AG147" s="1229"/>
      <c r="AH147" s="1195" t="s">
        <v>1012</v>
      </c>
      <c r="AI147" s="1255" t="s">
        <v>685</v>
      </c>
      <c r="AJ147" s="634"/>
      <c r="AK147" s="1334" t="s">
        <v>1055</v>
      </c>
      <c r="AL147" s="634"/>
      <c r="AM147" s="4717"/>
      <c r="AN147" s="1323"/>
      <c r="AO147" s="1196" t="s">
        <v>994</v>
      </c>
      <c r="AP147" s="1205"/>
      <c r="AQ147" s="1253" t="str">
        <f>ADDRESS(ROW(AQ148),COLUMN(AQ148),4)</f>
        <v>AQ148</v>
      </c>
      <c r="AR147" s="1229"/>
      <c r="AS147" s="1195" t="s">
        <v>1012</v>
      </c>
      <c r="AT147" s="1255" t="s">
        <v>685</v>
      </c>
      <c r="AU147" s="634"/>
      <c r="AV147" s="1334" t="s">
        <v>1055</v>
      </c>
    </row>
    <row r="148" spans="1:48" ht="19.5" thickBot="1">
      <c r="A148" s="4717"/>
      <c r="B148" s="633"/>
      <c r="C148" s="1385" t="s">
        <v>1010</v>
      </c>
      <c r="D148" s="1381">
        <v>100</v>
      </c>
      <c r="E148" s="1209">
        <f>(G142*D148)/D149</f>
        <v>12</v>
      </c>
      <c r="F148" s="634"/>
      <c r="G148" s="634"/>
      <c r="H148" s="1385" t="s">
        <v>1010</v>
      </c>
      <c r="I148" s="1381">
        <v>100</v>
      </c>
      <c r="J148" s="1209">
        <f>(G142*I148)/I149</f>
        <v>12.375</v>
      </c>
      <c r="K148" s="517"/>
      <c r="L148" s="634"/>
      <c r="M148" s="634"/>
      <c r="N148" s="634"/>
      <c r="O148" s="634"/>
      <c r="P148" s="634"/>
      <c r="Q148" s="4717"/>
      <c r="R148" s="1344" t="str">
        <f>ADDRESS(ROW(S148),COLUMN(S148),4)</f>
        <v>S148</v>
      </c>
      <c r="S148" s="1270">
        <f>T143</f>
        <v>19.8</v>
      </c>
      <c r="T148" s="1259" t="s">
        <v>603</v>
      </c>
      <c r="U148" s="1271">
        <f>T141</f>
        <v>65</v>
      </c>
      <c r="V148" s="1261" t="s">
        <v>997</v>
      </c>
      <c r="W148" s="1272">
        <f>(S148*U148)/S149</f>
        <v>7.8</v>
      </c>
      <c r="X148" s="680" t="str">
        <f ca="1">_xlfn.FORMULATEXT(W148)</f>
        <v>=(S148*U148)/S149</v>
      </c>
      <c r="Y148" s="634"/>
      <c r="Z148" s="1334" t="s">
        <v>1055</v>
      </c>
      <c r="AA148" s="634"/>
      <c r="AB148" s="4717"/>
      <c r="AC148" s="1344" t="str">
        <f>ADDRESS(ROW(AD148),COLUMN(AD148),4)</f>
        <v>AD148</v>
      </c>
      <c r="AD148" s="1270">
        <f>AE143</f>
        <v>19.8</v>
      </c>
      <c r="AE148" s="1259" t="s">
        <v>603</v>
      </c>
      <c r="AF148" s="1271">
        <f>AE141</f>
        <v>60</v>
      </c>
      <c r="AG148" s="1261" t="s">
        <v>997</v>
      </c>
      <c r="AH148" s="1272">
        <f>(AD148*AF148)/AD149</f>
        <v>7.4249999999999998</v>
      </c>
      <c r="AI148" s="680" t="str">
        <f ca="1">_xlfn.FORMULATEXT(AH148)</f>
        <v>=(AD148*AF148)/AD149</v>
      </c>
      <c r="AJ148" s="634"/>
      <c r="AK148" s="1334" t="s">
        <v>1055</v>
      </c>
      <c r="AL148" s="634"/>
      <c r="AM148" s="4717"/>
      <c r="AN148" s="1344" t="str">
        <f>ADDRESS(ROW(AO148),COLUMN(AO148),4)</f>
        <v>AO148</v>
      </c>
      <c r="AO148" s="1270">
        <f>AP143</f>
        <v>19.8</v>
      </c>
      <c r="AP148" s="1259" t="s">
        <v>603</v>
      </c>
      <c r="AQ148" s="1271">
        <f>AP141</f>
        <v>57</v>
      </c>
      <c r="AR148" s="1261" t="s">
        <v>997</v>
      </c>
      <c r="AS148" s="1272">
        <f>(AO148*AQ148)/AO149</f>
        <v>7.1885350318471346</v>
      </c>
      <c r="AT148" s="680" t="str">
        <f ca="1">_xlfn.FORMULATEXT(AS148)</f>
        <v>=(AO148*AQ148)/AO149</v>
      </c>
      <c r="AU148" s="634"/>
      <c r="AV148" s="1334" t="s">
        <v>1055</v>
      </c>
    </row>
    <row r="149" spans="1:48" ht="15.75" customHeight="1">
      <c r="A149" s="4717"/>
      <c r="B149" s="633"/>
      <c r="C149" s="1346" t="s">
        <v>994</v>
      </c>
      <c r="D149" s="1343">
        <f>D148+D147</f>
        <v>165</v>
      </c>
      <c r="E149" s="1339">
        <f>E148+E147</f>
        <v>19.8</v>
      </c>
      <c r="F149" s="634"/>
      <c r="G149" s="634"/>
      <c r="H149" s="1346" t="s">
        <v>994</v>
      </c>
      <c r="I149" s="1343">
        <f>I148+I147</f>
        <v>160</v>
      </c>
      <c r="J149" s="1339">
        <f>J148+J147</f>
        <v>19.8</v>
      </c>
      <c r="K149" s="517"/>
      <c r="L149" s="634"/>
      <c r="M149" s="634"/>
      <c r="N149" s="634"/>
      <c r="O149" s="634"/>
      <c r="P149" s="634"/>
      <c r="Q149" s="4717"/>
      <c r="R149" s="1344" t="str">
        <f>ADDRESS(ROW(S149),COLUMN(S149),4)</f>
        <v>S149</v>
      </c>
      <c r="S149" s="5906">
        <f>W143</f>
        <v>165</v>
      </c>
      <c r="T149" s="5906"/>
      <c r="U149" s="5906"/>
      <c r="V149" s="1229"/>
      <c r="W149" s="1234"/>
      <c r="X149" s="1267"/>
      <c r="Y149" s="634"/>
      <c r="Z149" s="1334" t="s">
        <v>1055</v>
      </c>
      <c r="AA149" s="634"/>
      <c r="AB149" s="4717"/>
      <c r="AC149" s="1344" t="str">
        <f>ADDRESS(ROW(AD149),COLUMN(AD149),4)</f>
        <v>AD149</v>
      </c>
      <c r="AD149" s="5906">
        <f>AH143</f>
        <v>160</v>
      </c>
      <c r="AE149" s="5906"/>
      <c r="AF149" s="5906"/>
      <c r="AG149" s="1229"/>
      <c r="AH149" s="1234"/>
      <c r="AI149" s="1267"/>
      <c r="AJ149" s="634"/>
      <c r="AK149" s="1334" t="s">
        <v>1055</v>
      </c>
      <c r="AL149" s="634"/>
      <c r="AM149" s="4717"/>
      <c r="AN149" s="1344" t="str">
        <f>ADDRESS(ROW(AO149),COLUMN(AO149),4)</f>
        <v>AO149</v>
      </c>
      <c r="AO149" s="5906">
        <f>AS143</f>
        <v>157</v>
      </c>
      <c r="AP149" s="5906"/>
      <c r="AQ149" s="5906"/>
      <c r="AR149" s="1229"/>
      <c r="AS149" s="1234"/>
      <c r="AT149" s="1267"/>
      <c r="AU149" s="634"/>
      <c r="AV149" s="1334" t="s">
        <v>1055</v>
      </c>
    </row>
    <row r="150" spans="1:48">
      <c r="A150" s="4717"/>
      <c r="B150" s="633"/>
      <c r="C150" s="634"/>
      <c r="D150" s="634"/>
      <c r="E150" s="634"/>
      <c r="F150" s="634"/>
      <c r="G150" s="634"/>
      <c r="H150" s="634"/>
      <c r="I150" s="634"/>
      <c r="J150" s="634"/>
      <c r="K150" s="517"/>
      <c r="L150" s="634"/>
      <c r="M150" s="634"/>
      <c r="N150" s="634"/>
      <c r="O150" s="634"/>
      <c r="P150" s="634"/>
      <c r="Q150" s="4717"/>
      <c r="R150" s="1323"/>
      <c r="S150" s="1229"/>
      <c r="T150" s="1229"/>
      <c r="U150" s="1229"/>
      <c r="V150" s="1269"/>
      <c r="W150" s="1269"/>
      <c r="X150" s="816"/>
      <c r="Y150" s="634"/>
      <c r="Z150" s="1334" t="s">
        <v>1055</v>
      </c>
      <c r="AA150" s="634"/>
      <c r="AB150" s="4717"/>
      <c r="AC150" s="1323"/>
      <c r="AD150" s="1229"/>
      <c r="AE150" s="1229"/>
      <c r="AF150" s="1229"/>
      <c r="AG150" s="1269"/>
      <c r="AH150" s="1269"/>
      <c r="AI150" s="816"/>
      <c r="AJ150" s="634"/>
      <c r="AK150" s="1334" t="s">
        <v>1055</v>
      </c>
      <c r="AL150" s="634"/>
      <c r="AM150" s="4717"/>
      <c r="AN150" s="1323"/>
      <c r="AO150" s="1229"/>
      <c r="AP150" s="1229"/>
      <c r="AQ150" s="1229"/>
      <c r="AR150" s="1269"/>
      <c r="AS150" s="1269"/>
      <c r="AT150" s="816"/>
      <c r="AU150" s="634"/>
      <c r="AV150" s="1334" t="s">
        <v>1055</v>
      </c>
    </row>
    <row r="151" spans="1:48">
      <c r="A151" s="4717"/>
      <c r="B151" s="1197" t="s">
        <v>1061</v>
      </c>
      <c r="C151" s="1198"/>
      <c r="D151" s="1199"/>
      <c r="E151" s="1386"/>
      <c r="F151" s="1386"/>
      <c r="G151" s="1386"/>
      <c r="H151" s="1386"/>
      <c r="I151" s="1386"/>
      <c r="J151" s="1386"/>
      <c r="K151" s="1387"/>
      <c r="L151" s="634"/>
      <c r="M151" s="634"/>
      <c r="N151" s="634"/>
      <c r="O151" s="634"/>
      <c r="P151" s="634"/>
      <c r="Q151" s="4717"/>
      <c r="R151" s="656" t="s">
        <v>1052</v>
      </c>
      <c r="S151" s="1229"/>
      <c r="T151" s="1229"/>
      <c r="U151" s="1229"/>
      <c r="V151" s="1269"/>
      <c r="W151" s="1269"/>
      <c r="X151" s="816"/>
      <c r="Y151" s="634"/>
      <c r="Z151" s="1334" t="s">
        <v>1055</v>
      </c>
      <c r="AA151" s="634"/>
      <c r="AB151" s="4717"/>
      <c r="AC151" s="656" t="s">
        <v>1052</v>
      </c>
      <c r="AD151" s="1229"/>
      <c r="AE151" s="1229"/>
      <c r="AF151" s="1229"/>
      <c r="AG151" s="1269"/>
      <c r="AH151" s="1269"/>
      <c r="AI151" s="816"/>
      <c r="AJ151" s="634"/>
      <c r="AK151" s="1334" t="s">
        <v>1055</v>
      </c>
      <c r="AL151" s="634"/>
      <c r="AM151" s="4717"/>
      <c r="AN151" s="656" t="s">
        <v>1052</v>
      </c>
      <c r="AO151" s="1229"/>
      <c r="AP151" s="1229"/>
      <c r="AQ151" s="1229"/>
      <c r="AR151" s="1269"/>
      <c r="AS151" s="1269"/>
      <c r="AT151" s="816"/>
      <c r="AU151" s="634"/>
      <c r="AV151" s="1334" t="s">
        <v>1055</v>
      </c>
    </row>
    <row r="152" spans="1:48">
      <c r="A152" s="4717"/>
      <c r="B152" s="5915" t="s">
        <v>684</v>
      </c>
      <c r="C152" s="5916"/>
      <c r="D152" s="5916"/>
      <c r="E152" s="5916"/>
      <c r="F152" s="5916"/>
      <c r="G152" s="5916"/>
      <c r="H152" s="5916"/>
      <c r="I152" s="5916"/>
      <c r="J152" s="5916"/>
      <c r="K152" s="5917"/>
      <c r="L152" s="634"/>
      <c r="M152" s="634"/>
      <c r="N152" s="634"/>
      <c r="O152" s="634"/>
      <c r="P152" s="634"/>
      <c r="Q152" s="4717"/>
      <c r="R152" s="656" t="s">
        <v>1057</v>
      </c>
      <c r="S152" s="1229"/>
      <c r="T152" s="1229"/>
      <c r="U152" s="1229"/>
      <c r="V152" s="1269"/>
      <c r="W152" s="1269"/>
      <c r="X152" s="816"/>
      <c r="Y152" s="634"/>
      <c r="Z152" s="1334" t="s">
        <v>1055</v>
      </c>
      <c r="AA152" s="634"/>
      <c r="AB152" s="4717"/>
      <c r="AC152" s="656" t="s">
        <v>1057</v>
      </c>
      <c r="AD152" s="1229"/>
      <c r="AE152" s="1229"/>
      <c r="AF152" s="1229"/>
      <c r="AG152" s="1269"/>
      <c r="AH152" s="1269"/>
      <c r="AI152" s="816"/>
      <c r="AJ152" s="634"/>
      <c r="AK152" s="1334" t="s">
        <v>1055</v>
      </c>
      <c r="AL152" s="634"/>
      <c r="AM152" s="4717"/>
      <c r="AN152" s="656" t="s">
        <v>1057</v>
      </c>
      <c r="AO152" s="1229"/>
      <c r="AP152" s="1229"/>
      <c r="AQ152" s="1229"/>
      <c r="AR152" s="1269"/>
      <c r="AS152" s="1269"/>
      <c r="AT152" s="816"/>
      <c r="AU152" s="634"/>
      <c r="AV152" s="1334" t="s">
        <v>1055</v>
      </c>
    </row>
    <row r="153" spans="1:48">
      <c r="A153" s="4717"/>
      <c r="B153" s="1353"/>
      <c r="C153" s="1206"/>
      <c r="D153" s="1206"/>
      <c r="E153" s="1206"/>
      <c r="F153" s="1354"/>
      <c r="G153" s="1206"/>
      <c r="H153" s="1206"/>
      <c r="I153" s="1206"/>
      <c r="J153" s="634"/>
      <c r="K153" s="521"/>
      <c r="L153" s="634"/>
      <c r="M153" s="634"/>
      <c r="N153" s="634"/>
      <c r="O153" s="634"/>
      <c r="P153" s="634"/>
      <c r="Q153" s="4717"/>
      <c r="R153" s="656"/>
      <c r="S153" s="1229"/>
      <c r="T153" s="1229"/>
      <c r="U153" s="1229"/>
      <c r="V153" s="1269"/>
      <c r="W153" s="1269"/>
      <c r="X153" s="816"/>
      <c r="Y153" s="1320" t="s">
        <v>1058</v>
      </c>
      <c r="Z153" s="1334" t="s">
        <v>1055</v>
      </c>
      <c r="AA153" s="634"/>
      <c r="AB153" s="4717"/>
      <c r="AC153" s="656"/>
      <c r="AD153" s="1229"/>
      <c r="AE153" s="1229"/>
      <c r="AF153" s="1229"/>
      <c r="AG153" s="1269"/>
      <c r="AH153" s="1269"/>
      <c r="AI153" s="816"/>
      <c r="AJ153" s="1320" t="s">
        <v>1058</v>
      </c>
      <c r="AK153" s="1334" t="s">
        <v>1055</v>
      </c>
      <c r="AL153" s="634"/>
      <c r="AM153" s="4717"/>
      <c r="AN153" s="656"/>
      <c r="AO153" s="1229"/>
      <c r="AP153" s="1229"/>
      <c r="AQ153" s="1229"/>
      <c r="AR153" s="1269"/>
      <c r="AS153" s="1269"/>
      <c r="AT153" s="816"/>
      <c r="AU153" s="1320" t="s">
        <v>1058</v>
      </c>
      <c r="AV153" s="1334" t="s">
        <v>1055</v>
      </c>
    </row>
    <row r="154" spans="1:48">
      <c r="A154" s="4717"/>
      <c r="B154" s="1355"/>
      <c r="C154" s="1356"/>
      <c r="D154" s="1356" t="s">
        <v>1009</v>
      </c>
      <c r="E154" s="1357">
        <v>60</v>
      </c>
      <c r="F154" s="517"/>
      <c r="G154" s="1358"/>
      <c r="H154" s="1359"/>
      <c r="I154" s="1359" t="s">
        <v>1009</v>
      </c>
      <c r="J154" s="1360">
        <f>I145</f>
        <v>60</v>
      </c>
      <c r="K154" s="1361"/>
      <c r="L154" s="634"/>
      <c r="M154" s="634"/>
      <c r="N154" s="634"/>
      <c r="O154" s="634"/>
      <c r="P154" s="634"/>
      <c r="Q154" s="4717"/>
      <c r="R154" s="656" t="s">
        <v>1048</v>
      </c>
      <c r="S154" s="1229"/>
      <c r="T154" s="1229"/>
      <c r="U154" s="1229"/>
      <c r="V154" s="1269"/>
      <c r="W154" s="1269"/>
      <c r="X154" s="816"/>
      <c r="Y154" s="1229"/>
      <c r="Z154" s="521"/>
      <c r="AA154" s="634"/>
      <c r="AB154" s="4717"/>
      <c r="AC154" s="656" t="s">
        <v>1048</v>
      </c>
      <c r="AD154" s="1229"/>
      <c r="AE154" s="1229"/>
      <c r="AF154" s="1229"/>
      <c r="AG154" s="1269"/>
      <c r="AH154" s="1269"/>
      <c r="AI154" s="816"/>
      <c r="AJ154" s="1229"/>
      <c r="AK154" s="521"/>
      <c r="AL154" s="634"/>
      <c r="AM154" s="4717"/>
      <c r="AN154" s="656" t="s">
        <v>1048</v>
      </c>
      <c r="AO154" s="1229"/>
      <c r="AP154" s="1229"/>
      <c r="AQ154" s="1229"/>
      <c r="AR154" s="1269"/>
      <c r="AS154" s="1269"/>
      <c r="AT154" s="816"/>
      <c r="AU154" s="1229"/>
      <c r="AV154" s="521"/>
    </row>
    <row r="155" spans="1:48" ht="15.75" customHeight="1">
      <c r="A155" s="4717"/>
      <c r="B155" s="1363" t="s">
        <v>1059</v>
      </c>
      <c r="C155" s="1206"/>
      <c r="D155" s="634"/>
      <c r="E155" s="1347"/>
      <c r="F155" s="517"/>
      <c r="G155" s="1364" t="s">
        <v>1059</v>
      </c>
      <c r="H155" s="1206"/>
      <c r="I155" s="634"/>
      <c r="J155" s="634"/>
      <c r="K155" s="1365"/>
      <c r="L155" s="634"/>
      <c r="M155" s="634"/>
      <c r="N155" s="634"/>
      <c r="O155" s="634"/>
      <c r="P155" s="634"/>
      <c r="Q155" s="4717"/>
      <c r="R155" s="656" t="s">
        <v>1049</v>
      </c>
      <c r="S155" s="1229"/>
      <c r="T155" s="1229"/>
      <c r="U155" s="1229"/>
      <c r="V155" s="1269"/>
      <c r="W155" s="1269"/>
      <c r="X155" s="816"/>
      <c r="Y155" s="1229"/>
      <c r="Z155" s="517"/>
      <c r="AA155" s="634"/>
      <c r="AB155" s="4717"/>
      <c r="AC155" s="656" t="s">
        <v>1049</v>
      </c>
      <c r="AD155" s="1229"/>
      <c r="AE155" s="1229"/>
      <c r="AF155" s="1229"/>
      <c r="AG155" s="1269"/>
      <c r="AH155" s="1269"/>
      <c r="AI155" s="816"/>
      <c r="AJ155" s="1229"/>
      <c r="AK155" s="517"/>
      <c r="AL155" s="634"/>
      <c r="AM155" s="4717"/>
      <c r="AN155" s="656" t="s">
        <v>1049</v>
      </c>
      <c r="AO155" s="1229"/>
      <c r="AP155" s="1229"/>
      <c r="AQ155" s="1229"/>
      <c r="AR155" s="1269"/>
      <c r="AS155" s="1269"/>
      <c r="AT155" s="816"/>
      <c r="AU155" s="1229"/>
      <c r="AV155" s="517"/>
    </row>
    <row r="156" spans="1:48" ht="15.75" customHeight="1">
      <c r="A156" s="4717"/>
      <c r="B156" s="1344" t="str">
        <f>ADDRESS(ROW(B157),COLUMN(B157),4)</f>
        <v>B157</v>
      </c>
      <c r="C156" s="1206"/>
      <c r="D156" s="1253" t="str">
        <f>ADDRESS(ROW(D157),COLUMN(D157),4)</f>
        <v>D157</v>
      </c>
      <c r="E156" s="1347" t="s">
        <v>1012</v>
      </c>
      <c r="F156" s="517"/>
      <c r="G156" s="1253" t="str">
        <f>ADDRESS(ROW(G157),COLUMN(G157),4)</f>
        <v>G157</v>
      </c>
      <c r="H156" s="1206"/>
      <c r="I156" s="1253" t="str">
        <f>ADDRESS(ROW(I157),COLUMN(I157),4)</f>
        <v>I157</v>
      </c>
      <c r="J156" s="1347" t="s">
        <v>995</v>
      </c>
      <c r="K156" s="517"/>
      <c r="L156" s="634"/>
      <c r="M156" s="634"/>
      <c r="N156" s="634"/>
      <c r="O156" s="634"/>
      <c r="P156" s="634"/>
      <c r="Q156" s="4717"/>
      <c r="R156" s="5919" t="s">
        <v>998</v>
      </c>
      <c r="S156" s="5920"/>
      <c r="T156" s="5920"/>
      <c r="U156" s="5920"/>
      <c r="V156" s="5920"/>
      <c r="W156" s="5920"/>
      <c r="X156" s="5920"/>
      <c r="Y156" s="5920"/>
      <c r="Z156" s="5921"/>
      <c r="AA156" s="634"/>
      <c r="AB156" s="4717"/>
      <c r="AC156" s="5919" t="s">
        <v>998</v>
      </c>
      <c r="AD156" s="5920"/>
      <c r="AE156" s="5920"/>
      <c r="AF156" s="5920"/>
      <c r="AG156" s="5920"/>
      <c r="AH156" s="5920"/>
      <c r="AI156" s="5920"/>
      <c r="AJ156" s="5920"/>
      <c r="AK156" s="5921"/>
      <c r="AL156" s="634"/>
      <c r="AM156" s="4717"/>
      <c r="AN156" s="5909" t="s">
        <v>998</v>
      </c>
      <c r="AO156" s="5910"/>
      <c r="AP156" s="5910"/>
      <c r="AQ156" s="5910"/>
      <c r="AR156" s="5910"/>
      <c r="AS156" s="5910"/>
      <c r="AT156" s="5910"/>
      <c r="AU156" s="5910"/>
      <c r="AV156" s="5911"/>
    </row>
    <row r="157" spans="1:48" ht="16.5" thickBot="1">
      <c r="A157" s="4717"/>
      <c r="B157" s="1366">
        <f>G142</f>
        <v>19.8</v>
      </c>
      <c r="C157" s="1367" t="s">
        <v>603</v>
      </c>
      <c r="D157" s="1208">
        <f>D148</f>
        <v>100</v>
      </c>
      <c r="E157" s="1270">
        <f>(B157*D157)/B158</f>
        <v>12</v>
      </c>
      <c r="F157" s="517"/>
      <c r="G157" s="1368">
        <f>G142</f>
        <v>19.8</v>
      </c>
      <c r="H157" s="1367" t="s">
        <v>603</v>
      </c>
      <c r="I157" s="1208">
        <f>I148</f>
        <v>100</v>
      </c>
      <c r="J157" s="1270">
        <f>(G157*I157)/G158</f>
        <v>12.375</v>
      </c>
      <c r="K157" s="517"/>
      <c r="L157" s="634"/>
      <c r="M157" s="634"/>
      <c r="N157" s="634"/>
      <c r="O157" s="634"/>
      <c r="P157" s="634"/>
      <c r="Q157" s="4717"/>
      <c r="R157" s="5800" t="s">
        <v>999</v>
      </c>
      <c r="S157" s="5801"/>
      <c r="T157" s="5801"/>
      <c r="U157" s="5801"/>
      <c r="V157" s="5801"/>
      <c r="W157" s="5801"/>
      <c r="X157" s="5801"/>
      <c r="Y157" s="5801"/>
      <c r="Z157" s="5802"/>
      <c r="AA157" s="634"/>
      <c r="AB157" s="4717"/>
      <c r="AC157" s="5800" t="s">
        <v>999</v>
      </c>
      <c r="AD157" s="5801"/>
      <c r="AE157" s="5801"/>
      <c r="AF157" s="5801"/>
      <c r="AG157" s="5801"/>
      <c r="AH157" s="5801"/>
      <c r="AI157" s="5801"/>
      <c r="AJ157" s="5801"/>
      <c r="AK157" s="5802"/>
      <c r="AL157" s="634"/>
      <c r="AM157" s="4717"/>
      <c r="AN157" s="5800" t="s">
        <v>999</v>
      </c>
      <c r="AO157" s="5801"/>
      <c r="AP157" s="5801"/>
      <c r="AQ157" s="5801"/>
      <c r="AR157" s="5801"/>
      <c r="AS157" s="5801"/>
      <c r="AT157" s="5801"/>
      <c r="AU157" s="5801"/>
      <c r="AV157" s="5802"/>
    </row>
    <row r="158" spans="1:48" ht="18.75">
      <c r="A158" s="4717"/>
      <c r="B158" s="5926">
        <f>D149</f>
        <v>165</v>
      </c>
      <c r="C158" s="5927"/>
      <c r="D158" s="1369" t="s">
        <v>997</v>
      </c>
      <c r="E158" s="680" t="str">
        <f ca="1">_xlfn.FORMULATEXT(E157)</f>
        <v>=(B157*D157)/B158</v>
      </c>
      <c r="F158" s="517"/>
      <c r="G158" s="5928">
        <f>I149</f>
        <v>160</v>
      </c>
      <c r="H158" s="5928"/>
      <c r="I158" s="1369" t="s">
        <v>997</v>
      </c>
      <c r="J158" s="680" t="str">
        <f ca="1">_xlfn.FORMULATEXT(J157)</f>
        <v>=(G157*I157)/G158</v>
      </c>
      <c r="K158" s="517"/>
      <c r="L158" s="634"/>
      <c r="M158" s="634"/>
      <c r="N158" s="634"/>
      <c r="O158" s="634"/>
      <c r="P158" s="634"/>
      <c r="Q158" s="4717"/>
      <c r="R158" s="5815" t="s">
        <v>990</v>
      </c>
      <c r="S158" s="5803" t="s">
        <v>1000</v>
      </c>
      <c r="T158" s="5803"/>
      <c r="U158" s="5803"/>
      <c r="V158" s="5803"/>
      <c r="W158" s="5803"/>
      <c r="X158" s="5803"/>
      <c r="Y158" s="5803"/>
      <c r="Z158" s="517"/>
      <c r="AA158" s="634"/>
      <c r="AB158" s="4717"/>
      <c r="AC158" s="5815" t="s">
        <v>990</v>
      </c>
      <c r="AD158" s="5803" t="s">
        <v>1000</v>
      </c>
      <c r="AE158" s="5803"/>
      <c r="AF158" s="5803"/>
      <c r="AG158" s="5803"/>
      <c r="AH158" s="5803"/>
      <c r="AI158" s="5803"/>
      <c r="AJ158" s="5803"/>
      <c r="AK158" s="517"/>
      <c r="AL158" s="634"/>
      <c r="AM158" s="4717"/>
      <c r="AN158" s="5815" t="s">
        <v>990</v>
      </c>
      <c r="AO158" s="5803" t="s">
        <v>1000</v>
      </c>
      <c r="AP158" s="5803"/>
      <c r="AQ158" s="5803"/>
      <c r="AR158" s="5803"/>
      <c r="AS158" s="5803"/>
      <c r="AT158" s="5803"/>
      <c r="AU158" s="5803"/>
      <c r="AV158" s="517"/>
    </row>
    <row r="159" spans="1:48" ht="16.5" customHeight="1">
      <c r="A159" s="4717"/>
      <c r="B159" s="633"/>
      <c r="C159" s="1253" t="str">
        <f>ADDRESS(ROW(B158),COLUMN(B158),4)</f>
        <v>B158</v>
      </c>
      <c r="D159" s="634"/>
      <c r="E159" s="1350"/>
      <c r="F159" s="517"/>
      <c r="G159" s="634"/>
      <c r="H159" s="1253" t="str">
        <f>ADDRESS(ROW(G158),COLUMN(G158),4)</f>
        <v>G158</v>
      </c>
      <c r="I159" s="634"/>
      <c r="J159" s="634"/>
      <c r="K159" s="1361"/>
      <c r="L159" s="634"/>
      <c r="M159" s="634"/>
      <c r="N159" s="634"/>
      <c r="O159" s="634"/>
      <c r="P159" s="634"/>
      <c r="Q159" s="4717"/>
      <c r="R159" s="5815"/>
      <c r="S159" s="5805" t="s">
        <v>1001</v>
      </c>
      <c r="T159" s="5805"/>
      <c r="U159" s="5805"/>
      <c r="V159" s="5805"/>
      <c r="W159" s="5805"/>
      <c r="X159" s="5805"/>
      <c r="Y159" s="5805"/>
      <c r="Z159" s="517"/>
      <c r="AA159" s="634"/>
      <c r="AB159" s="4717"/>
      <c r="AC159" s="5815"/>
      <c r="AD159" s="5805" t="s">
        <v>1001</v>
      </c>
      <c r="AE159" s="5805"/>
      <c r="AF159" s="5805"/>
      <c r="AG159" s="5805"/>
      <c r="AH159" s="5805"/>
      <c r="AI159" s="5805"/>
      <c r="AJ159" s="5805"/>
      <c r="AK159" s="517"/>
      <c r="AL159" s="634"/>
      <c r="AM159" s="4717"/>
      <c r="AN159" s="5815"/>
      <c r="AO159" s="5805" t="s">
        <v>1001</v>
      </c>
      <c r="AP159" s="5805"/>
      <c r="AQ159" s="5805"/>
      <c r="AR159" s="5805"/>
      <c r="AS159" s="5805"/>
      <c r="AT159" s="5805"/>
      <c r="AU159" s="5805"/>
      <c r="AV159" s="517"/>
    </row>
    <row r="160" spans="1:48" ht="16.5" thickBot="1">
      <c r="A160" s="4717"/>
      <c r="B160" s="1351"/>
      <c r="C160" s="1012"/>
      <c r="D160" s="1012"/>
      <c r="E160" s="1012"/>
      <c r="F160" s="1371"/>
      <c r="G160" s="1352"/>
      <c r="H160" s="1012"/>
      <c r="I160" s="1012"/>
      <c r="J160" s="1012"/>
      <c r="K160" s="1194"/>
      <c r="L160" s="634"/>
      <c r="M160" s="634"/>
      <c r="N160" s="634"/>
      <c r="O160" s="634"/>
      <c r="P160" s="634"/>
      <c r="Q160" s="4717"/>
      <c r="R160" s="1372" t="s">
        <v>1002</v>
      </c>
      <c r="S160" s="1373"/>
      <c r="T160" s="1373"/>
      <c r="U160" s="1373"/>
      <c r="V160" s="1373"/>
      <c r="W160" s="1373"/>
      <c r="X160" s="1373"/>
      <c r="Y160" s="1373"/>
      <c r="Z160" s="1374"/>
      <c r="AA160" s="634"/>
      <c r="AB160" s="4717"/>
      <c r="AC160" s="1372" t="s">
        <v>1002</v>
      </c>
      <c r="AD160" s="1373"/>
      <c r="AE160" s="1373"/>
      <c r="AF160" s="1373"/>
      <c r="AG160" s="1373"/>
      <c r="AH160" s="1373"/>
      <c r="AI160" s="1373"/>
      <c r="AJ160" s="1373"/>
      <c r="AK160" s="1374"/>
      <c r="AL160" s="634"/>
      <c r="AM160" s="4717"/>
      <c r="AN160" s="1372" t="s">
        <v>1002</v>
      </c>
      <c r="AO160" s="1373"/>
      <c r="AP160" s="1373"/>
      <c r="AQ160" s="1373"/>
      <c r="AR160" s="1373"/>
      <c r="AS160" s="1373"/>
      <c r="AT160" s="1373"/>
      <c r="AU160" s="1373"/>
      <c r="AV160" s="1374"/>
    </row>
    <row r="161" spans="1:48">
      <c r="A161" s="4717"/>
      <c r="B161" s="633"/>
      <c r="C161" s="634"/>
      <c r="D161" s="634"/>
      <c r="E161" s="634"/>
      <c r="F161" s="634"/>
      <c r="G161" s="1350"/>
      <c r="H161" s="1350"/>
      <c r="I161" s="634"/>
      <c r="J161" s="634"/>
      <c r="K161" s="517"/>
      <c r="L161" s="634"/>
      <c r="M161" s="634"/>
      <c r="N161" s="634"/>
      <c r="O161" s="634"/>
      <c r="P161" s="634"/>
      <c r="Q161" s="634"/>
      <c r="R161" s="634"/>
      <c r="S161" s="634"/>
      <c r="T161" s="634"/>
      <c r="U161" s="634"/>
      <c r="V161" s="634"/>
      <c r="W161" s="634"/>
      <c r="X161" s="634"/>
      <c r="Y161" s="634"/>
      <c r="Z161" s="634"/>
      <c r="AA161" s="634"/>
      <c r="AB161" s="634"/>
      <c r="AC161" s="634"/>
      <c r="AD161" s="634"/>
      <c r="AE161" s="634"/>
      <c r="AF161" s="634"/>
      <c r="AG161" s="634"/>
      <c r="AH161" s="634"/>
      <c r="AI161" s="634"/>
      <c r="AJ161" s="634"/>
      <c r="AK161" s="634"/>
      <c r="AL161" s="634"/>
      <c r="AM161" s="634"/>
      <c r="AN161" s="634"/>
      <c r="AO161" s="634"/>
      <c r="AP161" s="634"/>
      <c r="AQ161" s="634"/>
      <c r="AR161" s="634"/>
      <c r="AS161" s="634"/>
      <c r="AT161" s="634"/>
      <c r="AU161" s="634"/>
      <c r="AV161" s="634"/>
    </row>
    <row r="162" spans="1:48" ht="15.75" customHeight="1">
      <c r="A162" s="4717"/>
      <c r="B162" s="633"/>
      <c r="C162" s="1347"/>
      <c r="D162" s="634"/>
      <c r="E162" s="634"/>
      <c r="F162" s="1348" t="s">
        <v>1062</v>
      </c>
      <c r="G162" s="1349">
        <f>IF(E148&gt;J148,E148-J148,J148-E148)</f>
        <v>0.375</v>
      </c>
      <c r="H162" s="1350"/>
      <c r="I162" s="634"/>
      <c r="J162" s="634"/>
      <c r="K162" s="517"/>
      <c r="L162" s="634"/>
      <c r="M162" s="634"/>
      <c r="N162" s="634"/>
      <c r="O162" s="634"/>
      <c r="P162" s="634"/>
      <c r="AA162" s="634"/>
      <c r="AB162" s="634"/>
      <c r="AC162" s="634"/>
      <c r="AD162" s="634"/>
      <c r="AE162" s="634"/>
      <c r="AF162" s="634"/>
      <c r="AG162" s="634"/>
      <c r="AH162" s="634"/>
      <c r="AI162" s="634"/>
      <c r="AJ162" s="634"/>
      <c r="AK162" s="634"/>
      <c r="AL162" s="634"/>
      <c r="AM162" s="634"/>
      <c r="AN162" s="634"/>
      <c r="AO162" s="634"/>
      <c r="AP162" s="634"/>
      <c r="AQ162" s="634"/>
      <c r="AR162" s="634"/>
      <c r="AS162" s="634"/>
      <c r="AT162" s="634"/>
      <c r="AU162" s="634"/>
      <c r="AV162" s="634"/>
    </row>
    <row r="163" spans="1:48" ht="15.75" customHeight="1">
      <c r="A163" s="4717"/>
      <c r="B163" s="633"/>
      <c r="C163" s="634"/>
      <c r="D163" s="634"/>
      <c r="E163" s="634"/>
      <c r="F163" s="634"/>
      <c r="G163" s="1350"/>
      <c r="H163" s="1350"/>
      <c r="I163" s="634"/>
      <c r="J163" s="634"/>
      <c r="K163" s="517"/>
      <c r="L163" s="634"/>
      <c r="M163" s="634"/>
      <c r="N163" s="634"/>
      <c r="O163" s="634"/>
      <c r="P163" s="634"/>
      <c r="AA163" s="634"/>
      <c r="AB163" s="634"/>
      <c r="AC163" s="634"/>
      <c r="AD163" s="634"/>
      <c r="AE163" s="634"/>
      <c r="AF163" s="634"/>
      <c r="AG163" s="634"/>
      <c r="AH163" s="634"/>
      <c r="AI163" s="634"/>
      <c r="AJ163" s="634"/>
      <c r="AK163" s="634"/>
      <c r="AL163" s="634"/>
      <c r="AM163" s="634"/>
      <c r="AN163" s="634"/>
      <c r="AO163" s="634"/>
      <c r="AP163" s="634"/>
      <c r="AQ163" s="634"/>
      <c r="AR163" s="634"/>
      <c r="AS163" s="634"/>
      <c r="AT163" s="634"/>
      <c r="AU163" s="634"/>
      <c r="AV163" s="634"/>
    </row>
    <row r="164" spans="1:48">
      <c r="A164" s="4717"/>
      <c r="B164" s="1375" t="s">
        <v>1048</v>
      </c>
      <c r="C164" s="1315"/>
      <c r="D164" s="1315"/>
      <c r="E164" s="1315"/>
      <c r="F164" s="1315"/>
      <c r="G164" s="1376"/>
      <c r="H164" s="1376"/>
      <c r="I164" s="1315"/>
      <c r="J164" s="1315"/>
      <c r="K164" s="1377"/>
      <c r="L164" s="634"/>
      <c r="M164" s="634"/>
      <c r="N164" s="634"/>
      <c r="O164" s="634"/>
      <c r="P164" s="634"/>
      <c r="AA164" s="634"/>
      <c r="AB164" s="634"/>
      <c r="AC164" s="634"/>
      <c r="AD164" s="634"/>
      <c r="AE164" s="634"/>
      <c r="AF164" s="634"/>
      <c r="AG164" s="634"/>
      <c r="AH164" s="634"/>
      <c r="AI164" s="634"/>
      <c r="AJ164" s="634"/>
      <c r="AK164" s="634"/>
      <c r="AL164" s="634"/>
      <c r="AM164" s="634"/>
      <c r="AN164" s="634"/>
      <c r="AO164" s="634"/>
      <c r="AP164" s="634"/>
      <c r="AQ164" s="634"/>
      <c r="AR164" s="634"/>
      <c r="AS164" s="634"/>
      <c r="AT164" s="634"/>
      <c r="AU164" s="634"/>
      <c r="AV164" s="634"/>
    </row>
    <row r="165" spans="1:48">
      <c r="A165" s="4717"/>
      <c r="B165" s="656" t="s">
        <v>1049</v>
      </c>
      <c r="C165" s="1362"/>
      <c r="D165" s="634"/>
      <c r="E165" s="634"/>
      <c r="F165" s="634"/>
      <c r="G165" s="634"/>
      <c r="H165" s="634"/>
      <c r="I165" s="634"/>
      <c r="J165" s="634"/>
      <c r="K165" s="517"/>
      <c r="L165" s="634"/>
      <c r="M165" s="634"/>
      <c r="N165" s="634"/>
      <c r="O165" s="634"/>
      <c r="P165" s="634"/>
      <c r="AA165" s="634"/>
      <c r="AB165" s="634"/>
      <c r="AC165" s="634"/>
      <c r="AD165" s="634"/>
      <c r="AE165" s="634"/>
      <c r="AF165" s="634"/>
      <c r="AG165" s="634"/>
      <c r="AH165" s="634"/>
      <c r="AI165" s="634"/>
      <c r="AJ165" s="634"/>
      <c r="AK165" s="634"/>
      <c r="AL165" s="634"/>
      <c r="AM165" s="634"/>
      <c r="AN165" s="634"/>
      <c r="AO165" s="634"/>
      <c r="AP165" s="634"/>
      <c r="AQ165" s="634"/>
      <c r="AR165" s="634"/>
      <c r="AS165" s="634"/>
      <c r="AT165" s="634"/>
      <c r="AU165" s="634"/>
      <c r="AV165" s="634"/>
    </row>
    <row r="166" spans="1:48">
      <c r="A166" s="4717"/>
      <c r="B166" s="5902" t="s">
        <v>998</v>
      </c>
      <c r="C166" s="5903"/>
      <c r="D166" s="5903"/>
      <c r="E166" s="5903"/>
      <c r="F166" s="5903"/>
      <c r="G166" s="5903"/>
      <c r="H166" s="5903"/>
      <c r="I166" s="5903"/>
      <c r="J166" s="5903"/>
      <c r="K166" s="5904"/>
      <c r="L166" s="634"/>
      <c r="M166" s="634"/>
      <c r="N166" s="634"/>
      <c r="O166" s="634"/>
      <c r="P166" s="634"/>
      <c r="AA166" s="634"/>
      <c r="AB166" s="634"/>
      <c r="AC166" s="634"/>
      <c r="AD166" s="634"/>
      <c r="AE166" s="634"/>
      <c r="AF166" s="634"/>
      <c r="AG166" s="634"/>
      <c r="AH166" s="634"/>
      <c r="AI166" s="634"/>
      <c r="AJ166" s="634"/>
      <c r="AK166" s="634"/>
      <c r="AL166" s="634"/>
      <c r="AM166" s="634"/>
      <c r="AN166" s="634"/>
      <c r="AO166" s="634"/>
      <c r="AP166" s="634"/>
      <c r="AQ166" s="634"/>
      <c r="AR166" s="634"/>
      <c r="AS166" s="634"/>
      <c r="AT166" s="634"/>
      <c r="AU166" s="634"/>
      <c r="AV166" s="634"/>
    </row>
    <row r="167" spans="1:48">
      <c r="A167" s="4717"/>
      <c r="B167" s="5905" t="s">
        <v>999</v>
      </c>
      <c r="C167" s="5857"/>
      <c r="D167" s="5857"/>
      <c r="E167" s="5857"/>
      <c r="F167" s="5857"/>
      <c r="G167" s="5857"/>
      <c r="H167" s="5857"/>
      <c r="I167" s="5857"/>
      <c r="J167" s="5857"/>
      <c r="K167" s="517"/>
      <c r="L167" s="634"/>
      <c r="M167" s="634"/>
      <c r="N167" s="634"/>
      <c r="O167" s="634"/>
      <c r="P167" s="634"/>
      <c r="AA167" s="634"/>
      <c r="AB167" s="634"/>
      <c r="AC167" s="634"/>
      <c r="AD167" s="634"/>
      <c r="AE167" s="634"/>
      <c r="AF167" s="634"/>
      <c r="AG167" s="634"/>
      <c r="AH167" s="634"/>
      <c r="AI167" s="634"/>
      <c r="AJ167" s="634"/>
      <c r="AK167" s="634"/>
      <c r="AL167" s="634"/>
      <c r="AM167" s="634"/>
      <c r="AN167" s="634"/>
      <c r="AO167" s="634"/>
      <c r="AP167" s="634"/>
      <c r="AQ167" s="634"/>
      <c r="AR167" s="634"/>
      <c r="AS167" s="634"/>
      <c r="AT167" s="634"/>
      <c r="AU167" s="634"/>
      <c r="AV167" s="634"/>
    </row>
    <row r="168" spans="1:48">
      <c r="A168" s="4717"/>
      <c r="B168" s="5815" t="s">
        <v>990</v>
      </c>
      <c r="C168" s="5803" t="s">
        <v>1000</v>
      </c>
      <c r="D168" s="5803"/>
      <c r="E168" s="5803"/>
      <c r="F168" s="5803"/>
      <c r="G168" s="5803"/>
      <c r="H168" s="5803"/>
      <c r="I168" s="5803"/>
      <c r="J168" s="634"/>
      <c r="K168" s="517"/>
      <c r="L168" s="634"/>
      <c r="M168" s="634"/>
      <c r="N168" s="634"/>
      <c r="O168" s="634"/>
      <c r="P168" s="634"/>
      <c r="AA168" s="634"/>
      <c r="AB168" s="634"/>
      <c r="AC168" s="634"/>
      <c r="AD168" s="634"/>
      <c r="AE168" s="634"/>
      <c r="AF168" s="634"/>
      <c r="AG168" s="634"/>
      <c r="AH168" s="634"/>
      <c r="AI168" s="634"/>
      <c r="AJ168" s="634"/>
      <c r="AK168" s="634"/>
      <c r="AL168" s="634"/>
      <c r="AM168" s="634"/>
      <c r="AN168" s="634"/>
      <c r="AO168" s="634"/>
      <c r="AP168" s="634"/>
      <c r="AQ168" s="634"/>
      <c r="AR168" s="634"/>
      <c r="AS168" s="634"/>
      <c r="AT168" s="634"/>
      <c r="AU168" s="634"/>
      <c r="AV168" s="634"/>
    </row>
    <row r="169" spans="1:48" ht="15.75" customHeight="1">
      <c r="A169" s="4717"/>
      <c r="B169" s="5815"/>
      <c r="C169" s="5805" t="s">
        <v>1001</v>
      </c>
      <c r="D169" s="5805"/>
      <c r="E169" s="5805"/>
      <c r="F169" s="5805"/>
      <c r="G169" s="5805"/>
      <c r="H169" s="5805"/>
      <c r="I169" s="5805"/>
      <c r="J169" s="634"/>
      <c r="K169" s="517"/>
      <c r="L169" s="634"/>
      <c r="M169" s="634"/>
      <c r="N169" s="634"/>
      <c r="O169" s="634"/>
      <c r="P169" s="634"/>
      <c r="AA169" s="634"/>
      <c r="AB169" s="634"/>
      <c r="AC169" s="634"/>
      <c r="AD169" s="634"/>
      <c r="AE169" s="634"/>
      <c r="AF169" s="634"/>
      <c r="AG169" s="634"/>
      <c r="AH169" s="634"/>
      <c r="AI169" s="634"/>
      <c r="AJ169" s="634"/>
      <c r="AK169" s="634"/>
      <c r="AL169" s="634"/>
      <c r="AM169" s="634"/>
      <c r="AN169" s="634"/>
      <c r="AO169" s="634"/>
      <c r="AP169" s="634"/>
      <c r="AQ169" s="634"/>
      <c r="AR169" s="634"/>
      <c r="AS169" s="634"/>
      <c r="AT169" s="634"/>
      <c r="AU169" s="634"/>
      <c r="AV169" s="634"/>
    </row>
    <row r="170" spans="1:48" ht="15.75" customHeight="1" thickBot="1">
      <c r="A170" s="4717"/>
      <c r="B170" s="1370" t="s">
        <v>1002</v>
      </c>
      <c r="C170" s="580"/>
      <c r="D170" s="580"/>
      <c r="E170" s="580"/>
      <c r="F170" s="580"/>
      <c r="G170" s="580"/>
      <c r="H170" s="580"/>
      <c r="I170" s="580"/>
      <c r="J170" s="580"/>
      <c r="K170" s="581"/>
      <c r="L170" s="634"/>
      <c r="M170" s="634"/>
      <c r="N170" s="634"/>
      <c r="O170" s="634"/>
      <c r="P170" s="634"/>
      <c r="AA170" s="634"/>
      <c r="AB170" s="634"/>
      <c r="AC170" s="634"/>
      <c r="AD170" s="634"/>
      <c r="AE170" s="634"/>
      <c r="AF170" s="634"/>
      <c r="AG170" s="634"/>
      <c r="AH170" s="634"/>
      <c r="AI170" s="634"/>
      <c r="AJ170" s="634"/>
      <c r="AK170" s="634"/>
      <c r="AL170" s="634"/>
      <c r="AM170" s="634"/>
      <c r="AN170" s="634"/>
      <c r="AO170" s="634"/>
      <c r="AP170" s="634"/>
      <c r="AQ170" s="634"/>
      <c r="AR170" s="634"/>
      <c r="AS170" s="634"/>
      <c r="AT170" s="634"/>
      <c r="AU170" s="634"/>
      <c r="AV170" s="634"/>
    </row>
    <row r="171" spans="1:48" ht="15.75" customHeight="1">
      <c r="A171" s="634"/>
      <c r="B171" s="634"/>
      <c r="C171" s="634"/>
      <c r="D171" s="634"/>
      <c r="E171" s="634"/>
      <c r="F171" s="634"/>
      <c r="G171" s="634"/>
      <c r="H171" s="634"/>
      <c r="I171" s="634"/>
      <c r="J171" s="634"/>
      <c r="K171" s="634"/>
      <c r="L171" s="634"/>
      <c r="M171" s="634"/>
      <c r="N171" s="634"/>
      <c r="O171" s="634"/>
      <c r="P171" s="634"/>
      <c r="AA171" s="634"/>
      <c r="AB171" s="634"/>
      <c r="AC171" s="634"/>
      <c r="AD171" s="634"/>
      <c r="AE171" s="634"/>
      <c r="AF171" s="634"/>
      <c r="AG171" s="634"/>
      <c r="AH171" s="634"/>
      <c r="AI171" s="634"/>
      <c r="AJ171" s="634"/>
      <c r="AK171" s="634"/>
      <c r="AL171" s="634"/>
      <c r="AM171" s="634"/>
      <c r="AN171" s="634"/>
      <c r="AO171" s="634"/>
      <c r="AP171" s="634"/>
      <c r="AQ171" s="634"/>
      <c r="AR171" s="634"/>
      <c r="AS171" s="634"/>
      <c r="AT171" s="634"/>
      <c r="AU171" s="634"/>
      <c r="AV171" s="634"/>
    </row>
    <row r="172" spans="1:48">
      <c r="A172" s="634"/>
      <c r="B172" s="634"/>
      <c r="C172" s="634"/>
      <c r="D172" s="634"/>
      <c r="E172" s="634"/>
      <c r="F172" s="634"/>
      <c r="G172" s="634"/>
      <c r="H172" s="634"/>
      <c r="I172" s="634"/>
      <c r="J172" s="634"/>
      <c r="K172" s="634"/>
      <c r="L172" s="634"/>
      <c r="M172" s="634"/>
      <c r="N172" s="634"/>
      <c r="O172" s="634"/>
      <c r="P172" s="634"/>
      <c r="Q172" s="634"/>
      <c r="R172" s="634"/>
      <c r="S172" s="634"/>
      <c r="T172" s="634"/>
      <c r="U172" s="634"/>
      <c r="V172" s="634"/>
      <c r="W172" s="634"/>
      <c r="X172" s="634"/>
      <c r="Y172" s="634"/>
      <c r="Z172" s="634"/>
      <c r="AA172" s="634"/>
      <c r="AB172" s="634"/>
      <c r="AC172" s="634"/>
      <c r="AD172" s="634"/>
      <c r="AE172" s="634"/>
      <c r="AF172" s="634"/>
      <c r="AG172" s="634"/>
      <c r="AH172" s="634"/>
      <c r="AI172" s="634"/>
      <c r="AJ172" s="634"/>
      <c r="AK172" s="634"/>
      <c r="AL172" s="634"/>
      <c r="AM172" s="634"/>
      <c r="AN172" s="634"/>
      <c r="AO172" s="634"/>
      <c r="AP172" s="634"/>
      <c r="AQ172" s="634"/>
      <c r="AR172" s="634"/>
      <c r="AS172" s="634"/>
      <c r="AT172" s="634"/>
      <c r="AU172" s="634"/>
      <c r="AV172" s="634"/>
    </row>
    <row r="173" spans="1:48" ht="15.75" customHeight="1">
      <c r="A173" s="5890">
        <f>ROW()</f>
        <v>173</v>
      </c>
      <c r="B173" s="5925" t="s">
        <v>1063</v>
      </c>
      <c r="C173" s="5925"/>
      <c r="D173" s="5925"/>
      <c r="E173" s="5925"/>
      <c r="F173" s="5925"/>
      <c r="G173" s="5925"/>
      <c r="H173" s="5925"/>
      <c r="I173" s="5925"/>
      <c r="J173" s="5925"/>
      <c r="K173" s="5925"/>
      <c r="L173" s="5925"/>
      <c r="M173" s="5925"/>
      <c r="N173" s="5925"/>
      <c r="O173" s="5925"/>
      <c r="P173" s="5925"/>
      <c r="Q173" s="5925"/>
      <c r="R173" s="5925"/>
      <c r="S173" s="5925"/>
      <c r="T173" s="5925"/>
      <c r="U173" s="5925"/>
      <c r="V173" s="5925"/>
      <c r="W173" s="5925"/>
      <c r="X173" s="5925"/>
      <c r="Y173" s="5925"/>
      <c r="Z173" s="5925"/>
      <c r="AA173" s="5925"/>
      <c r="AB173" s="5925"/>
      <c r="AC173" s="5925"/>
      <c r="AD173" s="5925"/>
      <c r="AE173" s="5925"/>
      <c r="AF173" s="5925"/>
      <c r="AG173" s="5925"/>
      <c r="AH173" s="5925"/>
      <c r="AI173" s="5925"/>
      <c r="AJ173" s="5925"/>
      <c r="AK173" s="5925"/>
      <c r="AL173" s="5925"/>
      <c r="AM173" s="5925"/>
      <c r="AN173" s="5925"/>
      <c r="AO173" s="5925"/>
      <c r="AP173" s="5925"/>
      <c r="AQ173" s="5925"/>
      <c r="AR173" s="5925"/>
      <c r="AS173" s="5925"/>
      <c r="AT173" s="5925"/>
      <c r="AU173" s="5925"/>
      <c r="AV173" s="5925"/>
    </row>
    <row r="174" spans="1:48" ht="15.75" customHeight="1">
      <c r="A174" s="5890"/>
      <c r="B174" s="5925"/>
      <c r="C174" s="5925"/>
      <c r="D174" s="5925"/>
      <c r="E174" s="5925"/>
      <c r="F174" s="5925"/>
      <c r="G174" s="5925"/>
      <c r="H174" s="5925"/>
      <c r="I174" s="5925"/>
      <c r="J174" s="5925"/>
      <c r="K174" s="5925"/>
      <c r="L174" s="5925"/>
      <c r="M174" s="5925"/>
      <c r="N174" s="5925"/>
      <c r="O174" s="5925"/>
      <c r="P174" s="5925"/>
      <c r="Q174" s="5925"/>
      <c r="R174" s="5925"/>
      <c r="S174" s="5925"/>
      <c r="T174" s="5925"/>
      <c r="U174" s="5925"/>
      <c r="V174" s="5925"/>
      <c r="W174" s="5925"/>
      <c r="X174" s="5925"/>
      <c r="Y174" s="5925"/>
      <c r="Z174" s="5925"/>
      <c r="AA174" s="5925"/>
      <c r="AB174" s="5925"/>
      <c r="AC174" s="5925"/>
      <c r="AD174" s="5925"/>
      <c r="AE174" s="5925"/>
      <c r="AF174" s="5925"/>
      <c r="AG174" s="5925"/>
      <c r="AH174" s="5925"/>
      <c r="AI174" s="5925"/>
      <c r="AJ174" s="5925"/>
      <c r="AK174" s="5925"/>
      <c r="AL174" s="5925"/>
      <c r="AM174" s="5925"/>
      <c r="AN174" s="5925"/>
      <c r="AO174" s="5925"/>
      <c r="AP174" s="5925"/>
      <c r="AQ174" s="5925"/>
      <c r="AR174" s="5925"/>
      <c r="AS174" s="5925"/>
      <c r="AT174" s="5925"/>
      <c r="AU174" s="5925"/>
      <c r="AV174" s="5925"/>
    </row>
    <row r="175" spans="1:48">
      <c r="A175" s="634"/>
      <c r="B175" s="634"/>
      <c r="C175" s="634"/>
      <c r="D175" s="634"/>
      <c r="E175" s="634"/>
      <c r="F175" s="634"/>
      <c r="G175" s="634"/>
      <c r="H175" s="634"/>
      <c r="I175" s="634"/>
      <c r="J175" s="634"/>
      <c r="K175" s="634"/>
      <c r="L175" s="634"/>
      <c r="M175" s="634"/>
      <c r="N175" s="634"/>
      <c r="O175" s="634"/>
      <c r="P175" s="634"/>
      <c r="Q175" s="634"/>
      <c r="R175" s="634"/>
      <c r="S175" s="634"/>
      <c r="T175" s="634"/>
      <c r="U175" s="634"/>
      <c r="V175" s="634"/>
      <c r="W175" s="634"/>
      <c r="X175" s="634"/>
      <c r="Y175" s="634"/>
      <c r="Z175" s="634"/>
      <c r="AA175" s="634"/>
      <c r="AB175" s="634"/>
      <c r="AC175" s="634"/>
      <c r="AD175" s="634"/>
      <c r="AE175" s="634"/>
      <c r="AF175" s="634"/>
      <c r="AG175" s="634"/>
      <c r="AH175" s="634"/>
      <c r="AI175" s="634"/>
      <c r="AJ175" s="892"/>
      <c r="AK175" s="892"/>
      <c r="AL175" s="892"/>
      <c r="AM175" s="634"/>
      <c r="AN175" s="634"/>
      <c r="AO175" s="634"/>
      <c r="AP175" s="634"/>
      <c r="AQ175" s="634"/>
      <c r="AR175" s="634"/>
      <c r="AS175" s="634"/>
      <c r="AT175" s="634"/>
      <c r="AU175" s="634"/>
      <c r="AV175" s="634"/>
    </row>
    <row r="176" spans="1:48" ht="16.5" thickBot="1">
      <c r="A176" s="634"/>
      <c r="B176" s="634"/>
      <c r="C176" s="634"/>
      <c r="D176" s="634"/>
      <c r="E176" s="634"/>
      <c r="F176" s="634"/>
      <c r="G176" s="634"/>
      <c r="H176" s="634"/>
      <c r="I176" s="634"/>
      <c r="J176" s="634"/>
      <c r="K176" s="634"/>
      <c r="L176" s="634"/>
      <c r="M176" s="634"/>
      <c r="N176" s="634"/>
      <c r="O176" s="634"/>
      <c r="P176" s="634"/>
      <c r="Q176" s="634"/>
      <c r="R176" s="634"/>
      <c r="S176" s="634"/>
      <c r="T176" s="634"/>
      <c r="U176" s="634"/>
      <c r="V176" s="634"/>
      <c r="W176" s="634"/>
      <c r="X176" s="634"/>
      <c r="Y176" s="634"/>
      <c r="Z176" s="634"/>
      <c r="AA176" s="634"/>
      <c r="AB176" s="634"/>
      <c r="AC176" s="634"/>
      <c r="AD176" s="634"/>
      <c r="AE176" s="634"/>
      <c r="AF176" s="634"/>
      <c r="AG176" s="634"/>
      <c r="AH176" s="634"/>
      <c r="AI176" s="634"/>
      <c r="AJ176" s="892"/>
      <c r="AK176" s="892"/>
      <c r="AL176" s="892"/>
      <c r="AM176" s="634"/>
      <c r="AN176" s="634"/>
      <c r="AO176" s="634"/>
      <c r="AP176" s="634"/>
      <c r="AQ176" s="634"/>
      <c r="AR176" s="634"/>
      <c r="AS176" s="634"/>
      <c r="AT176" s="634"/>
      <c r="AU176" s="634"/>
      <c r="AV176" s="634"/>
    </row>
    <row r="177" spans="1:48" ht="21">
      <c r="A177" s="1192" t="s">
        <v>70</v>
      </c>
      <c r="B177" s="5922" t="s">
        <v>1013</v>
      </c>
      <c r="C177" s="5923"/>
      <c r="D177" s="5923"/>
      <c r="E177" s="5923"/>
      <c r="F177" s="5923"/>
      <c r="G177" s="5923"/>
      <c r="H177" s="5923"/>
      <c r="I177" s="5923"/>
      <c r="J177" s="5924"/>
      <c r="K177" s="634"/>
      <c r="L177" s="634"/>
      <c r="M177" s="634"/>
      <c r="N177" s="634"/>
      <c r="O177" s="634"/>
      <c r="P177" s="634"/>
      <c r="Q177" s="1192" t="s">
        <v>70</v>
      </c>
      <c r="R177" s="5922" t="s">
        <v>1013</v>
      </c>
      <c r="S177" s="5923"/>
      <c r="T177" s="5923"/>
      <c r="U177" s="5923"/>
      <c r="V177" s="5923"/>
      <c r="W177" s="5923"/>
      <c r="X177" s="5923"/>
      <c r="Y177" s="5923"/>
      <c r="Z177" s="5924"/>
      <c r="AA177" s="634"/>
      <c r="AB177" s="634"/>
      <c r="AC177" s="634"/>
      <c r="AD177" s="634"/>
      <c r="AE177" s="634"/>
      <c r="AF177" s="634"/>
      <c r="AG177" s="634"/>
      <c r="AH177" s="634"/>
      <c r="AI177" s="634"/>
      <c r="AJ177" s="892"/>
      <c r="AK177" s="892"/>
      <c r="AL177" s="892"/>
      <c r="AM177" s="1192" t="s">
        <v>70</v>
      </c>
      <c r="AN177" s="5922" t="s">
        <v>1013</v>
      </c>
      <c r="AO177" s="5923"/>
      <c r="AP177" s="5923"/>
      <c r="AQ177" s="5923"/>
      <c r="AR177" s="5923"/>
      <c r="AS177" s="5923"/>
      <c r="AT177" s="5923"/>
      <c r="AU177" s="5923"/>
      <c r="AV177" s="5924"/>
    </row>
    <row r="178" spans="1:48" ht="15.75" customHeight="1">
      <c r="A178" s="4717" t="str">
        <f>B177</f>
        <v>Formule du calcul du poids de  SEL</v>
      </c>
      <c r="B178" s="533" t="str">
        <f>ADDRESS(ROW(),COLUMN(),4)</f>
        <v>B178</v>
      </c>
      <c r="C178" s="903" t="s">
        <v>691</v>
      </c>
      <c r="D178" s="1224"/>
      <c r="E178" s="1224"/>
      <c r="F178" s="1224"/>
      <c r="G178" s="1224"/>
      <c r="H178" s="1225"/>
      <c r="I178" s="1225" t="str">
        <f ca="1">MID(CELL("filename",B178),SEARCH("[",CELL("filename",B178))+1,SEARCH("]",CELL("filename",B178))-SEARCH("[",CELL("filename",B178))-1)</f>
        <v>ff-22-formats-formules-pourcentages.xlsx</v>
      </c>
      <c r="J178" s="1226">
        <v>4</v>
      </c>
      <c r="K178" s="634"/>
      <c r="L178" s="634"/>
      <c r="M178" s="634"/>
      <c r="N178" s="634"/>
      <c r="O178" s="634"/>
      <c r="P178" s="634"/>
      <c r="Q178" s="4717" t="str">
        <f>R177</f>
        <v>Formule du calcul du poids de  SEL</v>
      </c>
      <c r="R178" s="533" t="str">
        <f>ADDRESS(ROW(),COLUMN(),4)</f>
        <v>R178</v>
      </c>
      <c r="S178" s="903" t="s">
        <v>691</v>
      </c>
      <c r="T178" s="1224"/>
      <c r="U178" s="1224"/>
      <c r="V178" s="1224"/>
      <c r="W178" s="1224"/>
      <c r="X178" s="1225"/>
      <c r="Y178" s="1225" t="str">
        <f ca="1">MID(CELL("filename",R178),SEARCH("[",CELL("filename",R178))+1,SEARCH("]",CELL("filename",R178))-SEARCH("[",CELL("filename",R178))-1)</f>
        <v>ff-22-formats-formules-pourcentages.xlsx</v>
      </c>
      <c r="Z178" s="1226">
        <v>4</v>
      </c>
      <c r="AA178" s="634"/>
      <c r="AB178" s="634"/>
      <c r="AC178" s="634"/>
      <c r="AD178" s="634"/>
      <c r="AE178" s="634"/>
      <c r="AF178" s="634"/>
      <c r="AG178" s="634"/>
      <c r="AH178" s="634"/>
      <c r="AI178" s="634"/>
      <c r="AJ178" s="892"/>
      <c r="AK178" s="892"/>
      <c r="AL178" s="892"/>
      <c r="AM178" s="4717" t="str">
        <f>AN177</f>
        <v>Formule du calcul du poids de  SEL</v>
      </c>
      <c r="AN178" s="533" t="str">
        <f>ADDRESS(ROW(),COLUMN(),4)</f>
        <v>AN178</v>
      </c>
      <c r="AO178" s="903" t="s">
        <v>691</v>
      </c>
      <c r="AP178" s="1224"/>
      <c r="AQ178" s="1224"/>
      <c r="AR178" s="1224"/>
      <c r="AS178" s="1224"/>
      <c r="AT178" s="1225"/>
      <c r="AU178" s="1225" t="str">
        <f ca="1">MID(CELL("filename",AN178),SEARCH("[",CELL("filename",AN178))+1,SEARCH("]",CELL("filename",AN178))-SEARCH("[",CELL("filename",AN178))-1)</f>
        <v>ff-22-formats-formules-pourcentages.xlsx</v>
      </c>
      <c r="AV178" s="1226">
        <v>4</v>
      </c>
    </row>
    <row r="179" spans="1:48" ht="18.75">
      <c r="A179" s="4717"/>
      <c r="B179" s="1318"/>
      <c r="C179" s="1200"/>
      <c r="D179" s="1378" t="s">
        <v>473</v>
      </c>
      <c r="E179" s="1201"/>
      <c r="F179" s="1201"/>
      <c r="G179" s="1203"/>
      <c r="H179" s="1204"/>
      <c r="I179" s="1201"/>
      <c r="J179" s="517"/>
      <c r="K179" s="634"/>
      <c r="L179" s="634"/>
      <c r="M179" s="634"/>
      <c r="N179" s="634"/>
      <c r="O179" s="634"/>
      <c r="P179" s="634"/>
      <c r="Q179" s="4717"/>
      <c r="R179" s="1318"/>
      <c r="S179" s="1200"/>
      <c r="T179" s="1378" t="s">
        <v>473</v>
      </c>
      <c r="U179" s="1201"/>
      <c r="V179" s="1201"/>
      <c r="W179" s="1203"/>
      <c r="X179" s="1204"/>
      <c r="Y179" s="1201"/>
      <c r="Z179" s="517"/>
      <c r="AA179" s="634"/>
      <c r="AB179" s="634"/>
      <c r="AC179" s="634"/>
      <c r="AD179" s="634"/>
      <c r="AE179" s="634"/>
      <c r="AF179" s="634"/>
      <c r="AG179" s="634"/>
      <c r="AH179" s="634"/>
      <c r="AI179" s="634"/>
      <c r="AJ179" s="892"/>
      <c r="AK179" s="892"/>
      <c r="AL179" s="892"/>
      <c r="AM179" s="4717"/>
      <c r="AN179" s="1318"/>
      <c r="AO179" s="1200"/>
      <c r="AP179" s="1378" t="s">
        <v>473</v>
      </c>
      <c r="AQ179" s="1201"/>
      <c r="AR179" s="1201"/>
      <c r="AS179" s="1203"/>
      <c r="AT179" s="1204"/>
      <c r="AU179" s="1201"/>
      <c r="AV179" s="517"/>
    </row>
    <row r="180" spans="1:48" ht="15.75" customHeight="1">
      <c r="A180" s="4717"/>
      <c r="B180" s="1211"/>
      <c r="C180" s="1211" t="s">
        <v>1014</v>
      </c>
      <c r="D180" s="1212">
        <v>1.8</v>
      </c>
      <c r="E180" s="1229"/>
      <c r="F180" s="1388" t="s">
        <v>1015</v>
      </c>
      <c r="G180" s="1389">
        <f>D180</f>
        <v>1.8</v>
      </c>
      <c r="H180" s="1390">
        <f>(D182*D180)/G182</f>
        <v>0.21600000000000003</v>
      </c>
      <c r="I180" s="1229"/>
      <c r="J180" s="517"/>
      <c r="K180" s="634"/>
      <c r="L180" s="634"/>
      <c r="M180" s="634"/>
      <c r="N180" s="634"/>
      <c r="O180" s="634"/>
      <c r="P180" s="634"/>
      <c r="Q180" s="4717"/>
      <c r="R180" s="1211"/>
      <c r="S180" s="1211" t="s">
        <v>1014</v>
      </c>
      <c r="T180" s="1212">
        <v>1.8</v>
      </c>
      <c r="U180" s="1229"/>
      <c r="V180" s="1388" t="s">
        <v>1015</v>
      </c>
      <c r="W180" s="1389">
        <f>T180</f>
        <v>1.8</v>
      </c>
      <c r="X180" s="1390">
        <f>(T182*T180)/W182</f>
        <v>0.22275000000000003</v>
      </c>
      <c r="Y180" s="1229"/>
      <c r="Z180" s="517"/>
      <c r="AA180" s="634"/>
      <c r="AB180" s="634"/>
      <c r="AC180" s="634"/>
      <c r="AD180" s="634"/>
      <c r="AE180" s="634"/>
      <c r="AF180" s="634"/>
      <c r="AG180" s="634"/>
      <c r="AH180" s="634"/>
      <c r="AI180" s="634"/>
      <c r="AJ180" s="892"/>
      <c r="AK180" s="892"/>
      <c r="AL180" s="892"/>
      <c r="AM180" s="4717"/>
      <c r="AN180" s="1211"/>
      <c r="AO180" s="1211" t="s">
        <v>1014</v>
      </c>
      <c r="AP180" s="1212">
        <v>1.8</v>
      </c>
      <c r="AQ180" s="1229"/>
      <c r="AR180" s="1388" t="s">
        <v>1015</v>
      </c>
      <c r="AS180" s="1389">
        <f>AP180</f>
        <v>1.8</v>
      </c>
      <c r="AT180" s="1390">
        <f>(AP182*AP180)/AS182</f>
        <v>0.22699800000000003</v>
      </c>
      <c r="AU180" s="1229"/>
      <c r="AV180" s="517"/>
    </row>
    <row r="181" spans="1:48" ht="18.75">
      <c r="A181" s="4717"/>
      <c r="B181" s="1323"/>
      <c r="C181" s="1203"/>
      <c r="D181" s="1378" t="s">
        <v>473</v>
      </c>
      <c r="E181" s="1229"/>
      <c r="F181" s="634"/>
      <c r="G181" s="634"/>
      <c r="H181" s="634"/>
      <c r="I181" s="1229"/>
      <c r="J181" s="517"/>
      <c r="K181" s="634"/>
      <c r="L181" s="634"/>
      <c r="M181" s="634"/>
      <c r="N181" s="634"/>
      <c r="O181" s="634"/>
      <c r="P181" s="634"/>
      <c r="Q181" s="4717"/>
      <c r="R181" s="1323"/>
      <c r="S181" s="1203"/>
      <c r="T181" s="1378" t="s">
        <v>473</v>
      </c>
      <c r="U181" s="1229"/>
      <c r="V181" s="634"/>
      <c r="W181" s="634"/>
      <c r="X181" s="634"/>
      <c r="Y181" s="1229"/>
      <c r="Z181" s="517"/>
      <c r="AA181" s="634"/>
      <c r="AB181" s="634"/>
      <c r="AC181" s="634"/>
      <c r="AD181" s="634"/>
      <c r="AE181" s="634"/>
      <c r="AF181" s="634"/>
      <c r="AG181" s="634"/>
      <c r="AH181" s="634"/>
      <c r="AI181" s="634"/>
      <c r="AJ181" s="892"/>
      <c r="AK181" s="892"/>
      <c r="AL181" s="892"/>
      <c r="AM181" s="4717"/>
      <c r="AN181" s="1323"/>
      <c r="AO181" s="1203"/>
      <c r="AP181" s="1378" t="s">
        <v>473</v>
      </c>
      <c r="AQ181" s="1229"/>
      <c r="AR181" s="634"/>
      <c r="AS181" s="634"/>
      <c r="AT181" s="634"/>
      <c r="AU181" s="1229"/>
      <c r="AV181" s="517"/>
    </row>
    <row r="182" spans="1:48" ht="18.75">
      <c r="A182" s="4717"/>
      <c r="B182" s="1323"/>
      <c r="C182" s="1331" t="s">
        <v>995</v>
      </c>
      <c r="D182" s="1240">
        <v>12</v>
      </c>
      <c r="E182" s="1229"/>
      <c r="F182" s="892" t="s">
        <v>1010</v>
      </c>
      <c r="G182" s="1231">
        <v>100</v>
      </c>
      <c r="H182" s="1382">
        <f>D182</f>
        <v>12</v>
      </c>
      <c r="I182" s="1229"/>
      <c r="J182" s="517"/>
      <c r="K182" s="634"/>
      <c r="L182" s="634"/>
      <c r="M182" s="634"/>
      <c r="N182" s="634"/>
      <c r="O182" s="634"/>
      <c r="P182" s="634"/>
      <c r="Q182" s="4717"/>
      <c r="R182" s="1323"/>
      <c r="S182" s="1331" t="s">
        <v>995</v>
      </c>
      <c r="T182" s="1240">
        <v>12.375</v>
      </c>
      <c r="U182" s="1229"/>
      <c r="V182" s="892" t="s">
        <v>1010</v>
      </c>
      <c r="W182" s="1231">
        <v>100</v>
      </c>
      <c r="X182" s="1382">
        <f>T182</f>
        <v>12.375</v>
      </c>
      <c r="Y182" s="1229"/>
      <c r="Z182" s="517"/>
      <c r="AA182" s="634"/>
      <c r="AB182" s="634"/>
      <c r="AC182" s="634"/>
      <c r="AD182" s="634"/>
      <c r="AE182" s="634"/>
      <c r="AF182" s="634"/>
      <c r="AG182" s="634"/>
      <c r="AH182" s="634"/>
      <c r="AI182" s="634"/>
      <c r="AJ182" s="892"/>
      <c r="AK182" s="892"/>
      <c r="AL182" s="892"/>
      <c r="AM182" s="4717"/>
      <c r="AN182" s="1323"/>
      <c r="AO182" s="1331" t="s">
        <v>995</v>
      </c>
      <c r="AP182" s="1240">
        <v>12.611000000000001</v>
      </c>
      <c r="AQ182" s="1229"/>
      <c r="AR182" s="892" t="s">
        <v>1010</v>
      </c>
      <c r="AS182" s="1231">
        <v>100</v>
      </c>
      <c r="AT182" s="1382">
        <f>AP182</f>
        <v>12.611000000000001</v>
      </c>
      <c r="AU182" s="1229"/>
      <c r="AV182" s="517"/>
    </row>
    <row r="183" spans="1:48">
      <c r="A183" s="4717"/>
      <c r="B183" s="1333"/>
      <c r="C183" s="1224"/>
      <c r="D183" s="1224"/>
      <c r="E183" s="1224"/>
      <c r="F183" s="1224"/>
      <c r="G183" s="1224"/>
      <c r="H183" s="1224"/>
      <c r="I183" s="1224"/>
      <c r="J183" s="1194"/>
      <c r="K183" s="634"/>
      <c r="L183" s="634"/>
      <c r="M183" s="634"/>
      <c r="N183" s="634"/>
      <c r="O183" s="634"/>
      <c r="P183" s="634"/>
      <c r="Q183" s="4717"/>
      <c r="R183" s="1333"/>
      <c r="S183" s="1224"/>
      <c r="T183" s="1224"/>
      <c r="U183" s="1224"/>
      <c r="V183" s="1224"/>
      <c r="W183" s="1224"/>
      <c r="X183" s="1224"/>
      <c r="Y183" s="1224"/>
      <c r="Z183" s="1194"/>
      <c r="AA183" s="634"/>
      <c r="AB183" s="634"/>
      <c r="AC183" s="634"/>
      <c r="AD183" s="634"/>
      <c r="AE183" s="634"/>
      <c r="AF183" s="634"/>
      <c r="AG183" s="634"/>
      <c r="AH183" s="634"/>
      <c r="AI183" s="634"/>
      <c r="AJ183" s="892"/>
      <c r="AK183" s="892"/>
      <c r="AL183" s="892"/>
      <c r="AM183" s="4717"/>
      <c r="AN183" s="1333"/>
      <c r="AO183" s="1224"/>
      <c r="AP183" s="1224"/>
      <c r="AQ183" s="1224"/>
      <c r="AR183" s="1224"/>
      <c r="AS183" s="1224"/>
      <c r="AT183" s="1224"/>
      <c r="AU183" s="1224"/>
      <c r="AV183" s="1194"/>
    </row>
    <row r="184" spans="1:48">
      <c r="A184" s="4717"/>
      <c r="B184" s="1323"/>
      <c r="C184" s="1190" t="s">
        <v>993</v>
      </c>
      <c r="D184" s="1229"/>
      <c r="E184" s="1229"/>
      <c r="F184" s="1229"/>
      <c r="G184" s="1229"/>
      <c r="H184" s="816"/>
      <c r="I184" s="634"/>
      <c r="J184" s="1334" t="s">
        <v>1055</v>
      </c>
      <c r="K184" s="634"/>
      <c r="L184" s="634"/>
      <c r="M184" s="634"/>
      <c r="N184" s="634"/>
      <c r="O184" s="634"/>
      <c r="P184" s="634"/>
      <c r="Q184" s="4717"/>
      <c r="R184" s="1323"/>
      <c r="S184" s="1190" t="s">
        <v>993</v>
      </c>
      <c r="T184" s="1229"/>
      <c r="U184" s="1229"/>
      <c r="V184" s="1229"/>
      <c r="W184" s="1229"/>
      <c r="X184" s="816"/>
      <c r="Y184" s="634"/>
      <c r="Z184" s="1334" t="s">
        <v>1055</v>
      </c>
      <c r="AA184" s="634"/>
      <c r="AB184" s="634"/>
      <c r="AC184" s="634"/>
      <c r="AD184" s="634"/>
      <c r="AE184" s="634"/>
      <c r="AF184" s="634"/>
      <c r="AG184" s="634"/>
      <c r="AH184" s="634"/>
      <c r="AI184" s="634"/>
      <c r="AJ184" s="892"/>
      <c r="AK184" s="892"/>
      <c r="AL184" s="892"/>
      <c r="AM184" s="4717"/>
      <c r="AN184" s="1323"/>
      <c r="AO184" s="1190" t="s">
        <v>993</v>
      </c>
      <c r="AP184" s="1229"/>
      <c r="AQ184" s="1229"/>
      <c r="AR184" s="1229"/>
      <c r="AS184" s="1229"/>
      <c r="AT184" s="816"/>
      <c r="AU184" s="634"/>
      <c r="AV184" s="1334" t="s">
        <v>1055</v>
      </c>
    </row>
    <row r="185" spans="1:48">
      <c r="A185" s="4717"/>
      <c r="B185" s="1323"/>
      <c r="C185" s="1229"/>
      <c r="D185" s="1229"/>
      <c r="E185" s="1229"/>
      <c r="F185" s="1229"/>
      <c r="G185" s="1229"/>
      <c r="H185" s="816"/>
      <c r="I185" s="634"/>
      <c r="J185" s="1334" t="s">
        <v>1055</v>
      </c>
      <c r="K185" s="634"/>
      <c r="L185" s="634"/>
      <c r="M185" s="634"/>
      <c r="N185" s="634"/>
      <c r="O185" s="634"/>
      <c r="P185" s="634"/>
      <c r="Q185" s="4717"/>
      <c r="R185" s="1323"/>
      <c r="S185" s="1229"/>
      <c r="T185" s="1229"/>
      <c r="U185" s="1229"/>
      <c r="V185" s="1229"/>
      <c r="W185" s="1229"/>
      <c r="X185" s="816"/>
      <c r="Y185" s="634"/>
      <c r="Z185" s="1334" t="s">
        <v>1055</v>
      </c>
      <c r="AA185" s="634"/>
      <c r="AB185" s="634"/>
      <c r="AC185" s="634"/>
      <c r="AD185" s="634"/>
      <c r="AE185" s="634"/>
      <c r="AF185" s="634"/>
      <c r="AG185" s="634"/>
      <c r="AH185" s="634"/>
      <c r="AI185" s="634"/>
      <c r="AJ185" s="892"/>
      <c r="AK185" s="892"/>
      <c r="AL185" s="892"/>
      <c r="AM185" s="4717"/>
      <c r="AN185" s="1323"/>
      <c r="AO185" s="1229"/>
      <c r="AP185" s="1229"/>
      <c r="AQ185" s="1229"/>
      <c r="AR185" s="1229"/>
      <c r="AS185" s="1229"/>
      <c r="AT185" s="816"/>
      <c r="AU185" s="634"/>
      <c r="AV185" s="1334" t="s">
        <v>1055</v>
      </c>
    </row>
    <row r="186" spans="1:48">
      <c r="A186" s="4717"/>
      <c r="B186" s="1323"/>
      <c r="C186" s="1196" t="s">
        <v>995</v>
      </c>
      <c r="D186" s="1205"/>
      <c r="E186" s="1253" t="str">
        <f>ADDRESS(ROW(E187),COLUMN(E187),4)</f>
        <v>E187</v>
      </c>
      <c r="F186" s="1229"/>
      <c r="G186" s="1274" t="s">
        <v>1047</v>
      </c>
      <c r="H186" s="1255" t="s">
        <v>685</v>
      </c>
      <c r="I186" s="634"/>
      <c r="J186" s="1334" t="s">
        <v>1055</v>
      </c>
      <c r="K186" s="634"/>
      <c r="L186" s="634"/>
      <c r="M186" s="634"/>
      <c r="N186" s="634"/>
      <c r="O186" s="634"/>
      <c r="P186" s="634"/>
      <c r="Q186" s="4717"/>
      <c r="R186" s="1323"/>
      <c r="S186" s="1196" t="s">
        <v>995</v>
      </c>
      <c r="T186" s="1205"/>
      <c r="U186" s="1253" t="str">
        <f>ADDRESS(ROW(U187),COLUMN(U187),4)</f>
        <v>U187</v>
      </c>
      <c r="V186" s="1229"/>
      <c r="W186" s="1274" t="s">
        <v>1047</v>
      </c>
      <c r="X186" s="1255" t="s">
        <v>685</v>
      </c>
      <c r="Y186" s="634"/>
      <c r="Z186" s="1334" t="s">
        <v>1055</v>
      </c>
      <c r="AA186" s="634"/>
      <c r="AB186" s="634"/>
      <c r="AC186" s="634"/>
      <c r="AD186" s="634"/>
      <c r="AE186" s="634"/>
      <c r="AF186" s="634"/>
      <c r="AG186" s="634"/>
      <c r="AH186" s="634"/>
      <c r="AI186" s="634"/>
      <c r="AJ186" s="892"/>
      <c r="AK186" s="892"/>
      <c r="AL186" s="892"/>
      <c r="AM186" s="4717"/>
      <c r="AN186" s="1323"/>
      <c r="AO186" s="1196" t="s">
        <v>995</v>
      </c>
      <c r="AP186" s="1205"/>
      <c r="AQ186" s="1253" t="str">
        <f>ADDRESS(ROW(AQ187),COLUMN(AQ187),4)</f>
        <v>AQ187</v>
      </c>
      <c r="AR186" s="1229"/>
      <c r="AS186" s="1274" t="s">
        <v>1047</v>
      </c>
      <c r="AT186" s="1255" t="s">
        <v>685</v>
      </c>
      <c r="AU186" s="634"/>
      <c r="AV186" s="1334" t="s">
        <v>1055</v>
      </c>
    </row>
    <row r="187" spans="1:48" ht="19.5" thickBot="1">
      <c r="A187" s="4717"/>
      <c r="B187" s="1344" t="str">
        <f>ADDRESS(ROW(C187),COLUMN(C187),4)</f>
        <v>C187</v>
      </c>
      <c r="C187" s="1270">
        <f>D182</f>
        <v>12</v>
      </c>
      <c r="D187" s="1259" t="s">
        <v>603</v>
      </c>
      <c r="E187" s="1213">
        <f>D180</f>
        <v>1.8</v>
      </c>
      <c r="F187" s="1261" t="s">
        <v>997</v>
      </c>
      <c r="G187" s="1258">
        <f>(C187*E187)/C188</f>
        <v>0.21600000000000003</v>
      </c>
      <c r="H187" s="680" t="str">
        <f ca="1">_xlfn.FORMULATEXT(G187)</f>
        <v>=(C187*E187)/C188</v>
      </c>
      <c r="I187" s="634"/>
      <c r="J187" s="1334" t="s">
        <v>1055</v>
      </c>
      <c r="K187" s="634"/>
      <c r="L187" s="634"/>
      <c r="M187" s="634"/>
      <c r="N187" s="634"/>
      <c r="O187" s="634"/>
      <c r="P187" s="634"/>
      <c r="Q187" s="4717"/>
      <c r="R187" s="1344" t="str">
        <f>ADDRESS(ROW(S187),COLUMN(S187),4)</f>
        <v>S187</v>
      </c>
      <c r="S187" s="1270">
        <f>T182</f>
        <v>12.375</v>
      </c>
      <c r="T187" s="1259" t="s">
        <v>603</v>
      </c>
      <c r="U187" s="1213">
        <f>T180</f>
        <v>1.8</v>
      </c>
      <c r="V187" s="1261" t="s">
        <v>997</v>
      </c>
      <c r="W187" s="1258">
        <f>(S187*U187)/S188</f>
        <v>0.22275000000000003</v>
      </c>
      <c r="X187" s="680" t="str">
        <f ca="1">_xlfn.FORMULATEXT(W187)</f>
        <v>=(S187*U187)/S188</v>
      </c>
      <c r="Y187" s="634"/>
      <c r="Z187" s="1334" t="s">
        <v>1055</v>
      </c>
      <c r="AA187" s="634"/>
      <c r="AB187" s="634"/>
      <c r="AC187" s="634"/>
      <c r="AD187" s="634"/>
      <c r="AE187" s="634"/>
      <c r="AF187" s="634"/>
      <c r="AG187" s="634"/>
      <c r="AH187" s="634"/>
      <c r="AI187" s="634"/>
      <c r="AJ187" s="892"/>
      <c r="AK187" s="892"/>
      <c r="AL187" s="892"/>
      <c r="AM187" s="4717"/>
      <c r="AN187" s="1344" t="str">
        <f>ADDRESS(ROW(AO187),COLUMN(AO187),4)</f>
        <v>AO187</v>
      </c>
      <c r="AO187" s="1270">
        <f>AP182</f>
        <v>12.611000000000001</v>
      </c>
      <c r="AP187" s="1259" t="s">
        <v>603</v>
      </c>
      <c r="AQ187" s="1213">
        <f>AP180</f>
        <v>1.8</v>
      </c>
      <c r="AR187" s="1261" t="s">
        <v>997</v>
      </c>
      <c r="AS187" s="1258">
        <f>(AO187*AQ187)/AO188</f>
        <v>0.22699800000000003</v>
      </c>
      <c r="AT187" s="680" t="str">
        <f ca="1">_xlfn.FORMULATEXT(AS187)</f>
        <v>=(AO187*AQ187)/AO188</v>
      </c>
      <c r="AU187" s="634"/>
      <c r="AV187" s="1334" t="s">
        <v>1055</v>
      </c>
    </row>
    <row r="188" spans="1:48">
      <c r="A188" s="4717"/>
      <c r="B188" s="1344" t="str">
        <f>ADDRESS(ROW(C188),COLUMN(C188),4)</f>
        <v>C188</v>
      </c>
      <c r="C188" s="5906">
        <f>G182</f>
        <v>100</v>
      </c>
      <c r="D188" s="5906"/>
      <c r="E188" s="5906"/>
      <c r="F188" s="1229"/>
      <c r="G188" s="1234"/>
      <c r="H188" s="1267"/>
      <c r="I188" s="634"/>
      <c r="J188" s="1334" t="s">
        <v>1055</v>
      </c>
      <c r="K188" s="634"/>
      <c r="L188" s="634"/>
      <c r="M188" s="634"/>
      <c r="N188" s="634"/>
      <c r="O188" s="634"/>
      <c r="P188" s="634"/>
      <c r="Q188" s="4717"/>
      <c r="R188" s="1344" t="str">
        <f>ADDRESS(ROW(S188),COLUMN(S188),4)</f>
        <v>S188</v>
      </c>
      <c r="S188" s="5906">
        <f>W182</f>
        <v>100</v>
      </c>
      <c r="T188" s="5906"/>
      <c r="U188" s="5906"/>
      <c r="V188" s="1229"/>
      <c r="W188" s="1234"/>
      <c r="X188" s="1267"/>
      <c r="Y188" s="634"/>
      <c r="Z188" s="1334" t="s">
        <v>1055</v>
      </c>
      <c r="AA188" s="634"/>
      <c r="AB188" s="634"/>
      <c r="AC188" s="634"/>
      <c r="AD188" s="634"/>
      <c r="AE188" s="634"/>
      <c r="AF188" s="634"/>
      <c r="AG188" s="634"/>
      <c r="AH188" s="634"/>
      <c r="AI188" s="634"/>
      <c r="AJ188" s="892"/>
      <c r="AK188" s="892"/>
      <c r="AL188" s="892"/>
      <c r="AM188" s="4717"/>
      <c r="AN188" s="1344" t="str">
        <f>ADDRESS(ROW(AO188),COLUMN(AO188),4)</f>
        <v>AO188</v>
      </c>
      <c r="AO188" s="5906">
        <f>AS182</f>
        <v>100</v>
      </c>
      <c r="AP188" s="5906"/>
      <c r="AQ188" s="5906"/>
      <c r="AR188" s="1229"/>
      <c r="AS188" s="1234"/>
      <c r="AT188" s="1267"/>
      <c r="AU188" s="634"/>
      <c r="AV188" s="1334" t="s">
        <v>1055</v>
      </c>
    </row>
    <row r="189" spans="1:48">
      <c r="A189" s="4717"/>
      <c r="B189" s="1323"/>
      <c r="C189" s="1229"/>
      <c r="D189" s="1229"/>
      <c r="E189" s="1229"/>
      <c r="F189" s="1269"/>
      <c r="G189" s="1269"/>
      <c r="H189" s="816"/>
      <c r="I189" s="634"/>
      <c r="J189" s="1334" t="s">
        <v>1055</v>
      </c>
      <c r="K189" s="634"/>
      <c r="L189" s="634"/>
      <c r="M189" s="634"/>
      <c r="N189" s="634"/>
      <c r="O189" s="634"/>
      <c r="P189" s="634"/>
      <c r="Q189" s="4717"/>
      <c r="R189" s="1323"/>
      <c r="S189" s="1229"/>
      <c r="T189" s="1229"/>
      <c r="U189" s="1229"/>
      <c r="V189" s="1269"/>
      <c r="W189" s="1269"/>
      <c r="X189" s="816"/>
      <c r="Y189" s="634"/>
      <c r="Z189" s="1334" t="s">
        <v>1055</v>
      </c>
      <c r="AA189" s="634"/>
      <c r="AB189" s="634"/>
      <c r="AC189" s="634"/>
      <c r="AD189" s="634"/>
      <c r="AE189" s="634"/>
      <c r="AF189" s="634"/>
      <c r="AG189" s="634"/>
      <c r="AH189" s="634"/>
      <c r="AI189" s="634"/>
      <c r="AJ189" s="892"/>
      <c r="AK189" s="892"/>
      <c r="AL189" s="892"/>
      <c r="AM189" s="4717"/>
      <c r="AN189" s="1323"/>
      <c r="AO189" s="1229"/>
      <c r="AP189" s="1229"/>
      <c r="AQ189" s="1229"/>
      <c r="AR189" s="1269"/>
      <c r="AS189" s="1269"/>
      <c r="AT189" s="816"/>
      <c r="AU189" s="634"/>
      <c r="AV189" s="1334" t="s">
        <v>1055</v>
      </c>
    </row>
    <row r="190" spans="1:48">
      <c r="A190" s="4717"/>
      <c r="B190" s="656" t="s">
        <v>1057</v>
      </c>
      <c r="C190" s="1229"/>
      <c r="D190" s="1229"/>
      <c r="E190" s="1229"/>
      <c r="F190" s="1269"/>
      <c r="G190" s="1269"/>
      <c r="H190" s="816"/>
      <c r="I190" s="634"/>
      <c r="J190" s="1334" t="s">
        <v>1055</v>
      </c>
      <c r="K190" s="634"/>
      <c r="L190" s="634"/>
      <c r="M190" s="634"/>
      <c r="N190" s="634"/>
      <c r="O190" s="634"/>
      <c r="P190" s="634"/>
      <c r="Q190" s="4717"/>
      <c r="R190" s="656" t="s">
        <v>1057</v>
      </c>
      <c r="S190" s="1229"/>
      <c r="T190" s="1229"/>
      <c r="U190" s="1229"/>
      <c r="V190" s="1269"/>
      <c r="W190" s="1269"/>
      <c r="X190" s="816"/>
      <c r="Y190" s="634"/>
      <c r="Z190" s="1334" t="s">
        <v>1055</v>
      </c>
      <c r="AA190" s="634"/>
      <c r="AB190" s="634"/>
      <c r="AC190" s="634"/>
      <c r="AD190" s="634"/>
      <c r="AE190" s="634"/>
      <c r="AF190" s="634"/>
      <c r="AG190" s="634"/>
      <c r="AH190" s="634"/>
      <c r="AI190" s="634"/>
      <c r="AJ190" s="892"/>
      <c r="AK190" s="892"/>
      <c r="AL190" s="892"/>
      <c r="AM190" s="4717"/>
      <c r="AN190" s="656" t="s">
        <v>1057</v>
      </c>
      <c r="AO190" s="1229"/>
      <c r="AP190" s="1229"/>
      <c r="AQ190" s="1229"/>
      <c r="AR190" s="1269"/>
      <c r="AS190" s="1269"/>
      <c r="AT190" s="816"/>
      <c r="AU190" s="634"/>
      <c r="AV190" s="1334" t="s">
        <v>1055</v>
      </c>
    </row>
    <row r="191" spans="1:48">
      <c r="A191" s="4717"/>
      <c r="B191" s="656"/>
      <c r="C191" s="1229"/>
      <c r="D191" s="1229"/>
      <c r="E191" s="1229"/>
      <c r="F191" s="1269"/>
      <c r="G191" s="1269"/>
      <c r="H191" s="816"/>
      <c r="I191" s="1320" t="s">
        <v>1058</v>
      </c>
      <c r="J191" s="1334" t="s">
        <v>1055</v>
      </c>
      <c r="K191" s="634"/>
      <c r="L191" s="634"/>
      <c r="M191" s="634"/>
      <c r="N191" s="634"/>
      <c r="O191" s="634"/>
      <c r="P191" s="634"/>
      <c r="Q191" s="4717"/>
      <c r="R191" s="656"/>
      <c r="S191" s="1229"/>
      <c r="T191" s="1229"/>
      <c r="U191" s="1229"/>
      <c r="V191" s="1269"/>
      <c r="W191" s="1269"/>
      <c r="X191" s="816"/>
      <c r="Y191" s="1320" t="s">
        <v>1058</v>
      </c>
      <c r="Z191" s="1334" t="s">
        <v>1055</v>
      </c>
      <c r="AA191" s="634"/>
      <c r="AB191" s="634"/>
      <c r="AC191" s="634"/>
      <c r="AD191" s="634"/>
      <c r="AE191" s="634"/>
      <c r="AF191" s="634"/>
      <c r="AG191" s="634"/>
      <c r="AH191" s="634"/>
      <c r="AI191" s="634"/>
      <c r="AJ191" s="892"/>
      <c r="AK191" s="892"/>
      <c r="AL191" s="892"/>
      <c r="AM191" s="4717"/>
      <c r="AN191" s="656"/>
      <c r="AO191" s="1229"/>
      <c r="AP191" s="1229"/>
      <c r="AQ191" s="1229"/>
      <c r="AR191" s="1269"/>
      <c r="AS191" s="1269"/>
      <c r="AT191" s="816"/>
      <c r="AU191" s="1320" t="s">
        <v>1058</v>
      </c>
      <c r="AV191" s="1334" t="s">
        <v>1055</v>
      </c>
    </row>
    <row r="192" spans="1:48">
      <c r="A192" s="4717"/>
      <c r="B192" s="656" t="s">
        <v>1048</v>
      </c>
      <c r="C192" s="1229"/>
      <c r="D192" s="1229"/>
      <c r="E192" s="1229"/>
      <c r="F192" s="1269"/>
      <c r="G192" s="1269"/>
      <c r="H192" s="816"/>
      <c r="I192" s="1229"/>
      <c r="J192" s="521"/>
      <c r="K192" s="634"/>
      <c r="L192" s="634"/>
      <c r="M192" s="634"/>
      <c r="N192" s="634"/>
      <c r="O192" s="634"/>
      <c r="P192" s="634"/>
      <c r="Q192" s="4717"/>
      <c r="R192" s="656" t="s">
        <v>1048</v>
      </c>
      <c r="S192" s="1229"/>
      <c r="T192" s="1229"/>
      <c r="U192" s="1229"/>
      <c r="V192" s="1269"/>
      <c r="W192" s="1269"/>
      <c r="X192" s="816"/>
      <c r="Y192" s="1229"/>
      <c r="Z192" s="521"/>
      <c r="AA192" s="634"/>
      <c r="AB192" s="634"/>
      <c r="AC192" s="634"/>
      <c r="AD192" s="634"/>
      <c r="AE192" s="634"/>
      <c r="AF192" s="634"/>
      <c r="AG192" s="634"/>
      <c r="AH192" s="634"/>
      <c r="AI192" s="634"/>
      <c r="AJ192" s="892"/>
      <c r="AK192" s="892"/>
      <c r="AL192" s="892"/>
      <c r="AM192" s="4717"/>
      <c r="AN192" s="656" t="s">
        <v>1048</v>
      </c>
      <c r="AO192" s="1229"/>
      <c r="AP192" s="1229"/>
      <c r="AQ192" s="1229"/>
      <c r="AR192" s="1269"/>
      <c r="AS192" s="1269"/>
      <c r="AT192" s="816"/>
      <c r="AU192" s="1229"/>
      <c r="AV192" s="521"/>
    </row>
    <row r="193" spans="1:48">
      <c r="A193" s="4717"/>
      <c r="B193" s="656" t="s">
        <v>1049</v>
      </c>
      <c r="C193" s="1229"/>
      <c r="D193" s="1229"/>
      <c r="E193" s="1229"/>
      <c r="F193" s="1269"/>
      <c r="G193" s="1269"/>
      <c r="H193" s="816"/>
      <c r="I193" s="1229"/>
      <c r="J193" s="517"/>
      <c r="K193" s="634"/>
      <c r="L193" s="634"/>
      <c r="M193" s="634"/>
      <c r="N193" s="634"/>
      <c r="O193" s="634"/>
      <c r="P193" s="634"/>
      <c r="Q193" s="4717"/>
      <c r="R193" s="656" t="s">
        <v>1049</v>
      </c>
      <c r="S193" s="1229"/>
      <c r="T193" s="1229"/>
      <c r="U193" s="1229"/>
      <c r="V193" s="1269"/>
      <c r="W193" s="1269"/>
      <c r="X193" s="816"/>
      <c r="Y193" s="1229"/>
      <c r="Z193" s="517"/>
      <c r="AA193" s="634"/>
      <c r="AB193" s="634"/>
      <c r="AC193" s="634"/>
      <c r="AD193" s="634"/>
      <c r="AE193" s="634"/>
      <c r="AF193" s="634"/>
      <c r="AG193" s="634"/>
      <c r="AH193" s="634"/>
      <c r="AI193" s="634"/>
      <c r="AJ193" s="892"/>
      <c r="AK193" s="892"/>
      <c r="AL193" s="892"/>
      <c r="AM193" s="4717"/>
      <c r="AN193" s="656" t="s">
        <v>1049</v>
      </c>
      <c r="AO193" s="1229"/>
      <c r="AP193" s="1229"/>
      <c r="AQ193" s="1229"/>
      <c r="AR193" s="1269"/>
      <c r="AS193" s="1269"/>
      <c r="AT193" s="816"/>
      <c r="AU193" s="1229"/>
      <c r="AV193" s="517"/>
    </row>
    <row r="194" spans="1:48" ht="15.75" customHeight="1">
      <c r="A194" s="4717"/>
      <c r="B194" s="5919" t="s">
        <v>998</v>
      </c>
      <c r="C194" s="5920"/>
      <c r="D194" s="5920"/>
      <c r="E194" s="5920"/>
      <c r="F194" s="5920"/>
      <c r="G194" s="5920"/>
      <c r="H194" s="5920"/>
      <c r="I194" s="5920"/>
      <c r="J194" s="5921"/>
      <c r="K194" s="634"/>
      <c r="L194" s="634"/>
      <c r="M194" s="634"/>
      <c r="N194" s="634"/>
      <c r="O194" s="634"/>
      <c r="P194" s="634"/>
      <c r="Q194" s="4717"/>
      <c r="R194" s="5919" t="s">
        <v>998</v>
      </c>
      <c r="S194" s="5920"/>
      <c r="T194" s="5920"/>
      <c r="U194" s="5920"/>
      <c r="V194" s="5920"/>
      <c r="W194" s="5920"/>
      <c r="X194" s="5920"/>
      <c r="Y194" s="5920"/>
      <c r="Z194" s="5921"/>
      <c r="AA194" s="634"/>
      <c r="AB194" s="634"/>
      <c r="AC194" s="634"/>
      <c r="AD194" s="634"/>
      <c r="AE194" s="634"/>
      <c r="AF194" s="634"/>
      <c r="AG194" s="634"/>
      <c r="AH194" s="634"/>
      <c r="AI194" s="634"/>
      <c r="AJ194" s="892"/>
      <c r="AK194" s="892"/>
      <c r="AL194" s="892"/>
      <c r="AM194" s="4717"/>
      <c r="AN194" s="5919" t="s">
        <v>998</v>
      </c>
      <c r="AO194" s="5920"/>
      <c r="AP194" s="5920"/>
      <c r="AQ194" s="5920"/>
      <c r="AR194" s="5920"/>
      <c r="AS194" s="5920"/>
      <c r="AT194" s="5920"/>
      <c r="AU194" s="5920"/>
      <c r="AV194" s="5921"/>
    </row>
    <row r="195" spans="1:48">
      <c r="A195" s="4717"/>
      <c r="B195" s="5800" t="s">
        <v>999</v>
      </c>
      <c r="C195" s="5801"/>
      <c r="D195" s="5801"/>
      <c r="E195" s="5801"/>
      <c r="F195" s="5801"/>
      <c r="G195" s="5801"/>
      <c r="H195" s="5801"/>
      <c r="I195" s="5801"/>
      <c r="J195" s="5802"/>
      <c r="K195" s="634"/>
      <c r="L195" s="634"/>
      <c r="M195" s="634"/>
      <c r="N195" s="634"/>
      <c r="O195" s="634"/>
      <c r="P195" s="634"/>
      <c r="Q195" s="4717"/>
      <c r="R195" s="5800" t="s">
        <v>999</v>
      </c>
      <c r="S195" s="5801"/>
      <c r="T195" s="5801"/>
      <c r="U195" s="5801"/>
      <c r="V195" s="5801"/>
      <c r="W195" s="5801"/>
      <c r="X195" s="5801"/>
      <c r="Y195" s="5801"/>
      <c r="Z195" s="5802"/>
      <c r="AA195" s="634"/>
      <c r="AB195" s="634"/>
      <c r="AC195" s="634"/>
      <c r="AD195" s="634"/>
      <c r="AE195" s="634"/>
      <c r="AF195" s="634"/>
      <c r="AG195" s="634"/>
      <c r="AH195" s="634"/>
      <c r="AI195" s="634"/>
      <c r="AJ195" s="892"/>
      <c r="AK195" s="892"/>
      <c r="AL195" s="892"/>
      <c r="AM195" s="4717"/>
      <c r="AN195" s="5800" t="s">
        <v>999</v>
      </c>
      <c r="AO195" s="5801"/>
      <c r="AP195" s="5801"/>
      <c r="AQ195" s="5801"/>
      <c r="AR195" s="5801"/>
      <c r="AS195" s="5801"/>
      <c r="AT195" s="5801"/>
      <c r="AU195" s="5801"/>
      <c r="AV195" s="5802"/>
    </row>
    <row r="196" spans="1:48" ht="15.75" customHeight="1">
      <c r="A196" s="4717"/>
      <c r="B196" s="5815" t="s">
        <v>990</v>
      </c>
      <c r="C196" s="5803" t="s">
        <v>1000</v>
      </c>
      <c r="D196" s="5803"/>
      <c r="E196" s="5803"/>
      <c r="F196" s="5803"/>
      <c r="G196" s="5803"/>
      <c r="H196" s="5803"/>
      <c r="I196" s="5803"/>
      <c r="J196" s="517"/>
      <c r="K196" s="634"/>
      <c r="L196" s="634"/>
      <c r="M196" s="634"/>
      <c r="N196" s="634"/>
      <c r="O196" s="634"/>
      <c r="P196" s="634"/>
      <c r="Q196" s="4717"/>
      <c r="R196" s="5815" t="s">
        <v>990</v>
      </c>
      <c r="S196" s="5803" t="s">
        <v>1000</v>
      </c>
      <c r="T196" s="5803"/>
      <c r="U196" s="5803"/>
      <c r="V196" s="5803"/>
      <c r="W196" s="5803"/>
      <c r="X196" s="5803"/>
      <c r="Y196" s="5803"/>
      <c r="Z196" s="517"/>
      <c r="AA196" s="634"/>
      <c r="AB196" s="634"/>
      <c r="AC196" s="634"/>
      <c r="AD196" s="634"/>
      <c r="AE196" s="634"/>
      <c r="AF196" s="634"/>
      <c r="AG196" s="634"/>
      <c r="AH196" s="634"/>
      <c r="AI196" s="634"/>
      <c r="AJ196" s="892"/>
      <c r="AK196" s="892"/>
      <c r="AL196" s="892"/>
      <c r="AM196" s="4717"/>
      <c r="AN196" s="5815" t="s">
        <v>990</v>
      </c>
      <c r="AO196" s="5803" t="s">
        <v>1000</v>
      </c>
      <c r="AP196" s="5803"/>
      <c r="AQ196" s="5803"/>
      <c r="AR196" s="5803"/>
      <c r="AS196" s="5803"/>
      <c r="AT196" s="5803"/>
      <c r="AU196" s="5803"/>
      <c r="AV196" s="517"/>
    </row>
    <row r="197" spans="1:48">
      <c r="A197" s="4717"/>
      <c r="B197" s="5815"/>
      <c r="C197" s="5805" t="s">
        <v>1001</v>
      </c>
      <c r="D197" s="5805"/>
      <c r="E197" s="5805"/>
      <c r="F197" s="5805"/>
      <c r="G197" s="5805"/>
      <c r="H197" s="5805"/>
      <c r="I197" s="5805"/>
      <c r="J197" s="517"/>
      <c r="K197" s="634"/>
      <c r="L197" s="634"/>
      <c r="M197" s="634"/>
      <c r="N197" s="634"/>
      <c r="O197" s="634"/>
      <c r="P197" s="634"/>
      <c r="Q197" s="4717"/>
      <c r="R197" s="5815"/>
      <c r="S197" s="5805" t="s">
        <v>1001</v>
      </c>
      <c r="T197" s="5805"/>
      <c r="U197" s="5805"/>
      <c r="V197" s="5805"/>
      <c r="W197" s="5805"/>
      <c r="X197" s="5805"/>
      <c r="Y197" s="5805"/>
      <c r="Z197" s="517"/>
      <c r="AA197" s="634"/>
      <c r="AB197" s="634"/>
      <c r="AC197" s="634"/>
      <c r="AD197" s="634"/>
      <c r="AE197" s="634"/>
      <c r="AF197" s="634"/>
      <c r="AG197" s="634"/>
      <c r="AH197" s="634"/>
      <c r="AI197" s="634"/>
      <c r="AJ197" s="892"/>
      <c r="AK197" s="892"/>
      <c r="AL197" s="892"/>
      <c r="AM197" s="4717"/>
      <c r="AN197" s="5815"/>
      <c r="AO197" s="5805" t="s">
        <v>1001</v>
      </c>
      <c r="AP197" s="5805"/>
      <c r="AQ197" s="5805"/>
      <c r="AR197" s="5805"/>
      <c r="AS197" s="5805"/>
      <c r="AT197" s="5805"/>
      <c r="AU197" s="5805"/>
      <c r="AV197" s="517"/>
    </row>
    <row r="198" spans="1:48" ht="16.5" thickBot="1">
      <c r="A198" s="4717"/>
      <c r="B198" s="1372" t="s">
        <v>1002</v>
      </c>
      <c r="C198" s="1373"/>
      <c r="D198" s="1373"/>
      <c r="E198" s="1373"/>
      <c r="F198" s="1373"/>
      <c r="G198" s="1373"/>
      <c r="H198" s="1373"/>
      <c r="I198" s="1373"/>
      <c r="J198" s="1374"/>
      <c r="K198" s="634"/>
      <c r="L198" s="634"/>
      <c r="M198" s="634"/>
      <c r="N198" s="634"/>
      <c r="O198" s="634"/>
      <c r="P198" s="634"/>
      <c r="Q198" s="4717"/>
      <c r="R198" s="1372" t="s">
        <v>1002</v>
      </c>
      <c r="S198" s="1373"/>
      <c r="T198" s="1373"/>
      <c r="U198" s="1373"/>
      <c r="V198" s="1373"/>
      <c r="W198" s="1373"/>
      <c r="X198" s="1373"/>
      <c r="Y198" s="1373"/>
      <c r="Z198" s="1374"/>
      <c r="AA198" s="634"/>
      <c r="AB198" s="634"/>
      <c r="AC198" s="634"/>
      <c r="AD198" s="634"/>
      <c r="AE198" s="634"/>
      <c r="AF198" s="634"/>
      <c r="AG198" s="634"/>
      <c r="AH198" s="634"/>
      <c r="AI198" s="634"/>
      <c r="AJ198" s="892"/>
      <c r="AK198" s="892"/>
      <c r="AL198" s="892"/>
      <c r="AM198" s="4717"/>
      <c r="AN198" s="1372" t="s">
        <v>1002</v>
      </c>
      <c r="AO198" s="1373"/>
      <c r="AP198" s="1373"/>
      <c r="AQ198" s="1373"/>
      <c r="AR198" s="1373"/>
      <c r="AS198" s="1373"/>
      <c r="AT198" s="1373"/>
      <c r="AU198" s="1373"/>
      <c r="AV198" s="1374"/>
    </row>
    <row r="199" spans="1:48">
      <c r="A199" s="634"/>
      <c r="B199" s="634"/>
      <c r="C199" s="634"/>
      <c r="D199" s="634"/>
      <c r="E199" s="634"/>
      <c r="F199" s="634"/>
      <c r="G199" s="634"/>
      <c r="H199" s="634"/>
      <c r="I199" s="634"/>
      <c r="J199" s="634"/>
      <c r="K199" s="634"/>
      <c r="L199" s="634"/>
      <c r="M199" s="634"/>
      <c r="N199" s="634"/>
      <c r="O199" s="634"/>
      <c r="P199" s="634"/>
      <c r="Q199" s="634"/>
      <c r="R199" s="634"/>
      <c r="S199" s="634"/>
      <c r="T199" s="634"/>
      <c r="U199" s="634"/>
      <c r="V199" s="634"/>
      <c r="W199" s="634"/>
      <c r="X199" s="634"/>
      <c r="Y199" s="634"/>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c r="AU199" s="634"/>
      <c r="AV199" s="634"/>
    </row>
    <row r="200" spans="1:48">
      <c r="A200" s="634"/>
      <c r="B200" s="634"/>
      <c r="C200" s="634"/>
      <c r="D200" s="634"/>
      <c r="E200" s="634"/>
      <c r="F200" s="634"/>
      <c r="G200" s="634"/>
      <c r="H200" s="634"/>
      <c r="I200" s="634"/>
      <c r="J200" s="634"/>
      <c r="K200" s="634"/>
      <c r="L200" s="634"/>
      <c r="M200" s="634"/>
      <c r="N200" s="634"/>
      <c r="O200" s="634"/>
      <c r="P200" s="634"/>
      <c r="Q200" s="634"/>
      <c r="R200" s="634"/>
      <c r="S200" s="634"/>
      <c r="T200" s="634"/>
      <c r="U200" s="634"/>
      <c r="V200" s="634"/>
      <c r="W200" s="634"/>
      <c r="X200" s="634"/>
      <c r="Y200" s="634"/>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c r="AU200" s="634"/>
      <c r="AV200" s="634"/>
    </row>
    <row r="201" spans="1:48" ht="15.75" customHeight="1">
      <c r="A201" s="5890">
        <f>ROW()</f>
        <v>201</v>
      </c>
      <c r="B201" s="5918" t="s">
        <v>1004</v>
      </c>
      <c r="C201" s="5918"/>
      <c r="D201" s="5918"/>
      <c r="E201" s="5918"/>
      <c r="F201" s="5918"/>
      <c r="G201" s="5918"/>
      <c r="H201" s="5918"/>
      <c r="I201" s="5918"/>
      <c r="J201" s="5918"/>
      <c r="K201" s="5918"/>
      <c r="L201" s="5918"/>
      <c r="M201" s="5918"/>
      <c r="N201" s="5918"/>
      <c r="O201" s="5918"/>
      <c r="P201" s="5918"/>
      <c r="Q201" s="5918"/>
      <c r="R201" s="5918"/>
      <c r="S201" s="5918"/>
      <c r="T201" s="5918"/>
      <c r="U201" s="5918"/>
      <c r="V201" s="5918"/>
      <c r="W201" s="5918"/>
      <c r="X201" s="5918"/>
      <c r="Y201" s="5918"/>
      <c r="Z201" s="5918"/>
      <c r="AA201" s="5918"/>
      <c r="AB201" s="5918"/>
      <c r="AC201" s="5918"/>
      <c r="AD201" s="5918"/>
      <c r="AE201" s="5918"/>
      <c r="AF201" s="5918"/>
      <c r="AG201" s="5918"/>
      <c r="AH201" s="5918"/>
      <c r="AI201" s="5918"/>
      <c r="AJ201" s="5918"/>
      <c r="AK201" s="5918"/>
      <c r="AL201" s="5918"/>
      <c r="AM201" s="5918"/>
      <c r="AN201" s="5918"/>
      <c r="AO201" s="5918"/>
      <c r="AP201" s="5918"/>
      <c r="AQ201" s="5918"/>
      <c r="AR201" s="5918"/>
      <c r="AS201" s="5918"/>
      <c r="AT201" s="5918"/>
      <c r="AU201" s="5918"/>
      <c r="AV201" s="5918"/>
    </row>
    <row r="202" spans="1:48" ht="15.75" customHeight="1">
      <c r="A202" s="5890"/>
      <c r="B202" s="5918"/>
      <c r="C202" s="5918"/>
      <c r="D202" s="5918"/>
      <c r="E202" s="5918"/>
      <c r="F202" s="5918"/>
      <c r="G202" s="5918"/>
      <c r="H202" s="5918"/>
      <c r="I202" s="5918"/>
      <c r="J202" s="5918"/>
      <c r="K202" s="5918"/>
      <c r="L202" s="5918"/>
      <c r="M202" s="5918"/>
      <c r="N202" s="5918"/>
      <c r="O202" s="5918"/>
      <c r="P202" s="5918"/>
      <c r="Q202" s="5918"/>
      <c r="R202" s="5918"/>
      <c r="S202" s="5918"/>
      <c r="T202" s="5918"/>
      <c r="U202" s="5918"/>
      <c r="V202" s="5918"/>
      <c r="W202" s="5918"/>
      <c r="X202" s="5918"/>
      <c r="Y202" s="5918"/>
      <c r="Z202" s="5918"/>
      <c r="AA202" s="5918"/>
      <c r="AB202" s="5918"/>
      <c r="AC202" s="5918"/>
      <c r="AD202" s="5918"/>
      <c r="AE202" s="5918"/>
      <c r="AF202" s="5918"/>
      <c r="AG202" s="5918"/>
      <c r="AH202" s="5918"/>
      <c r="AI202" s="5918"/>
      <c r="AJ202" s="5918"/>
      <c r="AK202" s="5918"/>
      <c r="AL202" s="5918"/>
      <c r="AM202" s="5918"/>
      <c r="AN202" s="5918"/>
      <c r="AO202" s="5918"/>
      <c r="AP202" s="5918"/>
      <c r="AQ202" s="5918"/>
      <c r="AR202" s="5918"/>
      <c r="AS202" s="5918"/>
      <c r="AT202" s="5918"/>
      <c r="AU202" s="5918"/>
      <c r="AV202" s="5918"/>
    </row>
    <row r="203" spans="1:48" ht="16.5" thickBot="1">
      <c r="A203" s="634"/>
      <c r="B203" s="634"/>
      <c r="C203" s="634"/>
      <c r="D203" s="634"/>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c r="AA203" s="634"/>
      <c r="AB203" s="634"/>
      <c r="AC203" s="634"/>
      <c r="AD203" s="634"/>
      <c r="AE203" s="634"/>
      <c r="AF203" s="634"/>
      <c r="AG203" s="634"/>
      <c r="AH203" s="634"/>
      <c r="AI203" s="634"/>
      <c r="AL203" s="634"/>
      <c r="AM203" s="634"/>
      <c r="AN203" s="634"/>
      <c r="AO203" s="634"/>
      <c r="AP203" s="634"/>
      <c r="AQ203" s="634"/>
      <c r="AR203" s="634"/>
      <c r="AS203" s="634"/>
      <c r="AT203" s="634"/>
      <c r="AU203" s="634"/>
      <c r="AV203" s="634"/>
    </row>
    <row r="204" spans="1:48" ht="21">
      <c r="A204" s="1192" t="s">
        <v>70</v>
      </c>
      <c r="B204" s="5912" t="s">
        <v>1064</v>
      </c>
      <c r="C204" s="5913"/>
      <c r="D204" s="5913"/>
      <c r="E204" s="5913"/>
      <c r="F204" s="5913"/>
      <c r="G204" s="5913"/>
      <c r="H204" s="5913"/>
      <c r="I204" s="5913"/>
      <c r="J204" s="5913"/>
      <c r="K204" s="5914"/>
      <c r="L204" s="634"/>
      <c r="M204" s="634"/>
      <c r="N204" s="634"/>
      <c r="O204" s="634"/>
      <c r="P204" s="634"/>
      <c r="Q204" s="1192" t="s">
        <v>70</v>
      </c>
      <c r="R204" s="5912" t="s">
        <v>1044</v>
      </c>
      <c r="S204" s="5913"/>
      <c r="T204" s="5913"/>
      <c r="U204" s="5913"/>
      <c r="V204" s="5913"/>
      <c r="W204" s="5913"/>
      <c r="X204" s="5913"/>
      <c r="Y204" s="5913"/>
      <c r="Z204" s="5914"/>
      <c r="AA204" s="634"/>
      <c r="AB204" s="1192" t="s">
        <v>70</v>
      </c>
      <c r="AC204" s="5912" t="s">
        <v>1044</v>
      </c>
      <c r="AD204" s="5913"/>
      <c r="AE204" s="5913"/>
      <c r="AF204" s="5913"/>
      <c r="AG204" s="5913"/>
      <c r="AH204" s="5913"/>
      <c r="AI204" s="5913"/>
      <c r="AJ204" s="5913"/>
      <c r="AK204" s="5914"/>
      <c r="AL204" s="634"/>
      <c r="AM204" s="1192" t="s">
        <v>70</v>
      </c>
      <c r="AN204" s="5912" t="s">
        <v>1044</v>
      </c>
      <c r="AO204" s="5913"/>
      <c r="AP204" s="5913"/>
      <c r="AQ204" s="5913"/>
      <c r="AR204" s="5913"/>
      <c r="AS204" s="5913"/>
      <c r="AT204" s="5913"/>
      <c r="AU204" s="5913"/>
      <c r="AV204" s="5914"/>
    </row>
    <row r="205" spans="1:48" ht="15.75" customHeight="1">
      <c r="A205" s="4717" t="str">
        <f>B204</f>
        <v>Formule du calcul du poids de LEVURE   - comparer deux valeurs</v>
      </c>
      <c r="B205" s="533" t="str">
        <f>ADDRESS(ROW(),COLUMN(),4)</f>
        <v>B205</v>
      </c>
      <c r="C205" s="903" t="s">
        <v>691</v>
      </c>
      <c r="D205" s="1012"/>
      <c r="E205" s="1012"/>
      <c r="F205" s="1012"/>
      <c r="G205" s="1225"/>
      <c r="H205" s="1225"/>
      <c r="I205" s="1225"/>
      <c r="J205" s="1225" t="str">
        <f ca="1">MID(CELL("filename",B205),SEARCH("[",CELL("filename",B205))+1,SEARCH("]",CELL("filename",B205))-SEARCH("[",CELL("filename",B205))-1)</f>
        <v>ff-22-formats-formules-pourcentages.xlsx</v>
      </c>
      <c r="K205" s="1226">
        <v>5</v>
      </c>
      <c r="L205" s="634"/>
      <c r="M205" s="634"/>
      <c r="N205" s="634"/>
      <c r="O205" s="634"/>
      <c r="P205" s="634"/>
      <c r="Q205" s="4717" t="str">
        <f>R204</f>
        <v xml:space="preserve">Formule du calcul du poids de LEVURE </v>
      </c>
      <c r="R205" s="533" t="str">
        <f>ADDRESS(ROW(),COLUMN(),4)</f>
        <v>R205</v>
      </c>
      <c r="S205" s="903" t="s">
        <v>691</v>
      </c>
      <c r="T205" s="1224"/>
      <c r="U205" s="1224"/>
      <c r="V205" s="1224"/>
      <c r="W205" s="1224"/>
      <c r="X205" s="1225"/>
      <c r="Y205" s="1225" t="str">
        <f ca="1">MID(CELL("filename",R205),SEARCH("[",CELL("filename",R205))+1,SEARCH("]",CELL("filename",R205))-SEARCH("[",CELL("filename",R205))-1)</f>
        <v>ff-22-formats-formules-pourcentages.xlsx</v>
      </c>
      <c r="Z205" s="1226">
        <v>5</v>
      </c>
      <c r="AA205" s="634"/>
      <c r="AB205" s="4717" t="str">
        <f>AC204</f>
        <v xml:space="preserve">Formule du calcul du poids de LEVURE </v>
      </c>
      <c r="AC205" s="533" t="str">
        <f>ADDRESS(ROW(),COLUMN(),4)</f>
        <v>AC205</v>
      </c>
      <c r="AD205" s="903" t="s">
        <v>691</v>
      </c>
      <c r="AE205" s="1224"/>
      <c r="AF205" s="1224"/>
      <c r="AG205" s="1224"/>
      <c r="AH205" s="1224"/>
      <c r="AI205" s="1225"/>
      <c r="AJ205" s="1225" t="str">
        <f ca="1">MID(CELL("filename",AC205),SEARCH("[",CELL("filename",AC205))+1,SEARCH("]",CELL("filename",AC205))-SEARCH("[",CELL("filename",AC205))-1)</f>
        <v>ff-22-formats-formules-pourcentages.xlsx</v>
      </c>
      <c r="AK205" s="1226">
        <v>5</v>
      </c>
      <c r="AL205" s="634"/>
      <c r="AM205" s="4717" t="str">
        <f>AN204</f>
        <v xml:space="preserve">Formule du calcul du poids de LEVURE </v>
      </c>
      <c r="AN205" s="533" t="str">
        <f>ADDRESS(ROW(),COLUMN(),4)</f>
        <v>AN205</v>
      </c>
      <c r="AO205" s="903" t="s">
        <v>691</v>
      </c>
      <c r="AP205" s="1224"/>
      <c r="AQ205" s="1224"/>
      <c r="AR205" s="1224"/>
      <c r="AS205" s="1224"/>
      <c r="AT205" s="1225"/>
      <c r="AU205" s="1225" t="str">
        <f ca="1">MID(CELL("filename",AN205),SEARCH("[",CELL("filename",AN205))+1,SEARCH("]",CELL("filename",AN205))-SEARCH("[",CELL("filename",AN205))-1)</f>
        <v>ff-22-formats-formules-pourcentages.xlsx</v>
      </c>
      <c r="AV205" s="1226">
        <v>5</v>
      </c>
    </row>
    <row r="206" spans="1:48" ht="18.75">
      <c r="A206" s="4717"/>
      <c r="B206" s="1313"/>
      <c r="C206" s="1314"/>
      <c r="D206" s="1315"/>
      <c r="E206" s="1315"/>
      <c r="F206" s="1315"/>
      <c r="G206" s="1316"/>
      <c r="H206" s="1316"/>
      <c r="I206" s="1316"/>
      <c r="J206" s="1317"/>
      <c r="K206" s="517"/>
      <c r="L206" s="634"/>
      <c r="M206" s="634"/>
      <c r="N206" s="634"/>
      <c r="O206" s="634"/>
      <c r="P206" s="634"/>
      <c r="Q206" s="4717"/>
      <c r="R206" s="1318"/>
      <c r="S206" s="1200"/>
      <c r="T206" s="1391" t="s">
        <v>473</v>
      </c>
      <c r="U206" s="1201"/>
      <c r="V206" s="1201"/>
      <c r="W206" s="1203"/>
      <c r="X206" s="1204"/>
      <c r="Y206" s="1201"/>
      <c r="Z206" s="517"/>
      <c r="AA206" s="634"/>
      <c r="AB206" s="4717"/>
      <c r="AC206" s="1318"/>
      <c r="AD206" s="1200"/>
      <c r="AE206" s="1391" t="s">
        <v>473</v>
      </c>
      <c r="AF206" s="1201"/>
      <c r="AG206" s="1201"/>
      <c r="AH206" s="1203"/>
      <c r="AI206" s="1204"/>
      <c r="AJ206" s="1201"/>
      <c r="AK206" s="517"/>
      <c r="AL206" s="634"/>
      <c r="AM206" s="4717"/>
      <c r="AN206" s="1318"/>
      <c r="AO206" s="1200"/>
      <c r="AP206" s="1391" t="s">
        <v>473</v>
      </c>
      <c r="AQ206" s="1201"/>
      <c r="AR206" s="1201"/>
      <c r="AS206" s="1203"/>
      <c r="AT206" s="1204"/>
      <c r="AU206" s="1391"/>
      <c r="AV206" s="517"/>
    </row>
    <row r="207" spans="1:48" ht="18.75">
      <c r="A207" s="4717"/>
      <c r="B207" s="1318"/>
      <c r="C207" s="814"/>
      <c r="D207" s="1321" t="s">
        <v>473</v>
      </c>
      <c r="E207" s="634"/>
      <c r="F207" s="634"/>
      <c r="G207" s="1320"/>
      <c r="H207" s="1320"/>
      <c r="I207" s="1322" t="s">
        <v>473</v>
      </c>
      <c r="J207" s="1279"/>
      <c r="K207" s="517"/>
      <c r="L207" s="634"/>
      <c r="M207" s="634"/>
      <c r="N207" s="634"/>
      <c r="O207" s="634"/>
      <c r="P207" s="634"/>
      <c r="Q207" s="4717"/>
      <c r="R207" s="1392"/>
      <c r="S207" s="1392" t="s">
        <v>1065</v>
      </c>
      <c r="T207" s="1393">
        <v>1.8</v>
      </c>
      <c r="U207" s="1229"/>
      <c r="V207" s="1394" t="s">
        <v>1066</v>
      </c>
      <c r="W207" s="1395">
        <f>T207</f>
        <v>1.8</v>
      </c>
      <c r="X207" s="1306">
        <f>(T209*T207)/W209</f>
        <v>0.21600000000000003</v>
      </c>
      <c r="Y207" s="1266">
        <f>X207*1000</f>
        <v>216.00000000000003</v>
      </c>
      <c r="Z207" s="517"/>
      <c r="AA207" s="634"/>
      <c r="AB207" s="4717"/>
      <c r="AC207" s="1392"/>
      <c r="AD207" s="1392" t="s">
        <v>1065</v>
      </c>
      <c r="AE207" s="1393">
        <v>1.8</v>
      </c>
      <c r="AF207" s="1229"/>
      <c r="AG207" s="1394" t="s">
        <v>1066</v>
      </c>
      <c r="AH207" s="1395">
        <f>AE207</f>
        <v>1.8</v>
      </c>
      <c r="AI207" s="1306">
        <f>(AE209*AE207)/AH209</f>
        <v>0.22275000000000003</v>
      </c>
      <c r="AJ207" s="1266">
        <f>AI207*1000</f>
        <v>222.75000000000003</v>
      </c>
      <c r="AK207" s="517"/>
      <c r="AL207" s="634"/>
      <c r="AM207" s="4717"/>
      <c r="AN207" s="1392"/>
      <c r="AO207" s="1392" t="s">
        <v>1065</v>
      </c>
      <c r="AP207" s="1393">
        <v>1.8</v>
      </c>
      <c r="AQ207" s="1229"/>
      <c r="AR207" s="1394" t="s">
        <v>1066</v>
      </c>
      <c r="AS207" s="1395">
        <f>AP207</f>
        <v>1.8</v>
      </c>
      <c r="AT207" s="1306">
        <f>(AP209*AP207)/AS209</f>
        <v>0.22699800000000003</v>
      </c>
      <c r="AU207" s="1266">
        <f>AT207*1000</f>
        <v>226.99800000000005</v>
      </c>
      <c r="AV207" s="517"/>
    </row>
    <row r="208" spans="1:48" ht="18.75">
      <c r="A208" s="4717"/>
      <c r="B208" s="1203"/>
      <c r="C208" s="1331" t="s">
        <v>995</v>
      </c>
      <c r="D208" s="1240">
        <v>12.375</v>
      </c>
      <c r="F208" s="874" t="s">
        <v>1054</v>
      </c>
      <c r="G208" s="1203"/>
      <c r="H208" s="1331" t="s">
        <v>995</v>
      </c>
      <c r="I208" s="1240">
        <v>12</v>
      </c>
      <c r="J208" s="1279"/>
      <c r="K208" s="517"/>
      <c r="L208" s="634"/>
      <c r="M208" s="634"/>
      <c r="N208" s="634"/>
      <c r="O208" s="634"/>
      <c r="P208" s="634"/>
      <c r="Q208" s="4717"/>
      <c r="R208" s="1323"/>
      <c r="S208" s="1203"/>
      <c r="T208" s="1378" t="s">
        <v>473</v>
      </c>
      <c r="U208" s="1229"/>
      <c r="V208" s="634"/>
      <c r="W208" s="634"/>
      <c r="X208" s="634"/>
      <c r="Y208" s="1229"/>
      <c r="Z208" s="517"/>
      <c r="AA208" s="634"/>
      <c r="AB208" s="4717"/>
      <c r="AC208" s="1323"/>
      <c r="AD208" s="1203"/>
      <c r="AE208" s="1378" t="s">
        <v>473</v>
      </c>
      <c r="AF208" s="1229"/>
      <c r="AG208" s="634"/>
      <c r="AH208" s="634"/>
      <c r="AI208" s="634"/>
      <c r="AJ208" s="1229"/>
      <c r="AK208" s="517"/>
      <c r="AL208" s="634"/>
      <c r="AM208" s="4717"/>
      <c r="AN208" s="1323"/>
      <c r="AO208" s="1203"/>
      <c r="AP208" s="1378" t="s">
        <v>473</v>
      </c>
      <c r="AQ208" s="1229"/>
      <c r="AR208" s="634"/>
      <c r="AS208" s="634"/>
      <c r="AT208" s="634"/>
      <c r="AU208" s="1229"/>
      <c r="AV208" s="517"/>
    </row>
    <row r="209" spans="1:48" ht="18.75">
      <c r="A209" s="4717"/>
      <c r="B209" s="1318"/>
      <c r="C209" s="814"/>
      <c r="D209" s="634"/>
      <c r="E209" s="1320"/>
      <c r="F209" s="1320"/>
      <c r="G209" s="1320"/>
      <c r="H209" s="1320"/>
      <c r="I209" s="1320"/>
      <c r="J209" s="1279"/>
      <c r="K209" s="517"/>
      <c r="L209" s="634"/>
      <c r="M209" s="634"/>
      <c r="N209" s="634"/>
      <c r="O209" s="634"/>
      <c r="P209" s="634"/>
      <c r="Q209" s="4717"/>
      <c r="R209" s="1323"/>
      <c r="S209" s="1331" t="s">
        <v>995</v>
      </c>
      <c r="T209" s="1240">
        <v>12</v>
      </c>
      <c r="U209" s="1229"/>
      <c r="V209" s="892" t="s">
        <v>1010</v>
      </c>
      <c r="W209" s="1231">
        <v>100</v>
      </c>
      <c r="X209" s="1382">
        <f>T209</f>
        <v>12</v>
      </c>
      <c r="Y209" s="1229"/>
      <c r="Z209" s="517"/>
      <c r="AA209" s="634"/>
      <c r="AB209" s="4717"/>
      <c r="AC209" s="1323"/>
      <c r="AD209" s="1331" t="s">
        <v>995</v>
      </c>
      <c r="AE209" s="1240">
        <v>12.375</v>
      </c>
      <c r="AF209" s="1229"/>
      <c r="AG209" s="892" t="s">
        <v>1010</v>
      </c>
      <c r="AH209" s="1231">
        <v>100</v>
      </c>
      <c r="AI209" s="1382">
        <f>AE209</f>
        <v>12.375</v>
      </c>
      <c r="AJ209" s="1229"/>
      <c r="AK209" s="517"/>
      <c r="AL209" s="634"/>
      <c r="AM209" s="4717"/>
      <c r="AN209" s="1323"/>
      <c r="AO209" s="1331" t="s">
        <v>995</v>
      </c>
      <c r="AP209" s="1240">
        <v>12.611000000000001</v>
      </c>
      <c r="AQ209" s="1229"/>
      <c r="AR209" s="892" t="s">
        <v>1010</v>
      </c>
      <c r="AS209" s="1231">
        <v>100</v>
      </c>
      <c r="AT209" s="1382">
        <f>AP209</f>
        <v>12.611000000000001</v>
      </c>
      <c r="AU209" s="1229"/>
      <c r="AV209" s="517"/>
    </row>
    <row r="210" spans="1:48">
      <c r="A210" s="4717"/>
      <c r="B210" s="633"/>
      <c r="C210" s="634"/>
      <c r="D210" s="1321" t="s">
        <v>473</v>
      </c>
      <c r="E210" s="634"/>
      <c r="F210" s="634"/>
      <c r="G210" s="1320"/>
      <c r="H210" s="634"/>
      <c r="I210" s="1322" t="s">
        <v>473</v>
      </c>
      <c r="J210" s="634"/>
      <c r="K210" s="517"/>
      <c r="L210" s="634"/>
      <c r="M210" s="634"/>
      <c r="N210" s="634"/>
      <c r="O210" s="634"/>
      <c r="P210" s="634"/>
      <c r="Q210" s="4717"/>
      <c r="R210" s="1333"/>
      <c r="S210" s="1224"/>
      <c r="T210" s="1224"/>
      <c r="U210" s="1224"/>
      <c r="V210" s="1224"/>
      <c r="W210" s="1224"/>
      <c r="X210" s="1224"/>
      <c r="Y210" s="1224"/>
      <c r="Z210" s="1194"/>
      <c r="AA210" s="634"/>
      <c r="AB210" s="4717"/>
      <c r="AC210" s="1333"/>
      <c r="AD210" s="1224"/>
      <c r="AE210" s="1224"/>
      <c r="AF210" s="1224"/>
      <c r="AG210" s="1224"/>
      <c r="AH210" s="1224"/>
      <c r="AI210" s="1224"/>
      <c r="AJ210" s="1224"/>
      <c r="AK210" s="1194"/>
      <c r="AL210" s="634"/>
      <c r="AM210" s="4717"/>
      <c r="AN210" s="1333"/>
      <c r="AO210" s="1224"/>
      <c r="AP210" s="1224"/>
      <c r="AQ210" s="1224"/>
      <c r="AR210" s="1224"/>
      <c r="AS210" s="1224"/>
      <c r="AT210" s="1224"/>
      <c r="AU210" s="1224"/>
      <c r="AV210" s="1194"/>
    </row>
    <row r="211" spans="1:48" ht="18.75">
      <c r="A211" s="4717"/>
      <c r="B211" s="1326"/>
      <c r="C211" s="1327" t="s">
        <v>1065</v>
      </c>
      <c r="D211" s="1396">
        <v>1.8</v>
      </c>
      <c r="E211" s="1203"/>
      <c r="F211" s="874" t="s">
        <v>1054</v>
      </c>
      <c r="G211" s="892"/>
      <c r="H211" s="1397" t="s">
        <v>1065</v>
      </c>
      <c r="I211" s="1398">
        <v>1.8</v>
      </c>
      <c r="J211" s="634"/>
      <c r="K211" s="517"/>
      <c r="L211" s="634"/>
      <c r="M211" s="634"/>
      <c r="N211" s="634"/>
      <c r="O211" s="634"/>
      <c r="P211" s="634"/>
      <c r="Q211" s="4717"/>
      <c r="R211" s="1323"/>
      <c r="S211" s="1190" t="s">
        <v>993</v>
      </c>
      <c r="T211" s="1229"/>
      <c r="U211" s="1229"/>
      <c r="V211" s="1229"/>
      <c r="W211" s="1229"/>
      <c r="X211" s="816"/>
      <c r="Y211" s="634"/>
      <c r="Z211" s="1334" t="s">
        <v>1055</v>
      </c>
      <c r="AA211" s="634"/>
      <c r="AB211" s="4717"/>
      <c r="AC211" s="1323"/>
      <c r="AD211" s="1190" t="s">
        <v>993</v>
      </c>
      <c r="AE211" s="1229"/>
      <c r="AF211" s="1229"/>
      <c r="AG211" s="1229"/>
      <c r="AH211" s="1229"/>
      <c r="AI211" s="816"/>
      <c r="AJ211" s="634"/>
      <c r="AK211" s="1334" t="s">
        <v>1055</v>
      </c>
      <c r="AL211" s="634"/>
      <c r="AM211" s="4717"/>
      <c r="AN211" s="1323"/>
      <c r="AO211" s="1190" t="s">
        <v>993</v>
      </c>
      <c r="AP211" s="1229"/>
      <c r="AQ211" s="1229"/>
      <c r="AR211" s="1229"/>
      <c r="AS211" s="1229"/>
      <c r="AT211" s="816"/>
      <c r="AU211" s="634"/>
      <c r="AV211" s="1334" t="s">
        <v>1055</v>
      </c>
    </row>
    <row r="212" spans="1:48">
      <c r="A212" s="4717"/>
      <c r="B212" s="633"/>
      <c r="C212" s="634"/>
      <c r="E212" s="634"/>
      <c r="F212" s="634"/>
      <c r="G212" s="1320"/>
      <c r="H212" s="1320"/>
      <c r="I212" s="634"/>
      <c r="J212" s="634"/>
      <c r="K212" s="517"/>
      <c r="L212" s="634"/>
      <c r="M212" s="634"/>
      <c r="N212" s="634"/>
      <c r="O212" s="634"/>
      <c r="P212" s="634"/>
      <c r="Q212" s="4717"/>
      <c r="R212" s="1323"/>
      <c r="S212" s="1229"/>
      <c r="T212" s="1229"/>
      <c r="U212" s="1229"/>
      <c r="V212" s="1229"/>
      <c r="W212" s="1229"/>
      <c r="X212" s="816"/>
      <c r="Y212" s="634"/>
      <c r="Z212" s="1334" t="s">
        <v>1055</v>
      </c>
      <c r="AA212" s="634"/>
      <c r="AB212" s="4717"/>
      <c r="AC212" s="1323"/>
      <c r="AD212" s="1229"/>
      <c r="AE212" s="1229"/>
      <c r="AF212" s="1229"/>
      <c r="AG212" s="1229"/>
      <c r="AH212" s="1229"/>
      <c r="AI212" s="816"/>
      <c r="AJ212" s="634"/>
      <c r="AK212" s="1334" t="s">
        <v>1055</v>
      </c>
      <c r="AL212" s="634"/>
      <c r="AM212" s="4717"/>
      <c r="AN212" s="1323"/>
      <c r="AO212" s="1229"/>
      <c r="AP212" s="1229"/>
      <c r="AQ212" s="1229"/>
      <c r="AR212" s="1229"/>
      <c r="AS212" s="1229"/>
      <c r="AT212" s="816"/>
      <c r="AU212" s="634"/>
      <c r="AV212" s="1334" t="s">
        <v>1055</v>
      </c>
    </row>
    <row r="213" spans="1:48" ht="18.75">
      <c r="A213" s="4717"/>
      <c r="B213" s="633"/>
      <c r="C213" s="1335" t="s">
        <v>1066</v>
      </c>
      <c r="D213" s="1399">
        <f>D211</f>
        <v>1.8</v>
      </c>
      <c r="E213" s="1336">
        <f>(D208*D211)/D215</f>
        <v>0.21881139489194501</v>
      </c>
      <c r="F213" s="1266">
        <f>E213*1000</f>
        <v>218.81139489194501</v>
      </c>
      <c r="G213" s="634"/>
      <c r="H213" s="1337" t="s">
        <v>1066</v>
      </c>
      <c r="I213" s="1400">
        <f>I211</f>
        <v>1.8</v>
      </c>
      <c r="J213" s="1338">
        <f>(I208*I211)/I215</f>
        <v>0.21218074656188607</v>
      </c>
      <c r="K213" s="1401">
        <f>J213*1000</f>
        <v>212.18074656188608</v>
      </c>
      <c r="L213" s="634"/>
      <c r="M213" s="634"/>
      <c r="N213" s="634"/>
      <c r="O213" s="634"/>
      <c r="P213" s="634"/>
      <c r="Q213" s="4717"/>
      <c r="R213" s="1323"/>
      <c r="S213" s="1196" t="s">
        <v>996</v>
      </c>
      <c r="T213" s="1205"/>
      <c r="U213" s="1253" t="str">
        <f>ADDRESS(ROW(U214),COLUMN(U214),4)</f>
        <v>U214</v>
      </c>
      <c r="V213" s="1229"/>
      <c r="W213" s="1256" t="s">
        <v>1005</v>
      </c>
      <c r="X213" s="1255"/>
      <c r="Y213" s="634"/>
      <c r="Z213" s="1334" t="s">
        <v>1055</v>
      </c>
      <c r="AA213" s="634"/>
      <c r="AB213" s="4717"/>
      <c r="AC213" s="1323"/>
      <c r="AD213" s="1196" t="s">
        <v>996</v>
      </c>
      <c r="AE213" s="1205"/>
      <c r="AF213" s="1253" t="str">
        <f>ADDRESS(ROW(AF214),COLUMN(AF214),4)</f>
        <v>AF214</v>
      </c>
      <c r="AG213" s="1229"/>
      <c r="AH213" s="1256" t="s">
        <v>1005</v>
      </c>
      <c r="AI213" s="1255"/>
      <c r="AJ213" s="634"/>
      <c r="AK213" s="1334" t="s">
        <v>1055</v>
      </c>
      <c r="AL213" s="634"/>
      <c r="AM213" s="4717"/>
      <c r="AN213" s="1323"/>
      <c r="AO213" s="1196" t="s">
        <v>996</v>
      </c>
      <c r="AP213" s="1205"/>
      <c r="AQ213" s="1253" t="str">
        <f>ADDRESS(ROW(AQ214),COLUMN(AQ214),4)</f>
        <v>AQ214</v>
      </c>
      <c r="AR213" s="1229"/>
      <c r="AS213" s="1256" t="s">
        <v>1005</v>
      </c>
      <c r="AT213" s="1255"/>
      <c r="AU213" s="634"/>
      <c r="AV213" s="1334" t="s">
        <v>1055</v>
      </c>
    </row>
    <row r="214" spans="1:48" ht="15.75" customHeight="1" thickBot="1">
      <c r="A214" s="4717"/>
      <c r="B214" s="633"/>
      <c r="C214" s="1385" t="s">
        <v>1010</v>
      </c>
      <c r="D214" s="1381">
        <v>100</v>
      </c>
      <c r="E214" s="1209">
        <f>D208</f>
        <v>12.375</v>
      </c>
      <c r="F214" s="634"/>
      <c r="G214" s="634"/>
      <c r="H214" s="1385" t="s">
        <v>1010</v>
      </c>
      <c r="I214" s="1381">
        <v>100</v>
      </c>
      <c r="J214" s="1209">
        <f>I208</f>
        <v>12</v>
      </c>
      <c r="K214" s="517"/>
      <c r="L214" s="634"/>
      <c r="M214" s="634"/>
      <c r="N214" s="634"/>
      <c r="O214" s="634"/>
      <c r="P214" s="634"/>
      <c r="Q214" s="4717"/>
      <c r="R214" s="1344" t="str">
        <f>ADDRESS(ROW(S214),COLUMN(S214),4)</f>
        <v>S214</v>
      </c>
      <c r="S214" s="1270">
        <f>T209</f>
        <v>12</v>
      </c>
      <c r="T214" s="1259" t="s">
        <v>603</v>
      </c>
      <c r="U214" s="1264">
        <f>T207</f>
        <v>1.8</v>
      </c>
      <c r="V214" s="1261" t="s">
        <v>997</v>
      </c>
      <c r="W214" s="1265">
        <f>(S214*U214)/S215</f>
        <v>0.21600000000000003</v>
      </c>
      <c r="X214" s="1266">
        <f>W214*1000</f>
        <v>216.00000000000003</v>
      </c>
      <c r="Y214" s="634"/>
      <c r="Z214" s="1334" t="s">
        <v>1055</v>
      </c>
      <c r="AA214" s="634"/>
      <c r="AB214" s="4717"/>
      <c r="AC214" s="1344" t="str">
        <f>ADDRESS(ROW(AD214),COLUMN(AD214),4)</f>
        <v>AD214</v>
      </c>
      <c r="AD214" s="1270">
        <f>AE209</f>
        <v>12.375</v>
      </c>
      <c r="AE214" s="1259" t="s">
        <v>603</v>
      </c>
      <c r="AF214" s="1264">
        <f>AE207</f>
        <v>1.8</v>
      </c>
      <c r="AG214" s="1261" t="s">
        <v>997</v>
      </c>
      <c r="AH214" s="1265">
        <f>(AD214*AF214)/AD215</f>
        <v>0.22275000000000003</v>
      </c>
      <c r="AI214" s="1266">
        <f>AH214*1000</f>
        <v>222.75000000000003</v>
      </c>
      <c r="AJ214" s="634"/>
      <c r="AK214" s="1334" t="s">
        <v>1055</v>
      </c>
      <c r="AL214" s="634"/>
      <c r="AM214" s="4717"/>
      <c r="AN214" s="1344" t="str">
        <f>ADDRESS(ROW(AO214),COLUMN(AO214),4)</f>
        <v>AO214</v>
      </c>
      <c r="AO214" s="1270">
        <f>AP209</f>
        <v>12.611000000000001</v>
      </c>
      <c r="AP214" s="1259" t="s">
        <v>603</v>
      </c>
      <c r="AQ214" s="1264">
        <f>AP207</f>
        <v>1.8</v>
      </c>
      <c r="AR214" s="1261" t="s">
        <v>997</v>
      </c>
      <c r="AS214" s="1265">
        <f>(AO214*AQ214)/AO215</f>
        <v>0.22699800000000003</v>
      </c>
      <c r="AT214" s="1266">
        <f>AS214*1000</f>
        <v>226.99800000000005</v>
      </c>
      <c r="AU214" s="634"/>
      <c r="AV214" s="1334" t="s">
        <v>1055</v>
      </c>
    </row>
    <row r="215" spans="1:48" ht="15.75" customHeight="1">
      <c r="A215" s="4717"/>
      <c r="B215" s="633"/>
      <c r="C215" s="1346" t="s">
        <v>1067</v>
      </c>
      <c r="D215" s="1402">
        <f>D214+D213</f>
        <v>101.8</v>
      </c>
      <c r="E215" s="1339">
        <f>E214+E213</f>
        <v>12.593811394891945</v>
      </c>
      <c r="F215" s="634"/>
      <c r="G215" s="634"/>
      <c r="H215" s="1346" t="s">
        <v>1067</v>
      </c>
      <c r="I215" s="1402">
        <f>I214+I213</f>
        <v>101.8</v>
      </c>
      <c r="J215" s="1339">
        <f>J214+J213</f>
        <v>12.212180746561886</v>
      </c>
      <c r="K215" s="517"/>
      <c r="L215" s="634"/>
      <c r="M215" s="634"/>
      <c r="N215" s="634"/>
      <c r="O215" s="634"/>
      <c r="P215" s="634"/>
      <c r="Q215" s="4717"/>
      <c r="R215" s="1344" t="str">
        <f>ADDRESS(ROW(S215),COLUMN(S215),4)</f>
        <v>S215</v>
      </c>
      <c r="S215" s="5906">
        <f>W209</f>
        <v>100</v>
      </c>
      <c r="T215" s="5906"/>
      <c r="U215" s="5906"/>
      <c r="V215" s="1229"/>
      <c r="W215" s="680" t="str">
        <f ca="1">_xlfn.FORMULATEXT(W214)</f>
        <v>=(S214*U214)/S215</v>
      </c>
      <c r="X215" s="1267"/>
      <c r="Y215" s="634"/>
      <c r="Z215" s="1334" t="s">
        <v>1055</v>
      </c>
      <c r="AA215" s="634"/>
      <c r="AB215" s="4717"/>
      <c r="AC215" s="1344" t="str">
        <f>ADDRESS(ROW(AD215),COLUMN(AD215),4)</f>
        <v>AD215</v>
      </c>
      <c r="AD215" s="5906">
        <f>AH209</f>
        <v>100</v>
      </c>
      <c r="AE215" s="5906"/>
      <c r="AF215" s="5906"/>
      <c r="AG215" s="1229"/>
      <c r="AH215" s="680" t="str">
        <f ca="1">_xlfn.FORMULATEXT(AH214)</f>
        <v>=(AD214*AF214)/AD215</v>
      </c>
      <c r="AI215" s="1267"/>
      <c r="AJ215" s="634"/>
      <c r="AK215" s="1334" t="s">
        <v>1055</v>
      </c>
      <c r="AL215" s="634"/>
      <c r="AM215" s="4717"/>
      <c r="AN215" s="1344" t="str">
        <f>ADDRESS(ROW(AO215),COLUMN(AO215),4)</f>
        <v>AO215</v>
      </c>
      <c r="AO215" s="5906">
        <f>AS209</f>
        <v>100</v>
      </c>
      <c r="AP215" s="5906"/>
      <c r="AQ215" s="5906"/>
      <c r="AR215" s="1229"/>
      <c r="AS215" s="680" t="str">
        <f ca="1">_xlfn.FORMULATEXT(AS214)</f>
        <v>=(AO214*AQ214)/AO215</v>
      </c>
      <c r="AT215" s="1267"/>
      <c r="AU215" s="634"/>
      <c r="AV215" s="1334" t="s">
        <v>1055</v>
      </c>
    </row>
    <row r="216" spans="1:48">
      <c r="A216" s="4717"/>
      <c r="B216" s="633"/>
      <c r="C216" s="634"/>
      <c r="D216" s="634"/>
      <c r="E216" s="634"/>
      <c r="F216" s="634"/>
      <c r="G216" s="634"/>
      <c r="H216" s="634"/>
      <c r="I216" s="634"/>
      <c r="J216" s="634"/>
      <c r="K216" s="517"/>
      <c r="L216" s="634"/>
      <c r="M216" s="634"/>
      <c r="N216" s="634"/>
      <c r="O216" s="634"/>
      <c r="P216" s="634"/>
      <c r="Q216" s="4717"/>
      <c r="R216" s="1323"/>
      <c r="S216" s="1229"/>
      <c r="T216" s="1229"/>
      <c r="U216" s="1229"/>
      <c r="V216" s="1269"/>
      <c r="W216" s="1269"/>
      <c r="X216" s="816"/>
      <c r="Y216" s="634"/>
      <c r="Z216" s="1334" t="s">
        <v>1055</v>
      </c>
      <c r="AA216" s="634"/>
      <c r="AB216" s="4717"/>
      <c r="AC216" s="1323"/>
      <c r="AD216" s="1229"/>
      <c r="AE216" s="1229"/>
      <c r="AF216" s="1229"/>
      <c r="AG216" s="1269"/>
      <c r="AH216" s="1269"/>
      <c r="AI216" s="816"/>
      <c r="AJ216" s="634"/>
      <c r="AK216" s="1334" t="s">
        <v>1055</v>
      </c>
      <c r="AL216" s="634"/>
      <c r="AM216" s="4717"/>
      <c r="AN216" s="1323"/>
      <c r="AO216" s="1229"/>
      <c r="AP216" s="1229"/>
      <c r="AQ216" s="1229"/>
      <c r="AR216" s="1269"/>
      <c r="AS216" s="1269"/>
      <c r="AT216" s="816"/>
      <c r="AU216" s="634"/>
      <c r="AV216" s="1334" t="s">
        <v>1055</v>
      </c>
    </row>
    <row r="217" spans="1:48" ht="16.5" customHeight="1">
      <c r="A217" s="4717"/>
      <c r="B217" s="1197" t="s">
        <v>1061</v>
      </c>
      <c r="C217" s="1198"/>
      <c r="D217" s="1199"/>
      <c r="E217" s="1386"/>
      <c r="F217" s="1386"/>
      <c r="G217" s="1386"/>
      <c r="H217" s="1386"/>
      <c r="I217" s="1386"/>
      <c r="J217" s="1386"/>
      <c r="K217" s="1387"/>
      <c r="L217" s="634"/>
      <c r="M217" s="634"/>
      <c r="N217" s="634"/>
      <c r="O217" s="634"/>
      <c r="P217" s="634"/>
      <c r="Q217" s="4717"/>
      <c r="R217" s="656" t="s">
        <v>1052</v>
      </c>
      <c r="S217" s="1229"/>
      <c r="T217" s="1229"/>
      <c r="U217" s="1229"/>
      <c r="V217" s="1269"/>
      <c r="W217" s="1269"/>
      <c r="X217" s="816"/>
      <c r="Y217" s="634"/>
      <c r="Z217" s="1334" t="s">
        <v>1055</v>
      </c>
      <c r="AA217" s="634"/>
      <c r="AB217" s="4717"/>
      <c r="AC217" s="656" t="s">
        <v>1052</v>
      </c>
      <c r="AD217" s="1229"/>
      <c r="AE217" s="1229"/>
      <c r="AF217" s="1229"/>
      <c r="AG217" s="1269"/>
      <c r="AH217" s="1269"/>
      <c r="AI217" s="816"/>
      <c r="AJ217" s="634"/>
      <c r="AK217" s="1334" t="s">
        <v>1055</v>
      </c>
      <c r="AL217" s="634"/>
      <c r="AM217" s="4717"/>
      <c r="AN217" s="656" t="s">
        <v>1052</v>
      </c>
      <c r="AO217" s="1229"/>
      <c r="AP217" s="1229"/>
      <c r="AQ217" s="1229"/>
      <c r="AR217" s="1269"/>
      <c r="AS217" s="1269"/>
      <c r="AT217" s="816"/>
      <c r="AU217" s="634"/>
      <c r="AV217" s="1334" t="s">
        <v>1055</v>
      </c>
    </row>
    <row r="218" spans="1:48">
      <c r="A218" s="4717"/>
      <c r="B218" s="5915" t="s">
        <v>684</v>
      </c>
      <c r="C218" s="5916"/>
      <c r="D218" s="5916"/>
      <c r="E218" s="5916"/>
      <c r="F218" s="5916"/>
      <c r="G218" s="5916"/>
      <c r="H218" s="5916"/>
      <c r="I218" s="5916"/>
      <c r="J218" s="5916"/>
      <c r="K218" s="5917"/>
      <c r="L218" s="634"/>
      <c r="M218" s="634"/>
      <c r="N218" s="634"/>
      <c r="O218" s="634"/>
      <c r="P218" s="634"/>
      <c r="Q218" s="4717"/>
      <c r="R218" s="656" t="s">
        <v>1057</v>
      </c>
      <c r="S218" s="1229"/>
      <c r="T218" s="1229"/>
      <c r="U218" s="1229"/>
      <c r="V218" s="1269"/>
      <c r="W218" s="1269"/>
      <c r="X218" s="816"/>
      <c r="Y218" s="634"/>
      <c r="Z218" s="1334" t="s">
        <v>1055</v>
      </c>
      <c r="AA218" s="634"/>
      <c r="AB218" s="4717"/>
      <c r="AC218" s="656" t="s">
        <v>1057</v>
      </c>
      <c r="AD218" s="1229"/>
      <c r="AE218" s="1229"/>
      <c r="AF218" s="1229"/>
      <c r="AG218" s="1269"/>
      <c r="AH218" s="1269"/>
      <c r="AI218" s="816"/>
      <c r="AJ218" s="634"/>
      <c r="AK218" s="1334" t="s">
        <v>1055</v>
      </c>
      <c r="AL218" s="634"/>
      <c r="AM218" s="4717"/>
      <c r="AN218" s="656" t="s">
        <v>1057</v>
      </c>
      <c r="AO218" s="1229"/>
      <c r="AP218" s="1229"/>
      <c r="AQ218" s="1229"/>
      <c r="AR218" s="1269"/>
      <c r="AS218" s="1269"/>
      <c r="AT218" s="816"/>
      <c r="AU218" s="634"/>
      <c r="AV218" s="1334" t="s">
        <v>1055</v>
      </c>
    </row>
    <row r="219" spans="1:48">
      <c r="A219" s="4717"/>
      <c r="B219" s="1353"/>
      <c r="C219" s="1206"/>
      <c r="D219" s="1206"/>
      <c r="E219" s="1206"/>
      <c r="F219" s="1354"/>
      <c r="G219" s="1206"/>
      <c r="H219" s="1206"/>
      <c r="I219" s="1206"/>
      <c r="J219" s="634"/>
      <c r="K219" s="521"/>
      <c r="L219" s="634"/>
      <c r="M219" s="634"/>
      <c r="N219" s="634"/>
      <c r="O219" s="634"/>
      <c r="P219" s="634"/>
      <c r="Q219" s="4717"/>
      <c r="R219" s="656"/>
      <c r="S219" s="1229"/>
      <c r="T219" s="1229"/>
      <c r="U219" s="1229"/>
      <c r="V219" s="1269"/>
      <c r="W219" s="1269"/>
      <c r="X219" s="816"/>
      <c r="Y219" s="1320" t="s">
        <v>1058</v>
      </c>
      <c r="Z219" s="1334" t="s">
        <v>1055</v>
      </c>
      <c r="AA219" s="634"/>
      <c r="AB219" s="4717"/>
      <c r="AC219" s="656"/>
      <c r="AD219" s="1229"/>
      <c r="AE219" s="1229"/>
      <c r="AF219" s="1229"/>
      <c r="AG219" s="1269"/>
      <c r="AH219" s="1269"/>
      <c r="AI219" s="816"/>
      <c r="AJ219" s="1320" t="s">
        <v>1058</v>
      </c>
      <c r="AK219" s="1334" t="s">
        <v>1055</v>
      </c>
      <c r="AL219" s="634"/>
      <c r="AM219" s="4717"/>
      <c r="AN219" s="656"/>
      <c r="AO219" s="1229"/>
      <c r="AP219" s="1229"/>
      <c r="AQ219" s="1229"/>
      <c r="AR219" s="1269"/>
      <c r="AS219" s="1269"/>
      <c r="AT219" s="816"/>
      <c r="AU219" s="1320" t="s">
        <v>1058</v>
      </c>
      <c r="AV219" s="1334" t="s">
        <v>1055</v>
      </c>
    </row>
    <row r="220" spans="1:48" ht="18.75">
      <c r="A220" s="4717"/>
      <c r="B220" s="1353"/>
      <c r="C220" s="1403"/>
      <c r="D220" s="1203" t="s">
        <v>995</v>
      </c>
      <c r="E220" s="1404">
        <f>D208</f>
        <v>12.375</v>
      </c>
      <c r="F220" s="1354"/>
      <c r="G220" s="1206"/>
      <c r="H220" s="1403"/>
      <c r="I220" s="1203" t="s">
        <v>995</v>
      </c>
      <c r="J220" s="1404">
        <f>I208</f>
        <v>12</v>
      </c>
      <c r="K220" s="521"/>
      <c r="L220" s="634"/>
      <c r="M220" s="634"/>
      <c r="N220" s="634"/>
      <c r="O220" s="634"/>
      <c r="P220" s="634"/>
      <c r="Q220" s="4717"/>
      <c r="R220" s="656" t="s">
        <v>1048</v>
      </c>
      <c r="S220" s="1229"/>
      <c r="T220" s="1229"/>
      <c r="U220" s="1229"/>
      <c r="V220" s="1269"/>
      <c r="W220" s="1269"/>
      <c r="X220" s="816"/>
      <c r="Y220" s="1229"/>
      <c r="Z220" s="521"/>
      <c r="AA220" s="634"/>
      <c r="AB220" s="4717"/>
      <c r="AC220" s="656" t="s">
        <v>1048</v>
      </c>
      <c r="AD220" s="1229"/>
      <c r="AE220" s="1229"/>
      <c r="AF220" s="1229"/>
      <c r="AG220" s="1269"/>
      <c r="AH220" s="1269"/>
      <c r="AI220" s="816"/>
      <c r="AJ220" s="1229"/>
      <c r="AK220" s="521"/>
      <c r="AL220" s="634"/>
      <c r="AM220" s="4717"/>
      <c r="AN220" s="656" t="s">
        <v>1048</v>
      </c>
      <c r="AO220" s="1229"/>
      <c r="AP220" s="1229"/>
      <c r="AQ220" s="1229"/>
      <c r="AR220" s="1269"/>
      <c r="AS220" s="1269"/>
      <c r="AT220" s="816"/>
      <c r="AU220" s="1229"/>
      <c r="AV220" s="521"/>
    </row>
    <row r="221" spans="1:48" ht="18.75" customHeight="1">
      <c r="A221" s="4717"/>
      <c r="B221" s="1353"/>
      <c r="C221" s="1206"/>
      <c r="D221" s="1206"/>
      <c r="E221" s="1206"/>
      <c r="F221" s="1354"/>
      <c r="G221" s="1206"/>
      <c r="H221" s="1206"/>
      <c r="I221" s="1206"/>
      <c r="J221" s="634"/>
      <c r="K221" s="521"/>
      <c r="L221" s="634"/>
      <c r="M221" s="634"/>
      <c r="N221" s="634"/>
      <c r="O221" s="634"/>
      <c r="P221" s="634"/>
      <c r="Q221" s="4717"/>
      <c r="R221" s="656" t="s">
        <v>1068</v>
      </c>
      <c r="S221" s="1229"/>
      <c r="T221" s="1229"/>
      <c r="U221" s="1229"/>
      <c r="V221" s="1269"/>
      <c r="W221" s="1269"/>
      <c r="X221" s="816"/>
      <c r="Y221" s="1229"/>
      <c r="Z221" s="517"/>
      <c r="AA221" s="634"/>
      <c r="AB221" s="4717"/>
      <c r="AC221" s="656" t="s">
        <v>1068</v>
      </c>
      <c r="AD221" s="1229"/>
      <c r="AE221" s="1229"/>
      <c r="AF221" s="1229"/>
      <c r="AG221" s="1269"/>
      <c r="AH221" s="1269"/>
      <c r="AI221" s="816"/>
      <c r="AJ221" s="1229"/>
      <c r="AK221" s="517"/>
      <c r="AL221" s="634"/>
      <c r="AM221" s="4717"/>
      <c r="AN221" s="656" t="s">
        <v>1068</v>
      </c>
      <c r="AO221" s="1229"/>
      <c r="AP221" s="1229"/>
      <c r="AQ221" s="1229"/>
      <c r="AR221" s="1269"/>
      <c r="AS221" s="1269"/>
      <c r="AT221" s="816"/>
      <c r="AU221" s="1229"/>
      <c r="AV221" s="517"/>
    </row>
    <row r="222" spans="1:48" ht="15.75" customHeight="1">
      <c r="A222" s="4717"/>
      <c r="B222" s="1355"/>
      <c r="C222" s="1356"/>
      <c r="D222" s="1356" t="s">
        <v>1065</v>
      </c>
      <c r="E222" s="1405">
        <f>D211</f>
        <v>1.8</v>
      </c>
      <c r="F222" s="517"/>
      <c r="G222" s="1358"/>
      <c r="H222" s="1359"/>
      <c r="I222" s="1359" t="s">
        <v>1065</v>
      </c>
      <c r="J222" s="1406">
        <f>I211</f>
        <v>1.8</v>
      </c>
      <c r="K222" s="1361"/>
      <c r="L222" s="634"/>
      <c r="M222" s="634"/>
      <c r="N222" s="634"/>
      <c r="O222" s="634"/>
      <c r="P222" s="634"/>
      <c r="Q222" s="4717"/>
      <c r="R222" s="5909" t="s">
        <v>998</v>
      </c>
      <c r="S222" s="5910"/>
      <c r="T222" s="5910"/>
      <c r="U222" s="5910"/>
      <c r="V222" s="5910"/>
      <c r="W222" s="5910"/>
      <c r="X222" s="5910"/>
      <c r="Y222" s="5910"/>
      <c r="Z222" s="5911"/>
      <c r="AA222" s="634"/>
      <c r="AB222" s="4717"/>
      <c r="AC222" s="5909" t="s">
        <v>998</v>
      </c>
      <c r="AD222" s="5910"/>
      <c r="AE222" s="5910"/>
      <c r="AF222" s="5910"/>
      <c r="AG222" s="5910"/>
      <c r="AH222" s="5910"/>
      <c r="AI222" s="5910"/>
      <c r="AJ222" s="5910"/>
      <c r="AK222" s="5911"/>
      <c r="AL222" s="634"/>
      <c r="AM222" s="4717"/>
      <c r="AN222" s="5909" t="s">
        <v>998</v>
      </c>
      <c r="AO222" s="5910"/>
      <c r="AP222" s="5910"/>
      <c r="AQ222" s="5910"/>
      <c r="AR222" s="5910"/>
      <c r="AS222" s="5910"/>
      <c r="AT222" s="5910"/>
      <c r="AU222" s="5910"/>
      <c r="AV222" s="5911"/>
    </row>
    <row r="223" spans="1:48" ht="18.75">
      <c r="A223" s="4717"/>
      <c r="B223" s="1363" t="s">
        <v>995</v>
      </c>
      <c r="C223" s="1206"/>
      <c r="D223" s="634"/>
      <c r="E223" s="1347"/>
      <c r="F223" s="517"/>
      <c r="G223" s="1364" t="s">
        <v>995</v>
      </c>
      <c r="H223" s="1206"/>
      <c r="I223" s="634"/>
      <c r="J223" s="634"/>
      <c r="K223" s="1365"/>
      <c r="L223" s="634"/>
      <c r="M223" s="634"/>
      <c r="N223" s="634"/>
      <c r="O223" s="634"/>
      <c r="P223" s="634"/>
      <c r="Q223" s="4717"/>
      <c r="R223" s="5800" t="s">
        <v>999</v>
      </c>
      <c r="S223" s="5801"/>
      <c r="T223" s="5801"/>
      <c r="U223" s="5801"/>
      <c r="V223" s="5801"/>
      <c r="W223" s="5801"/>
      <c r="X223" s="5801"/>
      <c r="Y223" s="5801"/>
      <c r="Z223" s="5802"/>
      <c r="AA223" s="634"/>
      <c r="AB223" s="4717"/>
      <c r="AC223" s="5800" t="s">
        <v>999</v>
      </c>
      <c r="AD223" s="5801"/>
      <c r="AE223" s="5801"/>
      <c r="AF223" s="5801"/>
      <c r="AG223" s="5801"/>
      <c r="AH223" s="5801"/>
      <c r="AI223" s="5801"/>
      <c r="AJ223" s="5801"/>
      <c r="AK223" s="5802"/>
      <c r="AL223" s="634"/>
      <c r="AM223" s="4717"/>
      <c r="AN223" s="5800" t="s">
        <v>999</v>
      </c>
      <c r="AO223" s="5801"/>
      <c r="AP223" s="5801"/>
      <c r="AQ223" s="5801"/>
      <c r="AR223" s="5801"/>
      <c r="AS223" s="5801"/>
      <c r="AT223" s="5801"/>
      <c r="AU223" s="5801"/>
      <c r="AV223" s="5802"/>
    </row>
    <row r="224" spans="1:48" ht="15.75" customHeight="1">
      <c r="A224" s="4717"/>
      <c r="B224" s="1344" t="str">
        <f>ADDRESS(ROW(B225),COLUMN(B225),4)</f>
        <v>B225</v>
      </c>
      <c r="C224" s="1206"/>
      <c r="D224" s="1253" t="str">
        <f>ADDRESS(ROW(D225),COLUMN(D225),4)</f>
        <v>D225</v>
      </c>
      <c r="E224" s="1407" t="s">
        <v>1005</v>
      </c>
      <c r="F224" s="1408"/>
      <c r="G224" s="1253" t="str">
        <f>ADDRESS(ROW(G225),COLUMN(G225),4)</f>
        <v>G225</v>
      </c>
      <c r="H224" s="1206"/>
      <c r="I224" s="1253" t="str">
        <f>ADDRESS(ROW(I225),COLUMN(I225),4)</f>
        <v>I225</v>
      </c>
      <c r="J224" s="1407" t="s">
        <v>1005</v>
      </c>
      <c r="K224" s="1408"/>
      <c r="L224" s="634"/>
      <c r="M224" s="634"/>
      <c r="N224" s="634"/>
      <c r="O224" s="634"/>
      <c r="P224" s="634"/>
      <c r="Q224" s="4717"/>
      <c r="R224" s="5815" t="s">
        <v>990</v>
      </c>
      <c r="S224" s="5803" t="s">
        <v>1000</v>
      </c>
      <c r="T224" s="5803"/>
      <c r="U224" s="5803"/>
      <c r="V224" s="5803"/>
      <c r="W224" s="5803"/>
      <c r="X224" s="5803"/>
      <c r="Y224" s="5803"/>
      <c r="Z224" s="517"/>
      <c r="AA224" s="634"/>
      <c r="AB224" s="4717"/>
      <c r="AC224" s="5815" t="s">
        <v>990</v>
      </c>
      <c r="AD224" s="5803" t="s">
        <v>1000</v>
      </c>
      <c r="AE224" s="5803"/>
      <c r="AF224" s="5803"/>
      <c r="AG224" s="5803"/>
      <c r="AH224" s="5803"/>
      <c r="AI224" s="5803"/>
      <c r="AJ224" s="5803"/>
      <c r="AK224" s="517"/>
      <c r="AL224" s="634"/>
      <c r="AM224" s="4717"/>
      <c r="AN224" s="5815" t="s">
        <v>990</v>
      </c>
      <c r="AO224" s="5803" t="s">
        <v>1000</v>
      </c>
      <c r="AP224" s="5803"/>
      <c r="AQ224" s="5803"/>
      <c r="AR224" s="5803"/>
      <c r="AS224" s="5803"/>
      <c r="AT224" s="5803"/>
      <c r="AU224" s="5803"/>
      <c r="AV224" s="517"/>
    </row>
    <row r="225" spans="1:48" ht="16.5" thickBot="1">
      <c r="A225" s="4717"/>
      <c r="B225" s="1366">
        <f>D208</f>
        <v>12.375</v>
      </c>
      <c r="C225" s="1270" t="s">
        <v>603</v>
      </c>
      <c r="D225" s="1409">
        <f>D211</f>
        <v>1.8</v>
      </c>
      <c r="E225" s="1265">
        <f>(B225*D225)/B226</f>
        <v>0.22275000000000003</v>
      </c>
      <c r="F225" s="1410">
        <f>E225*1000</f>
        <v>222.75000000000003</v>
      </c>
      <c r="G225" s="1368">
        <f>I208</f>
        <v>12</v>
      </c>
      <c r="H225" s="1270" t="s">
        <v>603</v>
      </c>
      <c r="I225" s="1411">
        <f>I211</f>
        <v>1.8</v>
      </c>
      <c r="J225" s="1265">
        <f>(G225*I225)/G226</f>
        <v>0.21600000000000003</v>
      </c>
      <c r="K225" s="1410">
        <f>J225*1000</f>
        <v>216.00000000000003</v>
      </c>
      <c r="L225" s="634"/>
      <c r="M225" s="634"/>
      <c r="N225" s="634"/>
      <c r="O225" s="634"/>
      <c r="P225" s="634"/>
      <c r="Q225" s="4717"/>
      <c r="R225" s="5815"/>
      <c r="S225" s="5805" t="s">
        <v>1001</v>
      </c>
      <c r="T225" s="5805"/>
      <c r="U225" s="5805"/>
      <c r="V225" s="5805"/>
      <c r="W225" s="5805"/>
      <c r="X225" s="5805"/>
      <c r="Y225" s="5805"/>
      <c r="Z225" s="517"/>
      <c r="AA225" s="634"/>
      <c r="AB225" s="4717"/>
      <c r="AC225" s="5815"/>
      <c r="AD225" s="5805" t="s">
        <v>1001</v>
      </c>
      <c r="AE225" s="5805"/>
      <c r="AF225" s="5805"/>
      <c r="AG225" s="5805"/>
      <c r="AH225" s="5805"/>
      <c r="AI225" s="5805"/>
      <c r="AJ225" s="5805"/>
      <c r="AK225" s="517"/>
      <c r="AL225" s="634"/>
      <c r="AM225" s="4717"/>
      <c r="AN225" s="5815"/>
      <c r="AO225" s="5805" t="s">
        <v>1001</v>
      </c>
      <c r="AP225" s="5805"/>
      <c r="AQ225" s="5805"/>
      <c r="AR225" s="5805"/>
      <c r="AS225" s="5805"/>
      <c r="AT225" s="5805"/>
      <c r="AU225" s="5805"/>
      <c r="AV225" s="517"/>
    </row>
    <row r="226" spans="1:48" ht="19.5" thickBot="1">
      <c r="A226" s="4717"/>
      <c r="B226" s="5907">
        <v>100</v>
      </c>
      <c r="C226" s="5908"/>
      <c r="D226" s="1369" t="s">
        <v>997</v>
      </c>
      <c r="E226" s="680" t="str">
        <f ca="1">_xlfn.FORMULATEXT(E225)</f>
        <v>=(B225*D225)/B226</v>
      </c>
      <c r="F226" s="517"/>
      <c r="G226" s="5908">
        <v>100</v>
      </c>
      <c r="H226" s="5908"/>
      <c r="I226" s="1369" t="s">
        <v>997</v>
      </c>
      <c r="J226" s="680" t="str">
        <f ca="1">_xlfn.FORMULATEXT(J225)</f>
        <v>=(G225*I225)/G226</v>
      </c>
      <c r="K226" s="517"/>
      <c r="L226" s="634"/>
      <c r="M226" s="634"/>
      <c r="N226" s="634"/>
      <c r="O226" s="634"/>
      <c r="P226" s="634"/>
      <c r="Q226" s="4717"/>
      <c r="R226" s="1372" t="s">
        <v>1002</v>
      </c>
      <c r="S226" s="1373"/>
      <c r="T226" s="1373"/>
      <c r="U226" s="1373"/>
      <c r="V226" s="1373"/>
      <c r="W226" s="1373"/>
      <c r="X226" s="1373"/>
      <c r="Y226" s="1373"/>
      <c r="Z226" s="1374"/>
      <c r="AA226" s="634"/>
      <c r="AB226" s="4717"/>
      <c r="AC226" s="1372" t="s">
        <v>1002</v>
      </c>
      <c r="AD226" s="1373"/>
      <c r="AE226" s="1373"/>
      <c r="AF226" s="1373"/>
      <c r="AG226" s="1373"/>
      <c r="AH226" s="1373"/>
      <c r="AI226" s="1373"/>
      <c r="AJ226" s="1373"/>
      <c r="AK226" s="1374"/>
      <c r="AL226" s="634"/>
      <c r="AM226" s="4717"/>
      <c r="AN226" s="1372" t="s">
        <v>1002</v>
      </c>
      <c r="AO226" s="1373"/>
      <c r="AP226" s="1373"/>
      <c r="AQ226" s="1373"/>
      <c r="AR226" s="1373"/>
      <c r="AS226" s="1373"/>
      <c r="AT226" s="1373"/>
      <c r="AU226" s="1373"/>
      <c r="AV226" s="1374"/>
    </row>
    <row r="227" spans="1:48">
      <c r="A227" s="4717"/>
      <c r="B227" s="633"/>
      <c r="C227" s="1253" t="str">
        <f>ADDRESS(ROW(B226),COLUMN(B226),4)</f>
        <v>B226</v>
      </c>
      <c r="D227" s="634"/>
      <c r="E227" s="1350"/>
      <c r="F227" s="517"/>
      <c r="G227" s="634"/>
      <c r="H227" s="1253" t="str">
        <f>ADDRESS(ROW(G226),COLUMN(G226),4)</f>
        <v>G226</v>
      </c>
      <c r="I227" s="634"/>
      <c r="J227" s="634"/>
      <c r="K227" s="1361"/>
      <c r="L227" s="634"/>
      <c r="M227" s="634"/>
      <c r="N227" s="634"/>
      <c r="O227" s="634"/>
      <c r="P227" s="634"/>
      <c r="Q227" s="634"/>
      <c r="R227" s="634"/>
      <c r="S227" s="634"/>
      <c r="T227" s="634"/>
      <c r="U227" s="634"/>
      <c r="V227" s="634"/>
      <c r="W227" s="634"/>
      <c r="X227" s="634"/>
      <c r="Y227" s="634"/>
      <c r="Z227" s="634"/>
      <c r="AA227" s="634"/>
      <c r="AB227" s="634"/>
      <c r="AC227" s="634"/>
      <c r="AD227" s="634"/>
      <c r="AE227" s="634"/>
      <c r="AF227" s="634"/>
      <c r="AG227" s="634"/>
      <c r="AH227" s="634"/>
      <c r="AI227" s="634"/>
      <c r="AJ227" s="634"/>
      <c r="AK227" s="634"/>
      <c r="AL227" s="634"/>
      <c r="AM227" s="634"/>
      <c r="AN227" s="634"/>
      <c r="AO227" s="634"/>
      <c r="AP227" s="634"/>
      <c r="AQ227" s="634"/>
      <c r="AR227" s="634"/>
      <c r="AS227" s="634"/>
      <c r="AT227" s="634"/>
      <c r="AU227" s="634"/>
      <c r="AV227" s="634"/>
    </row>
    <row r="228" spans="1:48">
      <c r="A228" s="4717"/>
      <c r="B228" s="1351"/>
      <c r="C228" s="1012"/>
      <c r="D228" s="1012"/>
      <c r="E228" s="1012"/>
      <c r="F228" s="1371"/>
      <c r="G228" s="1352"/>
      <c r="H228" s="1012"/>
      <c r="I228" s="1012"/>
      <c r="J228" s="1012"/>
      <c r="K228" s="1194"/>
      <c r="L228" s="634"/>
      <c r="M228" s="634"/>
      <c r="N228" s="634"/>
      <c r="O228" s="634"/>
      <c r="P228" s="634"/>
      <c r="Q228" s="634"/>
      <c r="R228" s="634"/>
      <c r="S228" s="634"/>
      <c r="T228" s="634"/>
      <c r="U228" s="634"/>
      <c r="V228" s="634"/>
      <c r="W228" s="634"/>
      <c r="X228" s="634"/>
      <c r="Y228" s="634"/>
      <c r="Z228" s="634"/>
      <c r="AA228" s="634"/>
      <c r="AB228" s="634"/>
      <c r="AC228" s="634"/>
      <c r="AD228" s="634"/>
      <c r="AE228" s="634"/>
      <c r="AF228" s="634"/>
      <c r="AG228" s="634"/>
      <c r="AH228" s="634"/>
      <c r="AI228" s="634"/>
      <c r="AJ228" s="634"/>
      <c r="AK228" s="634"/>
      <c r="AL228" s="634"/>
      <c r="AM228" s="634"/>
      <c r="AN228" s="634"/>
      <c r="AO228" s="634"/>
      <c r="AP228" s="634"/>
      <c r="AQ228" s="634"/>
      <c r="AR228" s="634"/>
      <c r="AS228" s="634"/>
      <c r="AT228" s="634"/>
      <c r="AU228" s="634"/>
      <c r="AV228" s="634"/>
    </row>
    <row r="229" spans="1:48" ht="15.75" customHeight="1">
      <c r="A229" s="4717"/>
      <c r="B229" s="633"/>
      <c r="C229" s="634"/>
      <c r="D229" s="634"/>
      <c r="E229" s="634"/>
      <c r="F229" s="634"/>
      <c r="G229" s="1350"/>
      <c r="H229" s="1350"/>
      <c r="I229" s="634"/>
      <c r="J229" s="634"/>
      <c r="K229" s="517"/>
      <c r="L229" s="634"/>
      <c r="M229" s="634"/>
      <c r="N229" s="634"/>
      <c r="O229" s="634"/>
      <c r="P229" s="634"/>
      <c r="Q229" s="634"/>
      <c r="R229" s="634"/>
      <c r="S229" s="634"/>
      <c r="T229" s="634"/>
      <c r="U229" s="634"/>
      <c r="V229" s="634"/>
      <c r="W229" s="634"/>
      <c r="X229" s="634"/>
      <c r="Y229" s="634"/>
      <c r="Z229" s="634"/>
      <c r="AA229" s="634"/>
      <c r="AB229" s="634"/>
      <c r="AC229" s="634"/>
      <c r="AD229" s="634"/>
      <c r="AE229" s="634"/>
      <c r="AF229" s="634"/>
      <c r="AG229" s="634"/>
      <c r="AH229" s="634"/>
      <c r="AI229" s="634"/>
      <c r="AJ229" s="634"/>
      <c r="AK229" s="634"/>
      <c r="AL229" s="634"/>
      <c r="AM229" s="634"/>
      <c r="AN229" s="634"/>
      <c r="AO229" s="634"/>
      <c r="AP229" s="634"/>
      <c r="AQ229" s="634"/>
      <c r="AR229" s="634"/>
      <c r="AS229" s="634"/>
      <c r="AT229" s="634"/>
      <c r="AU229" s="634"/>
      <c r="AV229" s="634"/>
    </row>
    <row r="230" spans="1:48" ht="15.75" customHeight="1">
      <c r="A230" s="4717"/>
      <c r="B230" s="633"/>
      <c r="C230" s="1347"/>
      <c r="D230" s="634"/>
      <c r="E230" s="634"/>
      <c r="F230" s="1348" t="s">
        <v>1069</v>
      </c>
      <c r="G230" s="1349">
        <f>IF(E213&gt;J213,E213-J213,J213-E213)</f>
        <v>6.6306483300589414E-3</v>
      </c>
      <c r="H230" s="1266">
        <f>G230*1000</f>
        <v>6.6306483300589409</v>
      </c>
      <c r="I230" s="634"/>
      <c r="J230" s="634"/>
      <c r="K230" s="517"/>
      <c r="L230" s="634"/>
      <c r="M230" s="634"/>
      <c r="N230" s="634"/>
      <c r="O230" s="634"/>
      <c r="P230" s="634"/>
      <c r="Q230" s="634"/>
      <c r="R230" s="634"/>
      <c r="S230" s="634"/>
      <c r="T230" s="634"/>
      <c r="U230" s="634"/>
      <c r="V230" s="634"/>
      <c r="W230" s="634"/>
      <c r="X230" s="634"/>
      <c r="Y230" s="634"/>
      <c r="Z230" s="634"/>
      <c r="AA230" s="634"/>
      <c r="AB230" s="634"/>
      <c r="AC230" s="634"/>
      <c r="AD230" s="634"/>
      <c r="AE230" s="634"/>
      <c r="AF230" s="634"/>
      <c r="AG230" s="634"/>
      <c r="AH230" s="634"/>
      <c r="AI230" s="634"/>
      <c r="AJ230" s="634"/>
      <c r="AK230" s="634"/>
      <c r="AL230" s="634"/>
      <c r="AM230" s="634"/>
      <c r="AN230" s="634"/>
      <c r="AO230" s="634"/>
      <c r="AP230" s="634"/>
      <c r="AQ230" s="634"/>
      <c r="AR230" s="634"/>
      <c r="AS230" s="634"/>
      <c r="AT230" s="634"/>
      <c r="AU230" s="634"/>
      <c r="AV230" s="634"/>
    </row>
    <row r="231" spans="1:48">
      <c r="A231" s="4717"/>
      <c r="B231" s="633"/>
      <c r="C231" s="634"/>
      <c r="D231" s="634"/>
      <c r="E231" s="634"/>
      <c r="F231" s="634"/>
      <c r="G231" s="1350"/>
      <c r="H231" s="1350"/>
      <c r="I231" s="634"/>
      <c r="J231" s="634"/>
      <c r="K231" s="517"/>
      <c r="L231" s="634"/>
      <c r="M231" s="634"/>
      <c r="N231" s="634"/>
      <c r="O231" s="634"/>
      <c r="P231" s="634"/>
      <c r="Q231" s="634"/>
      <c r="R231" s="634"/>
      <c r="S231" s="634"/>
      <c r="T231" s="634"/>
      <c r="U231" s="634"/>
      <c r="V231" s="634"/>
      <c r="W231" s="634"/>
      <c r="X231" s="634"/>
      <c r="Y231" s="634"/>
      <c r="Z231" s="634"/>
      <c r="AA231" s="634"/>
      <c r="AB231" s="634"/>
      <c r="AC231" s="634"/>
      <c r="AD231" s="634"/>
      <c r="AE231" s="634"/>
      <c r="AF231" s="634"/>
      <c r="AG231" s="634"/>
      <c r="AH231" s="634"/>
      <c r="AI231" s="634"/>
      <c r="AJ231" s="634"/>
      <c r="AK231" s="634"/>
      <c r="AL231" s="634"/>
      <c r="AM231" s="634"/>
      <c r="AN231" s="634"/>
      <c r="AO231" s="634"/>
      <c r="AP231" s="634"/>
      <c r="AQ231" s="634"/>
      <c r="AR231" s="634"/>
      <c r="AS231" s="634"/>
      <c r="AT231" s="634"/>
      <c r="AU231" s="634"/>
      <c r="AV231" s="634"/>
    </row>
    <row r="232" spans="1:48" ht="15.75" customHeight="1">
      <c r="A232" s="4717"/>
      <c r="B232" s="1375" t="s">
        <v>1048</v>
      </c>
      <c r="C232" s="1315"/>
      <c r="D232" s="1315"/>
      <c r="E232" s="1315"/>
      <c r="F232" s="1315"/>
      <c r="G232" s="1376"/>
      <c r="H232" s="1376"/>
      <c r="I232" s="1315"/>
      <c r="J232" s="1315"/>
      <c r="K232" s="1377"/>
      <c r="L232" s="634"/>
      <c r="M232" s="634"/>
      <c r="N232" s="634"/>
      <c r="O232" s="634"/>
      <c r="P232" s="634"/>
      <c r="Q232" s="634"/>
      <c r="R232" s="634"/>
      <c r="S232" s="634"/>
      <c r="T232" s="634"/>
      <c r="U232" s="634"/>
      <c r="V232" s="634"/>
      <c r="W232" s="634"/>
      <c r="X232" s="634"/>
      <c r="Y232" s="634"/>
      <c r="Z232" s="634"/>
      <c r="AA232" s="634"/>
      <c r="AB232" s="634"/>
      <c r="AC232" s="634"/>
      <c r="AD232" s="634"/>
      <c r="AE232" s="634"/>
      <c r="AF232" s="634"/>
      <c r="AG232" s="634"/>
      <c r="AH232" s="634"/>
      <c r="AI232" s="634"/>
      <c r="AJ232" s="634"/>
      <c r="AK232" s="634"/>
      <c r="AL232" s="634"/>
      <c r="AM232" s="634"/>
      <c r="AN232" s="634"/>
      <c r="AO232" s="634"/>
      <c r="AP232" s="634"/>
      <c r="AQ232" s="634"/>
      <c r="AR232" s="634"/>
      <c r="AS232" s="634"/>
      <c r="AT232" s="634"/>
      <c r="AU232" s="634"/>
      <c r="AV232" s="634"/>
    </row>
    <row r="233" spans="1:48">
      <c r="A233" s="4717"/>
      <c r="B233" s="656" t="s">
        <v>1049</v>
      </c>
      <c r="C233" s="1362"/>
      <c r="D233" s="634"/>
      <c r="E233" s="634"/>
      <c r="F233" s="634"/>
      <c r="G233" s="634"/>
      <c r="H233" s="634"/>
      <c r="I233" s="634"/>
      <c r="J233" s="634"/>
      <c r="K233" s="517"/>
      <c r="L233" s="634"/>
      <c r="M233" s="634"/>
      <c r="N233" s="634"/>
      <c r="O233" s="634"/>
      <c r="P233" s="634"/>
      <c r="Q233" s="634"/>
      <c r="R233" s="634"/>
      <c r="S233" s="634"/>
      <c r="T233" s="634"/>
      <c r="U233" s="634"/>
      <c r="V233" s="634"/>
      <c r="W233" s="634"/>
      <c r="X233" s="634"/>
      <c r="Y233" s="634"/>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c r="AU233" s="634"/>
      <c r="AV233" s="634"/>
    </row>
    <row r="234" spans="1:48">
      <c r="A234" s="4717"/>
      <c r="B234" s="5902" t="s">
        <v>998</v>
      </c>
      <c r="C234" s="5903"/>
      <c r="D234" s="5903"/>
      <c r="E234" s="5903"/>
      <c r="F234" s="5903"/>
      <c r="G234" s="5903"/>
      <c r="H234" s="5903"/>
      <c r="I234" s="5903"/>
      <c r="J234" s="5903"/>
      <c r="K234" s="5904"/>
      <c r="L234" s="634"/>
      <c r="M234" s="634"/>
      <c r="N234" s="634"/>
      <c r="O234" s="634"/>
      <c r="P234" s="634"/>
      <c r="Q234" s="634"/>
      <c r="R234" s="634"/>
      <c r="S234" s="634"/>
      <c r="T234" s="634"/>
      <c r="U234" s="634"/>
      <c r="V234" s="634"/>
      <c r="W234" s="634"/>
      <c r="X234" s="634"/>
      <c r="Y234" s="634"/>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c r="AU234" s="634"/>
      <c r="AV234" s="634"/>
    </row>
    <row r="235" spans="1:48">
      <c r="A235" s="4717"/>
      <c r="B235" s="5905" t="s">
        <v>999</v>
      </c>
      <c r="C235" s="5857"/>
      <c r="D235" s="5857"/>
      <c r="E235" s="5857"/>
      <c r="F235" s="5857"/>
      <c r="G235" s="5857"/>
      <c r="H235" s="5857"/>
      <c r="I235" s="5857"/>
      <c r="J235" s="5857"/>
      <c r="K235" s="517"/>
      <c r="L235" s="634"/>
      <c r="M235" s="634"/>
      <c r="N235" s="634"/>
      <c r="O235" s="634"/>
      <c r="P235" s="634"/>
      <c r="Q235" s="634"/>
      <c r="R235" s="634"/>
      <c r="S235" s="634"/>
      <c r="T235" s="634"/>
      <c r="U235" s="634"/>
      <c r="V235" s="634"/>
      <c r="W235" s="634"/>
      <c r="X235" s="634"/>
      <c r="Y235" s="634"/>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c r="AU235" s="634"/>
      <c r="AV235" s="634"/>
    </row>
    <row r="236" spans="1:48" ht="15.75" customHeight="1">
      <c r="A236" s="4717"/>
      <c r="B236" s="5815" t="s">
        <v>990</v>
      </c>
      <c r="C236" s="5803" t="s">
        <v>1000</v>
      </c>
      <c r="D236" s="5803"/>
      <c r="E236" s="5803"/>
      <c r="F236" s="5803"/>
      <c r="G236" s="5803"/>
      <c r="H236" s="5803"/>
      <c r="I236" s="5803"/>
      <c r="J236" s="634"/>
      <c r="K236" s="517"/>
      <c r="L236" s="634"/>
      <c r="M236" s="634"/>
      <c r="N236" s="634"/>
      <c r="O236" s="634"/>
      <c r="P236" s="634"/>
      <c r="Q236" s="634"/>
      <c r="R236" s="634"/>
      <c r="S236" s="634"/>
      <c r="T236" s="634"/>
      <c r="U236" s="634"/>
      <c r="V236" s="634"/>
      <c r="W236" s="634"/>
      <c r="X236" s="634"/>
      <c r="Y236" s="634"/>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c r="AU236" s="634"/>
      <c r="AV236" s="634"/>
    </row>
    <row r="237" spans="1:48">
      <c r="A237" s="4717"/>
      <c r="B237" s="5815"/>
      <c r="C237" s="5805" t="s">
        <v>1001</v>
      </c>
      <c r="D237" s="5805"/>
      <c r="E237" s="5805"/>
      <c r="F237" s="5805"/>
      <c r="G237" s="5805"/>
      <c r="H237" s="5805"/>
      <c r="I237" s="5805"/>
      <c r="J237" s="634"/>
      <c r="K237" s="517"/>
      <c r="L237" s="634"/>
      <c r="M237" s="634"/>
      <c r="N237" s="634"/>
      <c r="O237" s="634"/>
      <c r="P237" s="634"/>
      <c r="Q237" s="634"/>
      <c r="R237" s="634"/>
      <c r="S237" s="634"/>
      <c r="T237" s="634"/>
      <c r="U237" s="634"/>
      <c r="V237" s="634"/>
      <c r="W237" s="634"/>
      <c r="X237" s="634"/>
      <c r="Y237" s="634"/>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c r="AU237" s="634"/>
      <c r="AV237" s="634"/>
    </row>
    <row r="238" spans="1:48" ht="16.5" thickBot="1">
      <c r="A238" s="4717"/>
      <c r="B238" s="1370" t="s">
        <v>1002</v>
      </c>
      <c r="C238" s="580"/>
      <c r="D238" s="580"/>
      <c r="E238" s="580"/>
      <c r="F238" s="580"/>
      <c r="G238" s="580"/>
      <c r="H238" s="580"/>
      <c r="I238" s="580"/>
      <c r="J238" s="580"/>
      <c r="K238" s="581"/>
      <c r="L238" s="634"/>
      <c r="M238" s="634"/>
      <c r="N238" s="634"/>
      <c r="O238" s="634"/>
      <c r="P238" s="634"/>
      <c r="Q238" s="634"/>
      <c r="R238" s="634"/>
      <c r="S238" s="634"/>
      <c r="T238" s="634"/>
      <c r="U238" s="634"/>
      <c r="V238" s="634"/>
      <c r="W238" s="634"/>
      <c r="X238" s="634"/>
      <c r="Y238" s="634"/>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c r="AU238" s="634"/>
      <c r="AV238" s="634"/>
    </row>
    <row r="239" spans="1:48">
      <c r="A239" s="634"/>
      <c r="B239" s="634"/>
      <c r="C239" s="634"/>
      <c r="D239" s="634"/>
      <c r="E239" s="634"/>
      <c r="F239" s="634"/>
      <c r="G239" s="634"/>
      <c r="H239" s="634"/>
      <c r="I239" s="634"/>
      <c r="J239" s="634"/>
      <c r="K239" s="634"/>
      <c r="L239" s="634"/>
      <c r="M239" s="634"/>
      <c r="N239" s="634"/>
      <c r="O239" s="634"/>
      <c r="P239" s="634"/>
      <c r="Q239" s="634"/>
      <c r="R239" s="634"/>
      <c r="S239" s="634"/>
      <c r="T239" s="634"/>
      <c r="U239" s="634"/>
      <c r="V239" s="634"/>
      <c r="W239" s="634"/>
      <c r="X239" s="634"/>
      <c r="Y239" s="634"/>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c r="AU239" s="634"/>
      <c r="AV239" s="634"/>
    </row>
    <row r="240" spans="1:48">
      <c r="A240" s="634"/>
      <c r="B240" s="634"/>
      <c r="C240" s="634"/>
      <c r="D240" s="634"/>
      <c r="E240" s="634"/>
      <c r="F240" s="634"/>
      <c r="G240" s="634"/>
      <c r="H240" s="634"/>
      <c r="I240" s="634"/>
      <c r="J240" s="634"/>
      <c r="K240" s="634"/>
      <c r="L240" s="634"/>
      <c r="M240" s="634"/>
      <c r="N240" s="634"/>
      <c r="O240" s="634"/>
      <c r="P240" s="634"/>
      <c r="Q240" s="634"/>
      <c r="R240" s="634"/>
      <c r="S240" s="634"/>
      <c r="T240" s="634"/>
      <c r="U240" s="634"/>
      <c r="V240" s="634"/>
      <c r="W240" s="634"/>
      <c r="X240" s="634"/>
      <c r="Y240" s="634"/>
      <c r="Z240" s="634"/>
      <c r="AA240" s="634"/>
      <c r="AB240" s="634"/>
      <c r="AC240" s="634"/>
      <c r="AD240" s="634"/>
      <c r="AE240" s="634"/>
      <c r="AF240" s="634"/>
      <c r="AG240" s="634"/>
      <c r="AH240" s="634"/>
      <c r="AI240" s="634"/>
      <c r="AL240" s="634"/>
      <c r="AM240" s="634"/>
      <c r="AN240" s="634"/>
      <c r="AO240" s="634"/>
      <c r="AP240" s="634"/>
      <c r="AQ240" s="634"/>
      <c r="AR240" s="634"/>
      <c r="AS240" s="634"/>
      <c r="AT240" s="634"/>
      <c r="AU240" s="634"/>
      <c r="AV240" s="634"/>
    </row>
    <row r="241" spans="1:48" ht="15.75" customHeight="1">
      <c r="A241" s="5890">
        <f>ROW()</f>
        <v>241</v>
      </c>
      <c r="B241" s="5891" t="s">
        <v>1070</v>
      </c>
      <c r="C241" s="5891"/>
      <c r="D241" s="5891"/>
      <c r="E241" s="5891"/>
      <c r="F241" s="5891"/>
      <c r="G241" s="5891"/>
      <c r="H241" s="5891"/>
      <c r="I241" s="5891"/>
      <c r="J241" s="5891"/>
      <c r="K241" s="5891"/>
      <c r="L241" s="5891"/>
      <c r="M241" s="5891"/>
      <c r="N241" s="5891"/>
      <c r="O241" s="5891"/>
      <c r="P241" s="5891"/>
      <c r="Q241" s="5891"/>
      <c r="R241" s="5891"/>
      <c r="S241" s="5891"/>
      <c r="T241" s="5891"/>
      <c r="U241" s="5891"/>
      <c r="V241" s="5891"/>
      <c r="W241" s="5891"/>
      <c r="X241" s="5891"/>
      <c r="Y241" s="5891"/>
      <c r="Z241" s="5891"/>
      <c r="AA241" s="5891"/>
      <c r="AB241" s="5891"/>
      <c r="AC241" s="5891"/>
      <c r="AD241" s="5891"/>
      <c r="AE241" s="5891"/>
      <c r="AF241" s="5891"/>
      <c r="AG241" s="5891"/>
      <c r="AH241" s="5891"/>
      <c r="AI241" s="5891"/>
      <c r="AJ241" s="5891"/>
      <c r="AK241" s="5891"/>
      <c r="AL241" s="5891"/>
      <c r="AM241" s="5891"/>
      <c r="AN241" s="5891"/>
      <c r="AO241" s="5891"/>
      <c r="AP241" s="5891"/>
      <c r="AQ241" s="5891"/>
      <c r="AR241" s="5891"/>
      <c r="AS241" s="5891"/>
      <c r="AT241" s="5891"/>
      <c r="AU241" s="5891"/>
      <c r="AV241" s="5891"/>
    </row>
    <row r="242" spans="1:48" ht="15.75" customHeight="1">
      <c r="A242" s="5890"/>
      <c r="B242" s="5891"/>
      <c r="C242" s="5891"/>
      <c r="D242" s="5891"/>
      <c r="E242" s="5891"/>
      <c r="F242" s="5891"/>
      <c r="G242" s="5891"/>
      <c r="H242" s="5891"/>
      <c r="I242" s="5891"/>
      <c r="J242" s="5891"/>
      <c r="K242" s="5891"/>
      <c r="L242" s="5891"/>
      <c r="M242" s="5891"/>
      <c r="N242" s="5891"/>
      <c r="O242" s="5891"/>
      <c r="P242" s="5891"/>
      <c r="Q242" s="5891"/>
      <c r="R242" s="5891"/>
      <c r="S242" s="5891"/>
      <c r="T242" s="5891"/>
      <c r="U242" s="5891"/>
      <c r="V242" s="5891"/>
      <c r="W242" s="5891"/>
      <c r="X242" s="5891"/>
      <c r="Y242" s="5891"/>
      <c r="Z242" s="5891"/>
      <c r="AA242" s="5891"/>
      <c r="AB242" s="5891"/>
      <c r="AC242" s="5891"/>
      <c r="AD242" s="5891"/>
      <c r="AE242" s="5891"/>
      <c r="AF242" s="5891"/>
      <c r="AG242" s="5891"/>
      <c r="AH242" s="5891"/>
      <c r="AI242" s="5891"/>
      <c r="AJ242" s="5891"/>
      <c r="AK242" s="5891"/>
      <c r="AL242" s="5891"/>
      <c r="AM242" s="5891"/>
      <c r="AN242" s="5891"/>
      <c r="AO242" s="5891"/>
      <c r="AP242" s="5891"/>
      <c r="AQ242" s="5891"/>
      <c r="AR242" s="5891"/>
      <c r="AS242" s="5891"/>
      <c r="AT242" s="5891"/>
      <c r="AU242" s="5891"/>
      <c r="AV242" s="5891"/>
    </row>
    <row r="243" spans="1:48" ht="16.5" thickBot="1">
      <c r="A243" s="634"/>
      <c r="B243" s="634"/>
      <c r="C243" s="634"/>
      <c r="D243" s="634"/>
      <c r="E243" s="634"/>
      <c r="F243" s="634"/>
      <c r="G243" s="634"/>
      <c r="H243" s="634"/>
      <c r="I243" s="634"/>
      <c r="J243" s="634"/>
      <c r="K243" s="634"/>
      <c r="L243" s="634"/>
      <c r="M243" s="634"/>
      <c r="N243" s="634"/>
      <c r="O243" s="634"/>
      <c r="P243" s="634"/>
      <c r="Q243" s="634"/>
      <c r="R243" s="634"/>
      <c r="S243" s="634"/>
      <c r="T243" s="634"/>
      <c r="U243" s="634"/>
      <c r="V243" s="634"/>
      <c r="W243" s="634"/>
      <c r="X243" s="634"/>
      <c r="Y243" s="634"/>
      <c r="Z243" s="634"/>
      <c r="AA243" s="634"/>
      <c r="AB243" s="634"/>
      <c r="AC243" s="634"/>
      <c r="AD243" s="634"/>
      <c r="AE243" s="634"/>
      <c r="AF243" s="634"/>
      <c r="AG243" s="634"/>
      <c r="AH243" s="634"/>
      <c r="AI243" s="634"/>
      <c r="AL243" s="634"/>
      <c r="AM243" s="634"/>
      <c r="AN243" s="634"/>
      <c r="AO243" s="634"/>
      <c r="AP243" s="634"/>
      <c r="AQ243" s="634"/>
      <c r="AR243" s="634"/>
      <c r="AS243" s="634"/>
      <c r="AT243" s="634"/>
      <c r="AU243" s="634"/>
      <c r="AV243" s="634"/>
    </row>
    <row r="244" spans="1:48" ht="21">
      <c r="A244" s="1192" t="s">
        <v>70</v>
      </c>
      <c r="B244" s="5912" t="s">
        <v>1071</v>
      </c>
      <c r="C244" s="5913"/>
      <c r="D244" s="5913"/>
      <c r="E244" s="5913"/>
      <c r="F244" s="5913"/>
      <c r="G244" s="5913"/>
      <c r="H244" s="5913"/>
      <c r="I244" s="5913"/>
      <c r="J244" s="5913"/>
      <c r="K244" s="5914"/>
      <c r="L244" s="634"/>
      <c r="M244" s="634"/>
      <c r="N244" s="634"/>
      <c r="O244" s="634"/>
      <c r="P244" s="634"/>
      <c r="Q244" s="1192" t="s">
        <v>70</v>
      </c>
      <c r="R244" s="5912" t="s">
        <v>1045</v>
      </c>
      <c r="S244" s="5913"/>
      <c r="T244" s="5913"/>
      <c r="U244" s="5913"/>
      <c r="V244" s="5913"/>
      <c r="W244" s="5913"/>
      <c r="X244" s="5913"/>
      <c r="Y244" s="5913"/>
      <c r="Z244" s="5914"/>
      <c r="AA244" s="634"/>
      <c r="AB244" s="1192" t="s">
        <v>70</v>
      </c>
      <c r="AC244" s="5912" t="s">
        <v>1045</v>
      </c>
      <c r="AD244" s="5913"/>
      <c r="AE244" s="5913"/>
      <c r="AF244" s="5913"/>
      <c r="AG244" s="5913"/>
      <c r="AH244" s="5913"/>
      <c r="AI244" s="5913"/>
      <c r="AJ244" s="5913"/>
      <c r="AK244" s="5914"/>
      <c r="AL244" s="634"/>
      <c r="AM244" s="1192" t="s">
        <v>70</v>
      </c>
      <c r="AN244" s="5912" t="s">
        <v>1045</v>
      </c>
      <c r="AO244" s="5913"/>
      <c r="AP244" s="5913"/>
      <c r="AQ244" s="5913"/>
      <c r="AR244" s="5913"/>
      <c r="AS244" s="5913"/>
      <c r="AT244" s="5913"/>
      <c r="AU244" s="5913"/>
      <c r="AV244" s="5914"/>
    </row>
    <row r="245" spans="1:48" ht="15.75" customHeight="1">
      <c r="A245" s="4717" t="str">
        <f>B244</f>
        <v>Formule du calcul du poids de PATE FERMENTEE   - comparer deux valeurs</v>
      </c>
      <c r="B245" s="533" t="str">
        <f>ADDRESS(ROW(),COLUMN(),4)</f>
        <v>B245</v>
      </c>
      <c r="C245" s="903" t="s">
        <v>691</v>
      </c>
      <c r="D245" s="1012"/>
      <c r="E245" s="1012"/>
      <c r="F245" s="1012"/>
      <c r="G245" s="1225"/>
      <c r="H245" s="1225"/>
      <c r="I245" s="1225"/>
      <c r="J245" s="1225" t="str">
        <f ca="1">MID(CELL("filename",B245),SEARCH("[",CELL("filename",B245))+1,SEARCH("]",CELL("filename",B245))-SEARCH("[",CELL("filename",B245))-1)</f>
        <v>ff-22-formats-formules-pourcentages.xlsx</v>
      </c>
      <c r="K245" s="1226">
        <v>6</v>
      </c>
      <c r="L245" s="634"/>
      <c r="M245" s="634"/>
      <c r="N245" s="634"/>
      <c r="O245" s="634"/>
      <c r="P245" s="634"/>
      <c r="Q245" s="4717" t="str">
        <f>R244</f>
        <v>Formule du calcul du poids de PATE FERMENTEE</v>
      </c>
      <c r="R245" s="533" t="str">
        <f>ADDRESS(ROW(),COLUMN(),4)</f>
        <v>R245</v>
      </c>
      <c r="S245" s="903" t="s">
        <v>691</v>
      </c>
      <c r="T245" s="1224"/>
      <c r="U245" s="1224"/>
      <c r="V245" s="1224"/>
      <c r="W245" s="1224"/>
      <c r="X245" s="1225"/>
      <c r="Y245" s="1225" t="str">
        <f ca="1">MID(CELL("filename",R245),SEARCH("[",CELL("filename",R245))+1,SEARCH("]",CELL("filename",R245))-SEARCH("[",CELL("filename",R245))-1)</f>
        <v>ff-22-formats-formules-pourcentages.xlsx</v>
      </c>
      <c r="Z245" s="1226">
        <v>6</v>
      </c>
      <c r="AA245" s="634"/>
      <c r="AB245" s="4717" t="str">
        <f>AC244</f>
        <v>Formule du calcul du poids de PATE FERMENTEE</v>
      </c>
      <c r="AC245" s="533" t="str">
        <f>ADDRESS(ROW(),COLUMN(),4)</f>
        <v>AC245</v>
      </c>
      <c r="AD245" s="903" t="s">
        <v>691</v>
      </c>
      <c r="AE245" s="1224"/>
      <c r="AF245" s="1224"/>
      <c r="AG245" s="1224"/>
      <c r="AH245" s="1224"/>
      <c r="AI245" s="1225"/>
      <c r="AJ245" s="1225" t="str">
        <f ca="1">MID(CELL("filename",AC245),SEARCH("[",CELL("filename",AC245))+1,SEARCH("]",CELL("filename",AC245))-SEARCH("[",CELL("filename",AC245))-1)</f>
        <v>ff-22-formats-formules-pourcentages.xlsx</v>
      </c>
      <c r="AK245" s="1226">
        <v>6</v>
      </c>
      <c r="AL245" s="634"/>
      <c r="AM245" s="4717" t="str">
        <f>AN244</f>
        <v>Formule du calcul du poids de PATE FERMENTEE</v>
      </c>
      <c r="AN245" s="533" t="str">
        <f>ADDRESS(ROW(),COLUMN(),4)</f>
        <v>AN245</v>
      </c>
      <c r="AO245" s="903" t="s">
        <v>691</v>
      </c>
      <c r="AP245" s="1224"/>
      <c r="AQ245" s="1224"/>
      <c r="AR245" s="1224"/>
      <c r="AS245" s="1224"/>
      <c r="AT245" s="1225"/>
      <c r="AU245" s="1225" t="str">
        <f ca="1">MID(CELL("filename",AN245),SEARCH("[",CELL("filename",AN245))+1,SEARCH("]",CELL("filename",AN245))-SEARCH("[",CELL("filename",AN245))-1)</f>
        <v>ff-22-formats-formules-pourcentages.xlsx</v>
      </c>
      <c r="AV245" s="1226">
        <v>6</v>
      </c>
    </row>
    <row r="246" spans="1:48" ht="18.75">
      <c r="A246" s="4717"/>
      <c r="B246" s="1313"/>
      <c r="C246" s="1314"/>
      <c r="D246" s="1321" t="s">
        <v>473</v>
      </c>
      <c r="E246" s="1315"/>
      <c r="F246" s="1315"/>
      <c r="G246" s="1316"/>
      <c r="H246" s="1316"/>
      <c r="I246" s="1322" t="s">
        <v>473</v>
      </c>
      <c r="J246" s="1317"/>
      <c r="K246" s="517"/>
      <c r="L246" s="634"/>
      <c r="M246" s="634"/>
      <c r="N246" s="634"/>
      <c r="O246" s="634"/>
      <c r="P246" s="634"/>
      <c r="Q246" s="4717"/>
      <c r="R246" s="1318"/>
      <c r="S246" s="1200"/>
      <c r="T246" s="1378" t="s">
        <v>473</v>
      </c>
      <c r="U246" s="1201"/>
      <c r="V246" s="1201"/>
      <c r="W246" s="1203"/>
      <c r="X246" s="1204"/>
      <c r="Y246" s="1391" t="s">
        <v>473</v>
      </c>
      <c r="Z246" s="517"/>
      <c r="AA246" s="634"/>
      <c r="AB246" s="4717"/>
      <c r="AC246" s="1318"/>
      <c r="AD246" s="1200"/>
      <c r="AE246" s="1378" t="s">
        <v>473</v>
      </c>
      <c r="AF246" s="1201"/>
      <c r="AG246" s="1201"/>
      <c r="AH246" s="1203"/>
      <c r="AI246" s="1204"/>
      <c r="AJ246" s="1391" t="s">
        <v>473</v>
      </c>
      <c r="AK246" s="517"/>
      <c r="AL246" s="634"/>
      <c r="AM246" s="4717"/>
      <c r="AN246" s="1318"/>
      <c r="AO246" s="1200"/>
      <c r="AP246" s="1378" t="s">
        <v>473</v>
      </c>
      <c r="AQ246" s="1201"/>
      <c r="AR246" s="1201"/>
      <c r="AS246" s="1203"/>
      <c r="AT246" s="1204"/>
      <c r="AU246" s="1391" t="s">
        <v>473</v>
      </c>
      <c r="AV246" s="517"/>
    </row>
    <row r="247" spans="1:48" ht="18.75">
      <c r="A247" s="4717"/>
      <c r="B247" s="1203"/>
      <c r="C247" s="1331" t="s">
        <v>995</v>
      </c>
      <c r="D247" s="1240">
        <v>12.375</v>
      </c>
      <c r="E247" s="1412">
        <v>100</v>
      </c>
      <c r="F247" s="874" t="s">
        <v>1054</v>
      </c>
      <c r="G247" s="1203"/>
      <c r="H247" s="1203" t="s">
        <v>995</v>
      </c>
      <c r="I247" s="1240">
        <v>12</v>
      </c>
      <c r="J247" s="1412">
        <v>100</v>
      </c>
      <c r="K247" s="517"/>
      <c r="L247" s="634"/>
      <c r="M247" s="634"/>
      <c r="N247" s="634"/>
      <c r="O247" s="634"/>
      <c r="P247" s="634"/>
      <c r="Q247" s="4717"/>
      <c r="R247" s="1323"/>
      <c r="S247" s="1331" t="s">
        <v>995</v>
      </c>
      <c r="T247" s="1240">
        <v>12.375</v>
      </c>
      <c r="U247" s="1231">
        <v>100</v>
      </c>
      <c r="V247" s="1201"/>
      <c r="W247" s="1392"/>
      <c r="X247" s="1392" t="s">
        <v>1072</v>
      </c>
      <c r="Y247" s="1413">
        <v>10</v>
      </c>
      <c r="Z247" s="517"/>
      <c r="AA247" s="634"/>
      <c r="AB247" s="4717"/>
      <c r="AC247" s="1323"/>
      <c r="AD247" s="1331" t="s">
        <v>995</v>
      </c>
      <c r="AE247" s="1240">
        <v>12</v>
      </c>
      <c r="AF247" s="1231">
        <v>100</v>
      </c>
      <c r="AG247" s="1201"/>
      <c r="AH247" s="1392"/>
      <c r="AI247" s="1392" t="s">
        <v>1072</v>
      </c>
      <c r="AJ247" s="1413">
        <v>10</v>
      </c>
      <c r="AK247" s="517"/>
      <c r="AL247" s="634"/>
      <c r="AM247" s="4717"/>
      <c r="AN247" s="1323"/>
      <c r="AO247" s="1331" t="s">
        <v>995</v>
      </c>
      <c r="AP247" s="1240">
        <v>12.611000000000001</v>
      </c>
      <c r="AQ247" s="1231">
        <v>100</v>
      </c>
      <c r="AR247" s="1201"/>
      <c r="AS247" s="1392"/>
      <c r="AT247" s="1392" t="s">
        <v>1072</v>
      </c>
      <c r="AU247" s="1413">
        <v>10</v>
      </c>
      <c r="AV247" s="517"/>
    </row>
    <row r="248" spans="1:48" ht="18.75">
      <c r="A248" s="4717"/>
      <c r="B248" s="1318"/>
      <c r="C248" s="814"/>
      <c r="D248" s="1321" t="s">
        <v>473</v>
      </c>
      <c r="E248" s="1320"/>
      <c r="F248" s="1320"/>
      <c r="G248" s="1320"/>
      <c r="H248" s="1320"/>
      <c r="I248" s="1322" t="s">
        <v>473</v>
      </c>
      <c r="J248" s="1279"/>
      <c r="K248" s="517"/>
      <c r="L248" s="634"/>
      <c r="M248" s="634"/>
      <c r="N248" s="634"/>
      <c r="O248" s="634"/>
      <c r="P248" s="634"/>
      <c r="Q248" s="4717"/>
      <c r="R248" s="1414"/>
      <c r="S248" s="1200"/>
      <c r="T248" s="1201"/>
      <c r="U248" s="1201"/>
      <c r="V248" s="1201"/>
      <c r="W248" s="1203"/>
      <c r="X248" s="1204"/>
      <c r="Y248" s="1201"/>
      <c r="Z248" s="517"/>
      <c r="AA248" s="634"/>
      <c r="AB248" s="4717"/>
      <c r="AC248" s="1414"/>
      <c r="AD248" s="1200"/>
      <c r="AE248" s="1201"/>
      <c r="AF248" s="1201"/>
      <c r="AG248" s="1201"/>
      <c r="AH248" s="1203"/>
      <c r="AI248" s="1204"/>
      <c r="AJ248" s="1201"/>
      <c r="AK248" s="517"/>
      <c r="AL248" s="634"/>
      <c r="AM248" s="4717"/>
      <c r="AN248" s="1414"/>
      <c r="AO248" s="1200"/>
      <c r="AP248" s="1201"/>
      <c r="AQ248" s="1201"/>
      <c r="AR248" s="1201"/>
      <c r="AS248" s="1203"/>
      <c r="AT248" s="1204"/>
      <c r="AU248" s="1201"/>
      <c r="AV248" s="517"/>
    </row>
    <row r="249" spans="1:48" ht="18.75">
      <c r="A249" s="4717"/>
      <c r="B249" s="1326"/>
      <c r="C249" s="1327" t="s">
        <v>1072</v>
      </c>
      <c r="D249" s="1328">
        <v>10</v>
      </c>
      <c r="E249" s="1203"/>
      <c r="F249" s="874" t="s">
        <v>1054</v>
      </c>
      <c r="G249" s="634"/>
      <c r="H249" s="1203" t="s">
        <v>1072</v>
      </c>
      <c r="I249" s="1330">
        <v>10</v>
      </c>
      <c r="J249" s="634"/>
      <c r="K249" s="517"/>
      <c r="L249" s="634"/>
      <c r="M249" s="634"/>
      <c r="N249" s="634"/>
      <c r="O249" s="634"/>
      <c r="P249" s="634"/>
      <c r="Q249" s="4717"/>
      <c r="R249" s="634"/>
      <c r="S249" s="634"/>
      <c r="T249" s="634"/>
      <c r="U249" s="1415" t="s">
        <v>1073</v>
      </c>
      <c r="V249" s="1306">
        <f>(T247*Y247)/U247</f>
        <v>1.2375</v>
      </c>
      <c r="W249" s="634"/>
      <c r="X249" s="634"/>
      <c r="Y249" s="1266"/>
      <c r="Z249" s="517"/>
      <c r="AA249" s="634"/>
      <c r="AB249" s="4717"/>
      <c r="AC249" s="634"/>
      <c r="AD249" s="634"/>
      <c r="AE249" s="634"/>
      <c r="AF249" s="1415" t="s">
        <v>1073</v>
      </c>
      <c r="AG249" s="1306">
        <f>(AE247*AJ247)/AF247</f>
        <v>1.2</v>
      </c>
      <c r="AH249" s="634"/>
      <c r="AI249" s="634"/>
      <c r="AJ249" s="1266"/>
      <c r="AK249" s="517"/>
      <c r="AL249" s="634"/>
      <c r="AM249" s="4717"/>
      <c r="AN249" s="634"/>
      <c r="AO249" s="634"/>
      <c r="AP249" s="634"/>
      <c r="AQ249" s="1415" t="s">
        <v>1073</v>
      </c>
      <c r="AR249" s="1306">
        <f>(AP247*AU247)/AQ247</f>
        <v>1.2611000000000001</v>
      </c>
      <c r="AS249" s="634"/>
      <c r="AT249" s="634"/>
      <c r="AU249" s="1266"/>
      <c r="AV249" s="517"/>
    </row>
    <row r="250" spans="1:48">
      <c r="A250" s="4717"/>
      <c r="B250" s="633"/>
      <c r="C250" s="634"/>
      <c r="E250" s="634"/>
      <c r="F250" s="634"/>
      <c r="G250" s="1320"/>
      <c r="H250" s="1320"/>
      <c r="I250" s="634"/>
      <c r="J250" s="634"/>
      <c r="K250" s="517"/>
      <c r="L250" s="634"/>
      <c r="M250" s="634"/>
      <c r="N250" s="634"/>
      <c r="O250" s="634"/>
      <c r="P250" s="634"/>
      <c r="Q250" s="4717"/>
      <c r="R250" s="1333"/>
      <c r="S250" s="1224"/>
      <c r="T250" s="1224"/>
      <c r="U250" s="1224"/>
      <c r="V250" s="1224"/>
      <c r="W250" s="1224"/>
      <c r="X250" s="1224"/>
      <c r="Y250" s="1224"/>
      <c r="Z250" s="1194"/>
      <c r="AA250" s="634"/>
      <c r="AB250" s="4717"/>
      <c r="AC250" s="1333"/>
      <c r="AD250" s="1224"/>
      <c r="AE250" s="1224"/>
      <c r="AF250" s="1224"/>
      <c r="AG250" s="1224"/>
      <c r="AH250" s="1224"/>
      <c r="AI250" s="1224"/>
      <c r="AJ250" s="1224"/>
      <c r="AK250" s="1194"/>
      <c r="AL250" s="634"/>
      <c r="AM250" s="4717"/>
      <c r="AN250" s="1333"/>
      <c r="AO250" s="1224"/>
      <c r="AP250" s="1224"/>
      <c r="AQ250" s="1224"/>
      <c r="AR250" s="1224"/>
      <c r="AS250" s="1224"/>
      <c r="AT250" s="1224"/>
      <c r="AU250" s="1224"/>
      <c r="AV250" s="1194"/>
    </row>
    <row r="251" spans="1:48" ht="18.75">
      <c r="A251" s="4717"/>
      <c r="B251" s="1335"/>
      <c r="C251" s="1416" t="s">
        <v>1073</v>
      </c>
      <c r="D251" s="1399">
        <f>D249</f>
        <v>10</v>
      </c>
      <c r="E251" s="1336">
        <f>(D247/E247)*D249</f>
        <v>1.2375</v>
      </c>
      <c r="F251" s="1266"/>
      <c r="G251" s="1417"/>
      <c r="H251" s="1417" t="s">
        <v>1073</v>
      </c>
      <c r="I251" s="1400">
        <f>I249</f>
        <v>10</v>
      </c>
      <c r="J251" s="1338">
        <f>(I247/J247)*I249</f>
        <v>1.2</v>
      </c>
      <c r="K251" s="1401"/>
      <c r="L251" s="634"/>
      <c r="M251" s="634"/>
      <c r="N251" s="634"/>
      <c r="O251" s="634"/>
      <c r="P251" s="634"/>
      <c r="Q251" s="4717"/>
      <c r="R251" s="1323"/>
      <c r="S251" s="1190" t="s">
        <v>993</v>
      </c>
      <c r="T251" s="1229"/>
      <c r="U251" s="1229"/>
      <c r="V251" s="1229"/>
      <c r="W251" s="1229"/>
      <c r="X251" s="816"/>
      <c r="Y251" s="634"/>
      <c r="Z251" s="1334" t="s">
        <v>1055</v>
      </c>
      <c r="AA251" s="634"/>
      <c r="AB251" s="4717"/>
      <c r="AC251" s="1323"/>
      <c r="AD251" s="1190" t="s">
        <v>993</v>
      </c>
      <c r="AE251" s="1229"/>
      <c r="AF251" s="1229"/>
      <c r="AG251" s="1229"/>
      <c r="AH251" s="1229"/>
      <c r="AI251" s="816"/>
      <c r="AJ251" s="634"/>
      <c r="AK251" s="1334" t="s">
        <v>1055</v>
      </c>
      <c r="AL251" s="634"/>
      <c r="AM251" s="4717"/>
      <c r="AN251" s="1323"/>
      <c r="AO251" s="1190" t="s">
        <v>993</v>
      </c>
      <c r="AP251" s="1229"/>
      <c r="AQ251" s="1229"/>
      <c r="AR251" s="1229"/>
      <c r="AS251" s="1229"/>
      <c r="AT251" s="816"/>
      <c r="AU251" s="634"/>
      <c r="AV251" s="1334" t="s">
        <v>1055</v>
      </c>
    </row>
    <row r="252" spans="1:48">
      <c r="A252" s="4717"/>
      <c r="B252" s="633"/>
      <c r="C252" s="1346"/>
      <c r="D252" s="1402"/>
      <c r="E252" s="1339"/>
      <c r="F252" s="634"/>
      <c r="G252" s="634"/>
      <c r="H252" s="1346"/>
      <c r="I252" s="1402"/>
      <c r="J252" s="1339"/>
      <c r="K252" s="517"/>
      <c r="L252" s="634"/>
      <c r="M252" s="634"/>
      <c r="N252" s="634"/>
      <c r="O252" s="634"/>
      <c r="P252" s="634"/>
      <c r="Q252" s="4717"/>
      <c r="R252" s="1323"/>
      <c r="S252" s="1229"/>
      <c r="T252" s="1229"/>
      <c r="U252" s="1229"/>
      <c r="V252" s="1229"/>
      <c r="W252" s="1229"/>
      <c r="X252" s="816"/>
      <c r="Y252" s="634"/>
      <c r="Z252" s="1334" t="s">
        <v>1055</v>
      </c>
      <c r="AA252" s="634"/>
      <c r="AB252" s="4717"/>
      <c r="AC252" s="1323"/>
      <c r="AD252" s="1229"/>
      <c r="AE252" s="1229"/>
      <c r="AF252" s="1229"/>
      <c r="AG252" s="1229"/>
      <c r="AH252" s="1229"/>
      <c r="AI252" s="816"/>
      <c r="AJ252" s="634"/>
      <c r="AK252" s="1334" t="s">
        <v>1055</v>
      </c>
      <c r="AL252" s="634"/>
      <c r="AM252" s="4717"/>
      <c r="AN252" s="1323"/>
      <c r="AO252" s="1229"/>
      <c r="AP252" s="1229"/>
      <c r="AQ252" s="1229"/>
      <c r="AR252" s="1229"/>
      <c r="AS252" s="1229"/>
      <c r="AT252" s="816"/>
      <c r="AU252" s="634"/>
      <c r="AV252" s="1334" t="s">
        <v>1055</v>
      </c>
    </row>
    <row r="253" spans="1:48">
      <c r="A253" s="4717"/>
      <c r="B253" s="5915" t="s">
        <v>684</v>
      </c>
      <c r="C253" s="5916"/>
      <c r="D253" s="5916"/>
      <c r="E253" s="5916"/>
      <c r="F253" s="5916"/>
      <c r="G253" s="5916"/>
      <c r="H253" s="5916"/>
      <c r="I253" s="5916"/>
      <c r="J253" s="5916"/>
      <c r="K253" s="5917"/>
      <c r="L253" s="634"/>
      <c r="M253" s="634"/>
      <c r="N253" s="634"/>
      <c r="O253" s="634"/>
      <c r="P253" s="634"/>
      <c r="Q253" s="4717"/>
      <c r="R253" s="1323"/>
      <c r="S253" s="1196" t="s">
        <v>996</v>
      </c>
      <c r="T253" s="1205"/>
      <c r="U253" s="1253" t="str">
        <f>ADDRESS(ROW(U254),COLUMN(U254),4)</f>
        <v>U254</v>
      </c>
      <c r="V253" s="1229"/>
      <c r="W253" s="1256" t="s">
        <v>994</v>
      </c>
      <c r="X253" s="1255" t="s">
        <v>685</v>
      </c>
      <c r="Y253" s="634"/>
      <c r="Z253" s="1334" t="s">
        <v>1055</v>
      </c>
      <c r="AA253" s="634"/>
      <c r="AB253" s="4717"/>
      <c r="AC253" s="1323"/>
      <c r="AD253" s="1196" t="s">
        <v>996</v>
      </c>
      <c r="AE253" s="1205"/>
      <c r="AF253" s="1253" t="str">
        <f>ADDRESS(ROW(AF254),COLUMN(AF254),4)</f>
        <v>AF254</v>
      </c>
      <c r="AG253" s="1229"/>
      <c r="AH253" s="1256" t="s">
        <v>994</v>
      </c>
      <c r="AI253" s="1255" t="s">
        <v>685</v>
      </c>
      <c r="AJ253" s="634"/>
      <c r="AK253" s="1334" t="s">
        <v>1055</v>
      </c>
      <c r="AL253" s="634"/>
      <c r="AM253" s="4717"/>
      <c r="AN253" s="1323"/>
      <c r="AO253" s="1196" t="s">
        <v>996</v>
      </c>
      <c r="AP253" s="1205"/>
      <c r="AQ253" s="1253" t="str">
        <f>ADDRESS(ROW(AQ254),COLUMN(AQ254),4)</f>
        <v>AQ254</v>
      </c>
      <c r="AR253" s="1229"/>
      <c r="AS253" s="1256" t="s">
        <v>994</v>
      </c>
      <c r="AT253" s="1255" t="s">
        <v>685</v>
      </c>
      <c r="AU253" s="634"/>
      <c r="AV253" s="1334" t="s">
        <v>1055</v>
      </c>
    </row>
    <row r="254" spans="1:48" ht="15.75" customHeight="1" thickBot="1">
      <c r="A254" s="4717"/>
      <c r="B254" s="1353"/>
      <c r="C254" s="1206"/>
      <c r="D254" s="1206"/>
      <c r="E254" s="1206"/>
      <c r="F254" s="1354"/>
      <c r="G254" s="1206"/>
      <c r="H254" s="1206"/>
      <c r="I254" s="1206"/>
      <c r="J254" s="634"/>
      <c r="K254" s="521"/>
      <c r="L254" s="634"/>
      <c r="M254" s="634"/>
      <c r="N254" s="634"/>
      <c r="O254" s="634"/>
      <c r="P254" s="634"/>
      <c r="Q254" s="4717"/>
      <c r="R254" s="1344" t="str">
        <f>ADDRESS(ROW(S254),COLUMN(S254),4)</f>
        <v>S254</v>
      </c>
      <c r="S254" s="1270">
        <f>T247</f>
        <v>12.375</v>
      </c>
      <c r="T254" s="1259" t="s">
        <v>603</v>
      </c>
      <c r="U254" s="1264">
        <f>Y247</f>
        <v>10</v>
      </c>
      <c r="V254" s="1261" t="s">
        <v>997</v>
      </c>
      <c r="W254" s="1265">
        <f>(S254*U254)/S255</f>
        <v>1.2375</v>
      </c>
      <c r="X254" s="680" t="str">
        <f ca="1">_xlfn.FORMULATEXT(W254)</f>
        <v>=(S254*U254)/S255</v>
      </c>
      <c r="Y254" s="634"/>
      <c r="Z254" s="1334" t="s">
        <v>1055</v>
      </c>
      <c r="AA254" s="634"/>
      <c r="AB254" s="4717"/>
      <c r="AC254" s="1344" t="str">
        <f>ADDRESS(ROW(AD254),COLUMN(AD254),4)</f>
        <v>AD254</v>
      </c>
      <c r="AD254" s="1270">
        <f>AE247</f>
        <v>12</v>
      </c>
      <c r="AE254" s="1259" t="s">
        <v>603</v>
      </c>
      <c r="AF254" s="1264">
        <f>AJ247</f>
        <v>10</v>
      </c>
      <c r="AG254" s="1261" t="s">
        <v>997</v>
      </c>
      <c r="AH254" s="1265">
        <f>(AD254*AF254)/AD255</f>
        <v>1.2</v>
      </c>
      <c r="AI254" s="680" t="str">
        <f ca="1">_xlfn.FORMULATEXT(AH254)</f>
        <v>=(AD254*AF254)/AD255</v>
      </c>
      <c r="AJ254" s="634"/>
      <c r="AK254" s="1334" t="s">
        <v>1055</v>
      </c>
      <c r="AL254" s="634"/>
      <c r="AM254" s="4717"/>
      <c r="AN254" s="1344" t="str">
        <f>ADDRESS(ROW(AO254),COLUMN(AO254),4)</f>
        <v>AO254</v>
      </c>
      <c r="AO254" s="1270">
        <f>AP247</f>
        <v>12.611000000000001</v>
      </c>
      <c r="AP254" s="1259" t="s">
        <v>603</v>
      </c>
      <c r="AQ254" s="1264">
        <f>AU247</f>
        <v>10</v>
      </c>
      <c r="AR254" s="1261" t="s">
        <v>997</v>
      </c>
      <c r="AS254" s="1265">
        <f>(AO254*AQ254)/AO255</f>
        <v>1.2611000000000001</v>
      </c>
      <c r="AT254" s="680" t="str">
        <f ca="1">_xlfn.FORMULATEXT(AS254)</f>
        <v>=(AO254*AQ254)/AO255</v>
      </c>
      <c r="AU254" s="634"/>
      <c r="AV254" s="1334" t="s">
        <v>1055</v>
      </c>
    </row>
    <row r="255" spans="1:48" ht="15.75" customHeight="1">
      <c r="A255" s="4717"/>
      <c r="B255" s="1353"/>
      <c r="C255" s="1403"/>
      <c r="D255" s="1203" t="s">
        <v>995</v>
      </c>
      <c r="E255" s="1404">
        <f>D247</f>
        <v>12.375</v>
      </c>
      <c r="F255" s="1354"/>
      <c r="G255" s="1206"/>
      <c r="H255" s="1403"/>
      <c r="I255" s="1203" t="s">
        <v>995</v>
      </c>
      <c r="J255" s="1404">
        <f>I247</f>
        <v>12</v>
      </c>
      <c r="K255" s="521"/>
      <c r="L255" s="634"/>
      <c r="M255" s="634"/>
      <c r="N255" s="634"/>
      <c r="O255" s="634"/>
      <c r="P255" s="634"/>
      <c r="Q255" s="4717"/>
      <c r="R255" s="1344" t="str">
        <f>ADDRESS(ROW(S255),COLUMN(S255),4)</f>
        <v>S255</v>
      </c>
      <c r="S255" s="5906">
        <v>100</v>
      </c>
      <c r="T255" s="5906"/>
      <c r="U255" s="5906"/>
      <c r="V255" s="1229"/>
      <c r="W255" s="1234"/>
      <c r="X255" s="1267"/>
      <c r="Y255" s="634"/>
      <c r="Z255" s="1334" t="s">
        <v>1055</v>
      </c>
      <c r="AA255" s="634"/>
      <c r="AB255" s="4717"/>
      <c r="AC255" s="1344" t="str">
        <f>ADDRESS(ROW(AD255),COLUMN(AD255),4)</f>
        <v>AD255</v>
      </c>
      <c r="AD255" s="5906">
        <v>100</v>
      </c>
      <c r="AE255" s="5906"/>
      <c r="AF255" s="5906"/>
      <c r="AG255" s="1229"/>
      <c r="AH255" s="1234"/>
      <c r="AI255" s="1267"/>
      <c r="AJ255" s="634"/>
      <c r="AK255" s="1334" t="s">
        <v>1055</v>
      </c>
      <c r="AL255" s="634"/>
      <c r="AM255" s="4717"/>
      <c r="AN255" s="1344" t="str">
        <f>ADDRESS(ROW(AO255),COLUMN(AO255),4)</f>
        <v>AO255</v>
      </c>
      <c r="AO255" s="5906">
        <v>100</v>
      </c>
      <c r="AP255" s="5906"/>
      <c r="AQ255" s="5906"/>
      <c r="AR255" s="1229"/>
      <c r="AS255" s="1234"/>
      <c r="AT255" s="1267"/>
      <c r="AU255" s="634"/>
      <c r="AV255" s="1334" t="s">
        <v>1055</v>
      </c>
    </row>
    <row r="256" spans="1:48">
      <c r="A256" s="4717"/>
      <c r="B256" s="1353"/>
      <c r="C256" s="1206"/>
      <c r="D256" s="1206"/>
      <c r="E256" s="1206"/>
      <c r="F256" s="1354"/>
      <c r="G256" s="1206"/>
      <c r="H256" s="1206"/>
      <c r="I256" s="1206"/>
      <c r="J256" s="634"/>
      <c r="K256" s="521"/>
      <c r="L256" s="634"/>
      <c r="M256" s="634"/>
      <c r="N256" s="634"/>
      <c r="O256" s="634"/>
      <c r="P256" s="634"/>
      <c r="Q256" s="4717"/>
      <c r="R256" s="1323"/>
      <c r="S256" s="1229"/>
      <c r="T256" s="1229"/>
      <c r="U256" s="1229"/>
      <c r="V256" s="1269"/>
      <c r="W256" s="1269"/>
      <c r="X256" s="816"/>
      <c r="Y256" s="634"/>
      <c r="Z256" s="1334" t="s">
        <v>1055</v>
      </c>
      <c r="AA256" s="634"/>
      <c r="AB256" s="4717"/>
      <c r="AC256" s="1323"/>
      <c r="AD256" s="1229"/>
      <c r="AE256" s="1229"/>
      <c r="AF256" s="1229"/>
      <c r="AG256" s="1269"/>
      <c r="AH256" s="1269"/>
      <c r="AI256" s="816"/>
      <c r="AJ256" s="634"/>
      <c r="AK256" s="1334" t="s">
        <v>1055</v>
      </c>
      <c r="AL256" s="634"/>
      <c r="AM256" s="4717"/>
      <c r="AN256" s="1323"/>
      <c r="AO256" s="1229"/>
      <c r="AP256" s="1229"/>
      <c r="AQ256" s="1229"/>
      <c r="AR256" s="1269"/>
      <c r="AS256" s="1269"/>
      <c r="AT256" s="816"/>
      <c r="AU256" s="634"/>
      <c r="AV256" s="1334" t="s">
        <v>1055</v>
      </c>
    </row>
    <row r="257" spans="1:48" ht="15.75" customHeight="1">
      <c r="A257" s="4717"/>
      <c r="B257" s="1355"/>
      <c r="C257" s="1418"/>
      <c r="D257" s="1356" t="s">
        <v>1074</v>
      </c>
      <c r="E257" s="1405">
        <f>D249</f>
        <v>10</v>
      </c>
      <c r="F257" s="517"/>
      <c r="G257" s="1358"/>
      <c r="H257" s="1418"/>
      <c r="I257" s="1359" t="s">
        <v>1074</v>
      </c>
      <c r="J257" s="1406">
        <f>I249</f>
        <v>10</v>
      </c>
      <c r="K257" s="1361"/>
      <c r="L257" s="634"/>
      <c r="M257" s="634"/>
      <c r="N257" s="634"/>
      <c r="O257" s="634"/>
      <c r="P257" s="634"/>
      <c r="Q257" s="4717"/>
      <c r="R257" s="656" t="s">
        <v>1057</v>
      </c>
      <c r="S257" s="1229"/>
      <c r="T257" s="1229"/>
      <c r="U257" s="1229"/>
      <c r="V257" s="1269"/>
      <c r="W257" s="1269"/>
      <c r="X257" s="816"/>
      <c r="Y257" s="634"/>
      <c r="Z257" s="1334" t="s">
        <v>1055</v>
      </c>
      <c r="AA257" s="634"/>
      <c r="AB257" s="4717"/>
      <c r="AC257" s="656" t="s">
        <v>1057</v>
      </c>
      <c r="AD257" s="1229"/>
      <c r="AE257" s="1229"/>
      <c r="AF257" s="1229"/>
      <c r="AG257" s="1269"/>
      <c r="AH257" s="1269"/>
      <c r="AI257" s="816"/>
      <c r="AJ257" s="634"/>
      <c r="AK257" s="1334" t="s">
        <v>1055</v>
      </c>
      <c r="AL257" s="634"/>
      <c r="AM257" s="4717"/>
      <c r="AN257" s="656" t="s">
        <v>1057</v>
      </c>
      <c r="AO257" s="1229"/>
      <c r="AP257" s="1229"/>
      <c r="AQ257" s="1229"/>
      <c r="AR257" s="1269"/>
      <c r="AS257" s="1269"/>
      <c r="AT257" s="816"/>
      <c r="AU257" s="634"/>
      <c r="AV257" s="1334" t="s">
        <v>1055</v>
      </c>
    </row>
    <row r="258" spans="1:48" ht="18.75">
      <c r="A258" s="4717"/>
      <c r="B258" s="1363" t="s">
        <v>995</v>
      </c>
      <c r="C258" s="1206"/>
      <c r="D258" s="634"/>
      <c r="E258" s="1347"/>
      <c r="F258" s="517"/>
      <c r="G258" s="1364" t="s">
        <v>995</v>
      </c>
      <c r="H258" s="1206"/>
      <c r="I258" s="634"/>
      <c r="J258" s="634"/>
      <c r="K258" s="1365"/>
      <c r="L258" s="634"/>
      <c r="M258" s="634"/>
      <c r="N258" s="634"/>
      <c r="O258" s="634"/>
      <c r="P258" s="634"/>
      <c r="Q258" s="4717"/>
      <c r="R258" s="656"/>
      <c r="S258" s="1229"/>
      <c r="T258" s="1229"/>
      <c r="U258" s="1229"/>
      <c r="V258" s="1269"/>
      <c r="W258" s="1269"/>
      <c r="X258" s="816"/>
      <c r="Y258" s="1320" t="s">
        <v>1058</v>
      </c>
      <c r="Z258" s="1334" t="s">
        <v>1055</v>
      </c>
      <c r="AA258" s="634"/>
      <c r="AB258" s="4717"/>
      <c r="AC258" s="656"/>
      <c r="AD258" s="1229"/>
      <c r="AE258" s="1229"/>
      <c r="AF258" s="1229"/>
      <c r="AG258" s="1269"/>
      <c r="AH258" s="1269"/>
      <c r="AI258" s="816"/>
      <c r="AJ258" s="1320" t="s">
        <v>1058</v>
      </c>
      <c r="AK258" s="1334" t="s">
        <v>1055</v>
      </c>
      <c r="AL258" s="634"/>
      <c r="AM258" s="4717"/>
      <c r="AN258" s="656"/>
      <c r="AO258" s="1229"/>
      <c r="AP258" s="1229"/>
      <c r="AQ258" s="1229"/>
      <c r="AR258" s="1269"/>
      <c r="AS258" s="1269"/>
      <c r="AT258" s="816"/>
      <c r="AU258" s="1320" t="s">
        <v>1058</v>
      </c>
      <c r="AV258" s="1334" t="s">
        <v>1055</v>
      </c>
    </row>
    <row r="259" spans="1:48">
      <c r="A259" s="4717"/>
      <c r="B259" s="1344" t="str">
        <f>ADDRESS(ROW(B260),COLUMN(B260),4)</f>
        <v>B260</v>
      </c>
      <c r="C259" s="1206"/>
      <c r="D259" s="1253" t="str">
        <f>ADDRESS(ROW(D260),COLUMN(D260),4)</f>
        <v>D260</v>
      </c>
      <c r="E259" s="1419" t="s">
        <v>994</v>
      </c>
      <c r="F259" s="1408"/>
      <c r="G259" s="1253" t="str">
        <f>ADDRESS(ROW(G260),COLUMN(G260),4)</f>
        <v>G260</v>
      </c>
      <c r="H259" s="1206"/>
      <c r="I259" s="1253" t="str">
        <f>ADDRESS(ROW(I260),COLUMN(I260),4)</f>
        <v>I260</v>
      </c>
      <c r="J259" s="1419" t="s">
        <v>994</v>
      </c>
      <c r="K259" s="1408"/>
      <c r="L259" s="634"/>
      <c r="M259" s="634"/>
      <c r="N259" s="634"/>
      <c r="O259" s="634"/>
      <c r="P259" s="634"/>
      <c r="Q259" s="4717"/>
      <c r="R259" s="656" t="s">
        <v>1048</v>
      </c>
      <c r="S259" s="1229"/>
      <c r="T259" s="1229"/>
      <c r="U259" s="1229"/>
      <c r="V259" s="1269"/>
      <c r="W259" s="1269"/>
      <c r="X259" s="816"/>
      <c r="Y259" s="1229"/>
      <c r="Z259" s="521"/>
      <c r="AA259" s="634"/>
      <c r="AB259" s="4717"/>
      <c r="AC259" s="656" t="s">
        <v>1048</v>
      </c>
      <c r="AD259" s="1229"/>
      <c r="AE259" s="1229"/>
      <c r="AF259" s="1229"/>
      <c r="AG259" s="1269"/>
      <c r="AH259" s="1269"/>
      <c r="AI259" s="816"/>
      <c r="AJ259" s="1229"/>
      <c r="AK259" s="521"/>
      <c r="AL259" s="634"/>
      <c r="AM259" s="4717"/>
      <c r="AN259" s="656" t="s">
        <v>1048</v>
      </c>
      <c r="AO259" s="1229"/>
      <c r="AP259" s="1229"/>
      <c r="AQ259" s="1229"/>
      <c r="AR259" s="1269"/>
      <c r="AS259" s="1269"/>
      <c r="AT259" s="816"/>
      <c r="AU259" s="1229"/>
      <c r="AV259" s="521"/>
    </row>
    <row r="260" spans="1:48" ht="16.5" thickBot="1">
      <c r="A260" s="4717"/>
      <c r="B260" s="1366">
        <f>D247</f>
        <v>12.375</v>
      </c>
      <c r="C260" s="1270" t="s">
        <v>603</v>
      </c>
      <c r="D260" s="1409">
        <f>D249</f>
        <v>10</v>
      </c>
      <c r="E260" s="1265">
        <f>(B260*D260)/B261</f>
        <v>1.2375</v>
      </c>
      <c r="F260" s="1410"/>
      <c r="G260" s="1368">
        <f>I247</f>
        <v>12</v>
      </c>
      <c r="H260" s="1270" t="s">
        <v>603</v>
      </c>
      <c r="I260" s="1411">
        <f>I249</f>
        <v>10</v>
      </c>
      <c r="J260" s="1265">
        <f>(G260*I260)/G261</f>
        <v>1.2</v>
      </c>
      <c r="K260" s="1410"/>
      <c r="L260" s="634"/>
      <c r="M260" s="634"/>
      <c r="N260" s="634"/>
      <c r="O260" s="634"/>
      <c r="P260" s="634"/>
      <c r="Q260" s="4717"/>
      <c r="R260" s="656" t="s">
        <v>1068</v>
      </c>
      <c r="S260" s="1229"/>
      <c r="T260" s="1229"/>
      <c r="U260" s="1229"/>
      <c r="V260" s="1269"/>
      <c r="W260" s="1269"/>
      <c r="X260" s="816"/>
      <c r="Y260" s="1229"/>
      <c r="Z260" s="517"/>
      <c r="AA260" s="634"/>
      <c r="AB260" s="4717"/>
      <c r="AC260" s="656" t="s">
        <v>1068</v>
      </c>
      <c r="AD260" s="1229"/>
      <c r="AE260" s="1229"/>
      <c r="AF260" s="1229"/>
      <c r="AG260" s="1269"/>
      <c r="AH260" s="1269"/>
      <c r="AI260" s="816"/>
      <c r="AJ260" s="1229"/>
      <c r="AK260" s="517"/>
      <c r="AL260" s="634"/>
      <c r="AM260" s="4717"/>
      <c r="AN260" s="656" t="s">
        <v>1068</v>
      </c>
      <c r="AO260" s="1229"/>
      <c r="AP260" s="1229"/>
      <c r="AQ260" s="1229"/>
      <c r="AR260" s="1269"/>
      <c r="AS260" s="1269"/>
      <c r="AT260" s="816"/>
      <c r="AU260" s="1229"/>
      <c r="AV260" s="517"/>
    </row>
    <row r="261" spans="1:48" ht="15.75" customHeight="1">
      <c r="A261" s="4717"/>
      <c r="B261" s="5907">
        <v>100</v>
      </c>
      <c r="C261" s="5908"/>
      <c r="D261" s="1369" t="s">
        <v>997</v>
      </c>
      <c r="E261" s="680" t="str">
        <f ca="1">_xlfn.FORMULATEXT(E260)</f>
        <v>=(B260*D260)/B261</v>
      </c>
      <c r="F261" s="517"/>
      <c r="G261" s="5908">
        <v>100</v>
      </c>
      <c r="H261" s="5908"/>
      <c r="I261" s="1369" t="s">
        <v>997</v>
      </c>
      <c r="J261" s="680" t="str">
        <f ca="1">_xlfn.FORMULATEXT(J260)</f>
        <v>=(G260*I260)/G261</v>
      </c>
      <c r="K261" s="517"/>
      <c r="L261" s="634"/>
      <c r="M261" s="634"/>
      <c r="N261" s="634"/>
      <c r="O261" s="634"/>
      <c r="P261" s="634"/>
      <c r="Q261" s="4717"/>
      <c r="R261" s="5909" t="s">
        <v>998</v>
      </c>
      <c r="S261" s="5910"/>
      <c r="T261" s="5910"/>
      <c r="U261" s="5910"/>
      <c r="V261" s="5910"/>
      <c r="W261" s="5910"/>
      <c r="X261" s="5910"/>
      <c r="Y261" s="5910"/>
      <c r="Z261" s="5911"/>
      <c r="AA261" s="634"/>
      <c r="AB261" s="4717"/>
      <c r="AC261" s="5909" t="s">
        <v>998</v>
      </c>
      <c r="AD261" s="5910"/>
      <c r="AE261" s="5910"/>
      <c r="AF261" s="5910"/>
      <c r="AG261" s="5910"/>
      <c r="AH261" s="5910"/>
      <c r="AI261" s="5910"/>
      <c r="AJ261" s="5910"/>
      <c r="AK261" s="5911"/>
      <c r="AL261" s="634"/>
      <c r="AM261" s="4717"/>
      <c r="AN261" s="5909" t="s">
        <v>998</v>
      </c>
      <c r="AO261" s="5910"/>
      <c r="AP261" s="5910"/>
      <c r="AQ261" s="5910"/>
      <c r="AR261" s="5910"/>
      <c r="AS261" s="5910"/>
      <c r="AT261" s="5910"/>
      <c r="AU261" s="5910"/>
      <c r="AV261" s="5911"/>
    </row>
    <row r="262" spans="1:48" ht="15.75" customHeight="1">
      <c r="A262" s="4717"/>
      <c r="B262" s="633"/>
      <c r="C262" s="1253" t="str">
        <f>ADDRESS(ROW(B261),COLUMN(B261),4)</f>
        <v>B261</v>
      </c>
      <c r="D262" s="634"/>
      <c r="E262" s="1350"/>
      <c r="F262" s="517"/>
      <c r="G262" s="634"/>
      <c r="H262" s="1253" t="str">
        <f>ADDRESS(ROW(G261),COLUMN(G261),4)</f>
        <v>G261</v>
      </c>
      <c r="I262" s="634"/>
      <c r="J262" s="634"/>
      <c r="K262" s="1361"/>
      <c r="L262" s="634"/>
      <c r="M262" s="634"/>
      <c r="N262" s="634"/>
      <c r="O262" s="634"/>
      <c r="P262" s="634"/>
      <c r="Q262" s="4717"/>
      <c r="R262" s="5800" t="s">
        <v>999</v>
      </c>
      <c r="S262" s="5801"/>
      <c r="T262" s="5801"/>
      <c r="U262" s="5801"/>
      <c r="V262" s="5801"/>
      <c r="W262" s="5801"/>
      <c r="X262" s="5801"/>
      <c r="Y262" s="5801"/>
      <c r="Z262" s="5802"/>
      <c r="AA262" s="634"/>
      <c r="AB262" s="4717"/>
      <c r="AC262" s="5800" t="s">
        <v>999</v>
      </c>
      <c r="AD262" s="5801"/>
      <c r="AE262" s="5801"/>
      <c r="AF262" s="5801"/>
      <c r="AG262" s="5801"/>
      <c r="AH262" s="5801"/>
      <c r="AI262" s="5801"/>
      <c r="AJ262" s="5801"/>
      <c r="AK262" s="5802"/>
      <c r="AL262" s="634"/>
      <c r="AM262" s="4717"/>
      <c r="AN262" s="5800" t="s">
        <v>999</v>
      </c>
      <c r="AO262" s="5801"/>
      <c r="AP262" s="5801"/>
      <c r="AQ262" s="5801"/>
      <c r="AR262" s="5801"/>
      <c r="AS262" s="5801"/>
      <c r="AT262" s="5801"/>
      <c r="AU262" s="5801"/>
      <c r="AV262" s="5802"/>
    </row>
    <row r="263" spans="1:48">
      <c r="A263" s="4717"/>
      <c r="B263" s="1351"/>
      <c r="C263" s="1012"/>
      <c r="D263" s="1012"/>
      <c r="E263" s="1012"/>
      <c r="F263" s="1371"/>
      <c r="G263" s="1352"/>
      <c r="H263" s="1012"/>
      <c r="I263" s="1012"/>
      <c r="J263" s="1012"/>
      <c r="K263" s="1194"/>
      <c r="L263" s="634"/>
      <c r="M263" s="634"/>
      <c r="N263" s="634"/>
      <c r="O263" s="634"/>
      <c r="P263" s="634"/>
      <c r="Q263" s="4717"/>
      <c r="R263" s="5815" t="s">
        <v>990</v>
      </c>
      <c r="S263" s="5803" t="s">
        <v>1000</v>
      </c>
      <c r="T263" s="5803"/>
      <c r="U263" s="5803"/>
      <c r="V263" s="5803"/>
      <c r="W263" s="5803"/>
      <c r="X263" s="5803"/>
      <c r="Y263" s="5803"/>
      <c r="Z263" s="517"/>
      <c r="AA263" s="634"/>
      <c r="AB263" s="4717"/>
      <c r="AC263" s="5815" t="s">
        <v>990</v>
      </c>
      <c r="AD263" s="5803" t="s">
        <v>1000</v>
      </c>
      <c r="AE263" s="5803"/>
      <c r="AF263" s="5803"/>
      <c r="AG263" s="5803"/>
      <c r="AH263" s="5803"/>
      <c r="AI263" s="5803"/>
      <c r="AJ263" s="5803"/>
      <c r="AK263" s="517"/>
      <c r="AL263" s="634"/>
      <c r="AM263" s="4717"/>
      <c r="AN263" s="5815" t="s">
        <v>990</v>
      </c>
      <c r="AO263" s="5803" t="s">
        <v>1000</v>
      </c>
      <c r="AP263" s="5803"/>
      <c r="AQ263" s="5803"/>
      <c r="AR263" s="5803"/>
      <c r="AS263" s="5803"/>
      <c r="AT263" s="5803"/>
      <c r="AU263" s="5803"/>
      <c r="AV263" s="517"/>
    </row>
    <row r="264" spans="1:48" ht="15.75" customHeight="1">
      <c r="A264" s="4717"/>
      <c r="B264" s="633"/>
      <c r="C264" s="634"/>
      <c r="D264" s="634"/>
      <c r="E264" s="634"/>
      <c r="F264" s="634"/>
      <c r="G264" s="1350"/>
      <c r="H264" s="1350"/>
      <c r="I264" s="634"/>
      <c r="J264" s="634"/>
      <c r="K264" s="517"/>
      <c r="L264" s="634"/>
      <c r="M264" s="634"/>
      <c r="N264" s="634"/>
      <c r="O264" s="634"/>
      <c r="P264" s="634"/>
      <c r="Q264" s="4717"/>
      <c r="R264" s="5815"/>
      <c r="S264" s="5805" t="s">
        <v>1001</v>
      </c>
      <c r="T264" s="5805"/>
      <c r="U264" s="5805"/>
      <c r="V264" s="5805"/>
      <c r="W264" s="5805"/>
      <c r="X264" s="5805"/>
      <c r="Y264" s="5805"/>
      <c r="Z264" s="517"/>
      <c r="AA264" s="634"/>
      <c r="AB264" s="4717"/>
      <c r="AC264" s="5815"/>
      <c r="AD264" s="5805" t="s">
        <v>1001</v>
      </c>
      <c r="AE264" s="5805"/>
      <c r="AF264" s="5805"/>
      <c r="AG264" s="5805"/>
      <c r="AH264" s="5805"/>
      <c r="AI264" s="5805"/>
      <c r="AJ264" s="5805"/>
      <c r="AK264" s="517"/>
      <c r="AL264" s="634"/>
      <c r="AM264" s="4717"/>
      <c r="AN264" s="5815"/>
      <c r="AO264" s="5805" t="s">
        <v>1001</v>
      </c>
      <c r="AP264" s="5805"/>
      <c r="AQ264" s="5805"/>
      <c r="AR264" s="5805"/>
      <c r="AS264" s="5805"/>
      <c r="AT264" s="5805"/>
      <c r="AU264" s="5805"/>
      <c r="AV264" s="517"/>
    </row>
    <row r="265" spans="1:48" ht="19.5" thickBot="1">
      <c r="A265" s="4717"/>
      <c r="B265" s="633"/>
      <c r="C265" s="1347"/>
      <c r="D265" s="634"/>
      <c r="E265" s="634"/>
      <c r="F265" s="1348" t="s">
        <v>1075</v>
      </c>
      <c r="G265" s="1349">
        <f>IF(E251&gt;J251,E251-J251,J251-E251)</f>
        <v>3.7500000000000089E-2</v>
      </c>
      <c r="H265" s="1266">
        <f>G265*1000</f>
        <v>37.500000000000085</v>
      </c>
      <c r="I265" s="634"/>
      <c r="J265" s="634"/>
      <c r="K265" s="517"/>
      <c r="L265" s="634"/>
      <c r="M265" s="634"/>
      <c r="N265" s="634"/>
      <c r="O265" s="634"/>
      <c r="P265" s="634"/>
      <c r="Q265" s="4717"/>
      <c r="R265" s="1372" t="s">
        <v>1002</v>
      </c>
      <c r="S265" s="1373"/>
      <c r="T265" s="1373"/>
      <c r="U265" s="1373"/>
      <c r="V265" s="1373"/>
      <c r="W265" s="1373"/>
      <c r="X265" s="1373"/>
      <c r="Y265" s="1373"/>
      <c r="Z265" s="1374"/>
      <c r="AA265" s="634"/>
      <c r="AB265" s="4717"/>
      <c r="AC265" s="1372" t="s">
        <v>1002</v>
      </c>
      <c r="AD265" s="1373"/>
      <c r="AE265" s="1373"/>
      <c r="AF265" s="1373"/>
      <c r="AG265" s="1373"/>
      <c r="AH265" s="1373"/>
      <c r="AI265" s="1373"/>
      <c r="AJ265" s="1373"/>
      <c r="AK265" s="1374"/>
      <c r="AL265" s="634"/>
      <c r="AM265" s="4717"/>
      <c r="AN265" s="1372" t="s">
        <v>1002</v>
      </c>
      <c r="AO265" s="1373"/>
      <c r="AP265" s="1373"/>
      <c r="AQ265" s="1373"/>
      <c r="AR265" s="1373"/>
      <c r="AS265" s="1373"/>
      <c r="AT265" s="1373"/>
      <c r="AU265" s="1373"/>
      <c r="AV265" s="1374"/>
    </row>
    <row r="266" spans="1:48">
      <c r="A266" s="4717"/>
      <c r="B266" s="633"/>
      <c r="C266" s="634"/>
      <c r="D266" s="634"/>
      <c r="E266" s="634"/>
      <c r="F266" s="634"/>
      <c r="G266" s="1350"/>
      <c r="H266" s="1350"/>
      <c r="I266" s="634"/>
      <c r="J266" s="634"/>
      <c r="K266" s="517"/>
      <c r="L266" s="634"/>
      <c r="M266" s="634"/>
      <c r="N266" s="634"/>
      <c r="O266" s="634"/>
      <c r="P266" s="634"/>
      <c r="Q266" s="634"/>
      <c r="R266" s="634"/>
      <c r="S266" s="634"/>
      <c r="T266" s="634"/>
      <c r="U266" s="634"/>
      <c r="V266" s="634"/>
      <c r="W266" s="634"/>
      <c r="X266" s="634"/>
      <c r="Y266" s="634"/>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c r="AU266" s="634"/>
      <c r="AV266" s="634"/>
    </row>
    <row r="267" spans="1:48">
      <c r="A267" s="4717"/>
      <c r="B267" s="1375" t="s">
        <v>1048</v>
      </c>
      <c r="C267" s="1315"/>
      <c r="D267" s="1315"/>
      <c r="E267" s="1315"/>
      <c r="F267" s="1315"/>
      <c r="G267" s="1376"/>
      <c r="H267" s="1376"/>
      <c r="I267" s="1315"/>
      <c r="J267" s="1315"/>
      <c r="K267" s="1377"/>
      <c r="L267" s="634"/>
      <c r="M267" s="634"/>
      <c r="N267" s="634"/>
      <c r="O267" s="634"/>
      <c r="P267" s="634"/>
      <c r="Q267" s="634"/>
      <c r="R267" s="634"/>
      <c r="S267" s="634"/>
      <c r="T267" s="634"/>
      <c r="U267" s="634"/>
      <c r="V267" s="634"/>
      <c r="W267" s="634"/>
      <c r="X267" s="634"/>
      <c r="Y267" s="634"/>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c r="AU267" s="634"/>
      <c r="AV267" s="634"/>
    </row>
    <row r="268" spans="1:48">
      <c r="A268" s="4717"/>
      <c r="B268" s="656" t="s">
        <v>1049</v>
      </c>
      <c r="C268" s="1362"/>
      <c r="D268" s="634"/>
      <c r="E268" s="634"/>
      <c r="F268" s="634"/>
      <c r="G268" s="634"/>
      <c r="H268" s="634"/>
      <c r="I268" s="634"/>
      <c r="J268" s="634"/>
      <c r="K268" s="517"/>
      <c r="L268" s="634"/>
      <c r="M268" s="634"/>
      <c r="N268" s="634"/>
      <c r="O268" s="634"/>
      <c r="P268" s="634"/>
      <c r="Q268" s="634"/>
      <c r="R268" s="634"/>
      <c r="S268" s="634"/>
      <c r="T268" s="634"/>
      <c r="U268" s="634"/>
      <c r="V268" s="634"/>
      <c r="W268" s="634"/>
      <c r="X268" s="634"/>
      <c r="Y268" s="634"/>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c r="AU268" s="634"/>
      <c r="AV268" s="634"/>
    </row>
    <row r="269" spans="1:48" ht="15.75" customHeight="1">
      <c r="A269" s="4717"/>
      <c r="B269" s="5902" t="s">
        <v>998</v>
      </c>
      <c r="C269" s="5903"/>
      <c r="D269" s="5903"/>
      <c r="E269" s="5903"/>
      <c r="F269" s="5903"/>
      <c r="G269" s="5903"/>
      <c r="H269" s="5903"/>
      <c r="I269" s="5903"/>
      <c r="J269" s="5903"/>
      <c r="K269" s="5904"/>
      <c r="L269" s="634"/>
      <c r="M269" s="634"/>
      <c r="N269" s="634"/>
      <c r="O269" s="634"/>
      <c r="P269" s="634"/>
      <c r="Q269" s="634"/>
      <c r="R269" s="634"/>
      <c r="S269" s="634"/>
      <c r="T269" s="634"/>
      <c r="U269" s="634"/>
      <c r="V269" s="634"/>
      <c r="W269" s="634"/>
      <c r="X269" s="634"/>
      <c r="Y269" s="634"/>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c r="AU269" s="634"/>
      <c r="AV269" s="634"/>
    </row>
    <row r="270" spans="1:48" ht="15.75" customHeight="1">
      <c r="A270" s="4717"/>
      <c r="B270" s="5905" t="s">
        <v>999</v>
      </c>
      <c r="C270" s="5857"/>
      <c r="D270" s="5857"/>
      <c r="E270" s="5857"/>
      <c r="F270" s="5857"/>
      <c r="G270" s="5857"/>
      <c r="H270" s="5857"/>
      <c r="I270" s="5857"/>
      <c r="J270" s="5857"/>
      <c r="K270" s="517"/>
      <c r="L270" s="634"/>
      <c r="M270" s="634"/>
      <c r="N270" s="634"/>
      <c r="O270" s="634"/>
      <c r="P270" s="634"/>
      <c r="Q270" s="634"/>
      <c r="R270" s="634"/>
      <c r="S270" s="634"/>
      <c r="T270" s="634"/>
      <c r="U270" s="634"/>
      <c r="V270" s="634"/>
      <c r="W270" s="634"/>
      <c r="X270" s="634"/>
      <c r="Y270" s="634"/>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c r="AU270" s="634"/>
      <c r="AV270" s="634"/>
    </row>
    <row r="271" spans="1:48" ht="15.75" customHeight="1">
      <c r="A271" s="4717"/>
      <c r="B271" s="5815" t="s">
        <v>990</v>
      </c>
      <c r="C271" s="5803" t="s">
        <v>1000</v>
      </c>
      <c r="D271" s="5803"/>
      <c r="E271" s="5803"/>
      <c r="F271" s="5803"/>
      <c r="G271" s="5803"/>
      <c r="H271" s="5803"/>
      <c r="I271" s="5803"/>
      <c r="J271" s="634"/>
      <c r="K271" s="517"/>
      <c r="L271" s="634"/>
      <c r="M271" s="634"/>
      <c r="N271" s="634"/>
      <c r="O271" s="634"/>
      <c r="P271" s="634"/>
      <c r="Q271" s="634"/>
      <c r="R271" s="634"/>
      <c r="S271" s="634"/>
      <c r="T271" s="634"/>
      <c r="U271" s="634"/>
      <c r="V271" s="634"/>
      <c r="W271" s="634"/>
      <c r="X271" s="634"/>
      <c r="Y271" s="634"/>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c r="AU271" s="634"/>
      <c r="AV271" s="634"/>
    </row>
    <row r="272" spans="1:48" ht="15.75" customHeight="1">
      <c r="A272" s="4717"/>
      <c r="B272" s="5815"/>
      <c r="C272" s="5805" t="s">
        <v>1001</v>
      </c>
      <c r="D272" s="5805"/>
      <c r="E272" s="5805"/>
      <c r="F272" s="5805"/>
      <c r="G272" s="5805"/>
      <c r="H272" s="5805"/>
      <c r="I272" s="5805"/>
      <c r="J272" s="634"/>
      <c r="K272" s="517"/>
      <c r="L272" s="634"/>
      <c r="M272" s="634"/>
      <c r="N272" s="634"/>
      <c r="O272" s="634"/>
      <c r="P272" s="634"/>
      <c r="Q272" s="634"/>
      <c r="R272" s="634"/>
      <c r="S272" s="634"/>
      <c r="T272" s="634"/>
      <c r="U272" s="634"/>
      <c r="V272" s="634"/>
      <c r="W272" s="634"/>
      <c r="X272" s="634"/>
      <c r="Y272" s="634"/>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c r="AU272" s="634"/>
      <c r="AV272" s="634"/>
    </row>
    <row r="273" spans="1:48" ht="16.5" thickBot="1">
      <c r="A273" s="4717"/>
      <c r="B273" s="1370" t="s">
        <v>1002</v>
      </c>
      <c r="C273" s="580"/>
      <c r="D273" s="580"/>
      <c r="E273" s="580"/>
      <c r="F273" s="580"/>
      <c r="G273" s="580"/>
      <c r="H273" s="580"/>
      <c r="I273" s="580"/>
      <c r="J273" s="580"/>
      <c r="K273" s="581"/>
      <c r="L273" s="634"/>
      <c r="M273" s="634"/>
      <c r="N273" s="634"/>
      <c r="O273" s="634"/>
      <c r="P273" s="634"/>
      <c r="Q273" s="634"/>
      <c r="R273" s="634"/>
      <c r="S273" s="634"/>
      <c r="T273" s="634"/>
      <c r="U273" s="634"/>
      <c r="V273" s="634"/>
      <c r="W273" s="634"/>
      <c r="X273" s="634"/>
      <c r="Y273" s="634"/>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c r="AU273" s="634"/>
      <c r="AV273" s="634"/>
    </row>
    <row r="274" spans="1:48">
      <c r="A274" s="634"/>
      <c r="B274" s="634"/>
      <c r="C274" s="634"/>
      <c r="D274" s="634"/>
      <c r="E274" s="634"/>
      <c r="F274" s="634"/>
      <c r="G274" s="634"/>
      <c r="H274" s="634"/>
      <c r="I274" s="634"/>
      <c r="J274" s="634"/>
      <c r="K274" s="634"/>
      <c r="L274" s="634"/>
      <c r="M274" s="634"/>
      <c r="N274" s="634"/>
      <c r="O274" s="634"/>
      <c r="P274" s="634"/>
      <c r="Q274" s="634"/>
      <c r="R274" s="634"/>
      <c r="S274" s="634"/>
      <c r="T274" s="634"/>
      <c r="U274" s="634"/>
      <c r="V274" s="634"/>
      <c r="W274" s="634"/>
      <c r="X274" s="634"/>
      <c r="Y274" s="634"/>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c r="AU274" s="634"/>
      <c r="AV274" s="634"/>
    </row>
    <row r="275" spans="1:48">
      <c r="A275" s="634"/>
      <c r="B275" s="634"/>
      <c r="C275" s="634"/>
      <c r="D275" s="634"/>
      <c r="E275" s="634"/>
      <c r="F275" s="634"/>
      <c r="G275" s="634"/>
      <c r="H275" s="634"/>
      <c r="I275" s="634"/>
      <c r="J275" s="634"/>
      <c r="K275" s="634"/>
      <c r="L275" s="634"/>
      <c r="M275" s="634"/>
      <c r="N275" s="634"/>
      <c r="O275" s="634"/>
      <c r="P275" s="634"/>
      <c r="Q275" s="634"/>
      <c r="R275" s="634"/>
      <c r="S275" s="634"/>
      <c r="T275" s="634"/>
      <c r="U275" s="634"/>
      <c r="V275" s="634"/>
      <c r="W275" s="634"/>
      <c r="X275" s="634"/>
      <c r="Y275" s="634"/>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c r="AU275" s="634"/>
      <c r="AV275" s="634"/>
    </row>
    <row r="276" spans="1:48" ht="15.75" customHeight="1">
      <c r="A276" s="5890">
        <f>ROW()</f>
        <v>276</v>
      </c>
      <c r="B276" s="5891" t="s">
        <v>1076</v>
      </c>
      <c r="C276" s="5891"/>
      <c r="D276" s="5891"/>
      <c r="E276" s="5891"/>
      <c r="F276" s="5891"/>
      <c r="G276" s="5891"/>
      <c r="H276" s="5891"/>
      <c r="I276" s="5891"/>
      <c r="J276" s="5891"/>
      <c r="K276" s="5891"/>
      <c r="L276" s="5891"/>
      <c r="M276" s="5891"/>
      <c r="N276" s="5891"/>
      <c r="O276" s="5891"/>
      <c r="P276" s="5891"/>
      <c r="Q276" s="5891"/>
      <c r="R276" s="5891"/>
      <c r="S276" s="5891"/>
      <c r="T276" s="5891"/>
      <c r="U276" s="5891"/>
      <c r="V276" s="5891"/>
      <c r="W276" s="5891"/>
      <c r="X276" s="5891"/>
      <c r="Y276" s="5891"/>
      <c r="Z276" s="5891"/>
      <c r="AA276" s="5891"/>
      <c r="AB276" s="5891"/>
      <c r="AC276" s="5891"/>
      <c r="AD276" s="5891"/>
      <c r="AE276" s="5891"/>
      <c r="AF276" s="5891"/>
      <c r="AG276" s="5891"/>
      <c r="AH276" s="5891"/>
      <c r="AI276" s="5891"/>
      <c r="AJ276" s="5891"/>
      <c r="AK276" s="5891"/>
      <c r="AL276" s="5891"/>
      <c r="AM276" s="5891"/>
      <c r="AN276" s="5891"/>
      <c r="AO276" s="5891"/>
      <c r="AP276" s="5891"/>
      <c r="AQ276" s="5891"/>
      <c r="AR276" s="5891"/>
      <c r="AS276" s="5891"/>
      <c r="AT276" s="5891"/>
      <c r="AU276" s="5891"/>
      <c r="AV276" s="5891"/>
    </row>
    <row r="277" spans="1:48" ht="15.75" customHeight="1">
      <c r="A277" s="5890"/>
      <c r="B277" s="5891"/>
      <c r="C277" s="5891"/>
      <c r="D277" s="5891"/>
      <c r="E277" s="5891"/>
      <c r="F277" s="5891"/>
      <c r="G277" s="5891"/>
      <c r="H277" s="5891"/>
      <c r="I277" s="5891"/>
      <c r="J277" s="5891"/>
      <c r="K277" s="5891"/>
      <c r="L277" s="5891"/>
      <c r="M277" s="5891"/>
      <c r="N277" s="5891"/>
      <c r="O277" s="5891"/>
      <c r="P277" s="5891"/>
      <c r="Q277" s="5891"/>
      <c r="R277" s="5891"/>
      <c r="S277" s="5891"/>
      <c r="T277" s="5891"/>
      <c r="U277" s="5891"/>
      <c r="V277" s="5891"/>
      <c r="W277" s="5891"/>
      <c r="X277" s="5891"/>
      <c r="Y277" s="5891"/>
      <c r="Z277" s="5891"/>
      <c r="AA277" s="5891"/>
      <c r="AB277" s="5891"/>
      <c r="AC277" s="5891"/>
      <c r="AD277" s="5891"/>
      <c r="AE277" s="5891"/>
      <c r="AF277" s="5891"/>
      <c r="AG277" s="5891"/>
      <c r="AH277" s="5891"/>
      <c r="AI277" s="5891"/>
      <c r="AJ277" s="5891"/>
      <c r="AK277" s="5891"/>
      <c r="AL277" s="5891"/>
      <c r="AM277" s="5891"/>
      <c r="AN277" s="5891"/>
      <c r="AO277" s="5891"/>
      <c r="AP277" s="5891"/>
      <c r="AQ277" s="5891"/>
      <c r="AR277" s="5891"/>
      <c r="AS277" s="5891"/>
      <c r="AT277" s="5891"/>
      <c r="AU277" s="5891"/>
      <c r="AV277" s="5891"/>
    </row>
    <row r="278" spans="1:48" ht="16.5" thickBot="1">
      <c r="A278" s="634"/>
      <c r="B278" s="634"/>
      <c r="C278" s="634"/>
      <c r="D278" s="634"/>
      <c r="E278" s="634"/>
      <c r="F278" s="634"/>
      <c r="G278" s="634"/>
      <c r="H278" s="634"/>
      <c r="I278" s="634"/>
      <c r="J278" s="634"/>
      <c r="K278" s="634"/>
      <c r="L278" s="634"/>
      <c r="M278" s="634"/>
      <c r="N278" s="634"/>
      <c r="O278" s="634"/>
      <c r="P278" s="634"/>
      <c r="Q278" s="634"/>
      <c r="R278" s="634"/>
      <c r="S278" s="634"/>
      <c r="T278" s="634"/>
      <c r="U278" s="634"/>
      <c r="V278" s="634"/>
      <c r="W278" s="634"/>
      <c r="X278" s="634"/>
      <c r="Y278" s="634"/>
      <c r="Z278" s="634"/>
      <c r="AA278" s="634"/>
      <c r="AB278" s="634"/>
      <c r="AC278" s="634"/>
      <c r="AD278" s="634"/>
      <c r="AE278" s="634"/>
      <c r="AF278" s="634"/>
      <c r="AG278" s="634"/>
      <c r="AH278" s="634"/>
      <c r="AI278" s="634"/>
      <c r="AL278" s="634"/>
      <c r="AM278" s="634"/>
      <c r="AN278" s="634"/>
      <c r="AO278" s="634"/>
      <c r="AP278" s="634"/>
      <c r="AQ278" s="634"/>
      <c r="AR278" s="634"/>
      <c r="AS278" s="634"/>
      <c r="AT278" s="634"/>
      <c r="AU278" s="634"/>
      <c r="AV278" s="634"/>
    </row>
    <row r="279" spans="1:48" ht="21">
      <c r="A279" s="1192" t="s">
        <v>70</v>
      </c>
      <c r="B279" s="5912" t="s">
        <v>1077</v>
      </c>
      <c r="C279" s="5913"/>
      <c r="D279" s="5913"/>
      <c r="E279" s="5913"/>
      <c r="F279" s="5913"/>
      <c r="G279" s="5913"/>
      <c r="H279" s="5913"/>
      <c r="I279" s="5913"/>
      <c r="J279" s="5913"/>
      <c r="K279" s="5914"/>
      <c r="L279" s="634"/>
      <c r="M279" s="634"/>
      <c r="N279" s="634"/>
      <c r="O279" s="634"/>
      <c r="P279" s="634"/>
      <c r="Q279" s="1192" t="s">
        <v>70</v>
      </c>
      <c r="R279" s="5912" t="s">
        <v>1046</v>
      </c>
      <c r="S279" s="5913"/>
      <c r="T279" s="5913"/>
      <c r="U279" s="5913"/>
      <c r="V279" s="5913"/>
      <c r="W279" s="5913"/>
      <c r="X279" s="5913"/>
      <c r="Y279" s="5913"/>
      <c r="Z279" s="5914"/>
      <c r="AA279" s="1420"/>
      <c r="AB279" s="1192" t="s">
        <v>70</v>
      </c>
      <c r="AC279" s="5912" t="s">
        <v>1046</v>
      </c>
      <c r="AD279" s="5913"/>
      <c r="AE279" s="5913"/>
      <c r="AF279" s="5913"/>
      <c r="AG279" s="5913"/>
      <c r="AH279" s="5913"/>
      <c r="AI279" s="5913"/>
      <c r="AJ279" s="5913"/>
      <c r="AK279" s="5914"/>
      <c r="AL279" s="634"/>
      <c r="AM279" s="1192" t="s">
        <v>70</v>
      </c>
      <c r="AN279" s="5912" t="s">
        <v>1046</v>
      </c>
      <c r="AO279" s="5913"/>
      <c r="AP279" s="5913"/>
      <c r="AQ279" s="5913"/>
      <c r="AR279" s="5913"/>
      <c r="AS279" s="5913"/>
      <c r="AT279" s="5913"/>
      <c r="AU279" s="5913"/>
      <c r="AV279" s="5914"/>
    </row>
    <row r="280" spans="1:48" ht="15.75" customHeight="1">
      <c r="A280" s="4717" t="str">
        <f>B279</f>
        <v>Formule du calcul du poids de PRODUIT CORRECTEUR   - comparer deux valeurs</v>
      </c>
      <c r="B280" s="533" t="str">
        <f>ADDRESS(ROW(),COLUMN(),4)</f>
        <v>B280</v>
      </c>
      <c r="C280" s="903" t="s">
        <v>691</v>
      </c>
      <c r="D280" s="1012"/>
      <c r="E280" s="1012"/>
      <c r="F280" s="1012"/>
      <c r="G280" s="1225"/>
      <c r="H280" s="1225"/>
      <c r="I280" s="1225"/>
      <c r="J280" s="1225" t="str">
        <f ca="1">MID(CELL("filename",B280),SEARCH("[",CELL("filename",B280))+1,SEARCH("]",CELL("filename",B280))-SEARCH("[",CELL("filename",B280))-1)</f>
        <v>ff-22-formats-formules-pourcentages.xlsx</v>
      </c>
      <c r="K280" s="1226">
        <v>7</v>
      </c>
      <c r="L280" s="634"/>
      <c r="M280" s="634"/>
      <c r="N280" s="634"/>
      <c r="O280" s="634"/>
      <c r="P280" s="634"/>
      <c r="Q280" s="4717" t="str">
        <f>R279</f>
        <v xml:space="preserve">Formule du calcul du poids de PRODUIT CORRECTEUR </v>
      </c>
      <c r="R280" s="533" t="str">
        <f>ADDRESS(ROW(),COLUMN(),4)</f>
        <v>R280</v>
      </c>
      <c r="S280" s="903" t="s">
        <v>691</v>
      </c>
      <c r="T280" s="1224"/>
      <c r="U280" s="1224"/>
      <c r="V280" s="1224"/>
      <c r="W280" s="1224"/>
      <c r="X280" s="1225"/>
      <c r="Y280" s="1225" t="str">
        <f ca="1">MID(CELL("filename",R280),SEARCH("[",CELL("filename",R280))+1,SEARCH("]",CELL("filename",R280))-SEARCH("[",CELL("filename",R280))-1)</f>
        <v>ff-22-formats-formules-pourcentages.xlsx</v>
      </c>
      <c r="Z280" s="1226">
        <v>7</v>
      </c>
      <c r="AA280" s="1421"/>
      <c r="AB280" s="4717" t="str">
        <f>AC279</f>
        <v xml:space="preserve">Formule du calcul du poids de PRODUIT CORRECTEUR </v>
      </c>
      <c r="AC280" s="533" t="str">
        <f>ADDRESS(ROW(),COLUMN(),4)</f>
        <v>AC280</v>
      </c>
      <c r="AD280" s="903" t="s">
        <v>691</v>
      </c>
      <c r="AE280" s="1224"/>
      <c r="AF280" s="1224"/>
      <c r="AG280" s="1224"/>
      <c r="AH280" s="1224"/>
      <c r="AI280" s="1225"/>
      <c r="AJ280" s="1225" t="str">
        <f ca="1">MID(CELL("filename",AC280),SEARCH("[",CELL("filename",AC280))+1,SEARCH("]",CELL("filename",AC280))-SEARCH("[",CELL("filename",AC280))-1)</f>
        <v>ff-22-formats-formules-pourcentages.xlsx</v>
      </c>
      <c r="AK280" s="1226">
        <v>7</v>
      </c>
      <c r="AL280" s="634"/>
      <c r="AM280" s="4717" t="str">
        <f>AN279</f>
        <v xml:space="preserve">Formule du calcul du poids de PRODUIT CORRECTEUR </v>
      </c>
      <c r="AN280" s="533" t="str">
        <f>ADDRESS(ROW(),COLUMN(),4)</f>
        <v>AN280</v>
      </c>
      <c r="AO280" s="903" t="s">
        <v>691</v>
      </c>
      <c r="AP280" s="1224"/>
      <c r="AQ280" s="1224"/>
      <c r="AR280" s="1224"/>
      <c r="AS280" s="1224"/>
      <c r="AT280" s="1225"/>
      <c r="AU280" s="1225" t="str">
        <f ca="1">MID(CELL("filename",AN280),SEARCH("[",CELL("filename",AN280))+1,SEARCH("]",CELL("filename",AN280))-SEARCH("[",CELL("filename",AN280))-1)</f>
        <v>ff-22-formats-formules-pourcentages.xlsx</v>
      </c>
      <c r="AV280" s="1226">
        <v>7</v>
      </c>
    </row>
    <row r="281" spans="1:48" ht="18.75">
      <c r="A281" s="4717"/>
      <c r="B281" s="1313"/>
      <c r="C281" s="1314"/>
      <c r="D281" s="1321" t="s">
        <v>473</v>
      </c>
      <c r="E281" s="1315"/>
      <c r="F281" s="1315"/>
      <c r="G281" s="1316"/>
      <c r="H281" s="1316"/>
      <c r="I281" s="1322" t="s">
        <v>473</v>
      </c>
      <c r="J281" s="1317"/>
      <c r="K281" s="517"/>
      <c r="L281" s="634"/>
      <c r="M281" s="634"/>
      <c r="N281" s="634"/>
      <c r="O281" s="634"/>
      <c r="P281" s="634"/>
      <c r="Q281" s="4717"/>
      <c r="R281" s="1318"/>
      <c r="S281" s="1200"/>
      <c r="T281" s="1378" t="s">
        <v>473</v>
      </c>
      <c r="U281" s="1201"/>
      <c r="V281" s="1201"/>
      <c r="W281" s="1203"/>
      <c r="X281" s="1204"/>
      <c r="Y281" s="1391" t="s">
        <v>473</v>
      </c>
      <c r="Z281" s="517"/>
      <c r="AA281" s="1421"/>
      <c r="AB281" s="4717"/>
      <c r="AC281" s="1318"/>
      <c r="AD281" s="1200"/>
      <c r="AE281" s="1378" t="s">
        <v>473</v>
      </c>
      <c r="AF281" s="1201"/>
      <c r="AG281" s="1201"/>
      <c r="AH281" s="1203"/>
      <c r="AI281" s="1204"/>
      <c r="AJ281" s="1391" t="s">
        <v>473</v>
      </c>
      <c r="AK281" s="517"/>
      <c r="AL281" s="634"/>
      <c r="AM281" s="4717"/>
      <c r="AN281" s="1318"/>
      <c r="AO281" s="1200"/>
      <c r="AP281" s="1378" t="s">
        <v>473</v>
      </c>
      <c r="AQ281" s="1201"/>
      <c r="AR281" s="1201"/>
      <c r="AS281" s="1203"/>
      <c r="AT281" s="1204"/>
      <c r="AU281" s="1391" t="s">
        <v>473</v>
      </c>
      <c r="AV281" s="517"/>
    </row>
    <row r="282" spans="1:48" ht="18.75">
      <c r="A282" s="4717"/>
      <c r="B282" s="1203"/>
      <c r="C282" s="1331" t="s">
        <v>995</v>
      </c>
      <c r="D282" s="1240">
        <v>12.375</v>
      </c>
      <c r="E282" s="1412">
        <v>100</v>
      </c>
      <c r="F282" s="874" t="s">
        <v>1054</v>
      </c>
      <c r="G282" s="1203"/>
      <c r="H282" s="1331" t="s">
        <v>995</v>
      </c>
      <c r="I282" s="1240">
        <v>12</v>
      </c>
      <c r="J282" s="1412">
        <v>100</v>
      </c>
      <c r="K282" s="517"/>
      <c r="L282" s="634"/>
      <c r="M282" s="634"/>
      <c r="N282" s="634"/>
      <c r="O282" s="634"/>
      <c r="P282" s="634"/>
      <c r="Q282" s="4717"/>
      <c r="R282" s="1323"/>
      <c r="S282" s="1331" t="s">
        <v>995</v>
      </c>
      <c r="T282" s="1240">
        <v>12.375</v>
      </c>
      <c r="U282" s="1231">
        <v>100</v>
      </c>
      <c r="V282" s="1201"/>
      <c r="W282" s="1392"/>
      <c r="X282" s="1392" t="s">
        <v>1072</v>
      </c>
      <c r="Y282" s="1393">
        <v>0.5</v>
      </c>
      <c r="Z282" s="517"/>
      <c r="AA282" s="1421"/>
      <c r="AB282" s="4717"/>
      <c r="AC282" s="1323"/>
      <c r="AD282" s="1331" t="s">
        <v>995</v>
      </c>
      <c r="AE282" s="1240">
        <v>12</v>
      </c>
      <c r="AF282" s="1231">
        <v>100</v>
      </c>
      <c r="AG282" s="1201"/>
      <c r="AH282" s="1392"/>
      <c r="AI282" s="1392" t="s">
        <v>1072</v>
      </c>
      <c r="AJ282" s="1393">
        <v>0.5</v>
      </c>
      <c r="AK282" s="517"/>
      <c r="AL282" s="634"/>
      <c r="AM282" s="4717"/>
      <c r="AN282" s="1323"/>
      <c r="AO282" s="1331" t="s">
        <v>995</v>
      </c>
      <c r="AP282" s="1240">
        <v>12.611000000000001</v>
      </c>
      <c r="AQ282" s="1231">
        <v>100</v>
      </c>
      <c r="AR282" s="1201"/>
      <c r="AS282" s="1392"/>
      <c r="AT282" s="1392" t="s">
        <v>1072</v>
      </c>
      <c r="AU282" s="1393">
        <v>0.5</v>
      </c>
      <c r="AV282" s="517"/>
    </row>
    <row r="283" spans="1:48" ht="18.75">
      <c r="A283" s="4717"/>
      <c r="B283" s="1318"/>
      <c r="C283" s="814"/>
      <c r="D283" s="1321" t="s">
        <v>473</v>
      </c>
      <c r="E283" s="1320"/>
      <c r="F283" s="1320"/>
      <c r="G283" s="1320"/>
      <c r="H283" s="1320"/>
      <c r="I283" s="1322" t="s">
        <v>473</v>
      </c>
      <c r="J283" s="1279"/>
      <c r="K283" s="517"/>
      <c r="L283" s="634"/>
      <c r="M283" s="634"/>
      <c r="N283" s="634"/>
      <c r="O283" s="634"/>
      <c r="P283" s="634"/>
      <c r="Q283" s="4717"/>
      <c r="R283" s="1414"/>
      <c r="S283" s="1200"/>
      <c r="T283" s="1201"/>
      <c r="U283" s="1201"/>
      <c r="V283" s="1201"/>
      <c r="W283" s="1203"/>
      <c r="X283" s="1204"/>
      <c r="Y283" s="1201"/>
      <c r="Z283" s="517"/>
      <c r="AA283" s="1421"/>
      <c r="AB283" s="4717"/>
      <c r="AC283" s="1414"/>
      <c r="AD283" s="1200"/>
      <c r="AE283" s="1201"/>
      <c r="AF283" s="1201"/>
      <c r="AG283" s="1201"/>
      <c r="AH283" s="1203"/>
      <c r="AI283" s="1204"/>
      <c r="AJ283" s="1201"/>
      <c r="AK283" s="517"/>
      <c r="AL283" s="634"/>
      <c r="AM283" s="4717"/>
      <c r="AN283" s="1414"/>
      <c r="AO283" s="1200"/>
      <c r="AP283" s="1201"/>
      <c r="AQ283" s="1201"/>
      <c r="AR283" s="1201"/>
      <c r="AS283" s="1203"/>
      <c r="AT283" s="1204"/>
      <c r="AU283" s="1201"/>
      <c r="AV283" s="517"/>
    </row>
    <row r="284" spans="1:48" ht="18.75">
      <c r="A284" s="4717"/>
      <c r="B284" s="1326"/>
      <c r="C284" s="1327" t="s">
        <v>1072</v>
      </c>
      <c r="D284" s="1396">
        <v>0.5</v>
      </c>
      <c r="E284" s="1203"/>
      <c r="F284" s="874" t="s">
        <v>1054</v>
      </c>
      <c r="G284" s="634"/>
      <c r="H284" s="1397" t="s">
        <v>1072</v>
      </c>
      <c r="I284" s="1398">
        <v>0.5</v>
      </c>
      <c r="J284" s="634"/>
      <c r="K284" s="517"/>
      <c r="L284" s="634"/>
      <c r="M284" s="634"/>
      <c r="N284" s="634"/>
      <c r="O284" s="634"/>
      <c r="P284" s="634"/>
      <c r="Q284" s="4717"/>
      <c r="R284" s="634"/>
      <c r="S284" s="634"/>
      <c r="T284" s="634"/>
      <c r="U284" s="1415" t="s">
        <v>1006</v>
      </c>
      <c r="V284" s="1306">
        <f>(T282*Y282)/U282</f>
        <v>6.1874999999999999E-2</v>
      </c>
      <c r="W284" s="1266">
        <f>V284*1000</f>
        <v>61.875</v>
      </c>
      <c r="X284" s="634"/>
      <c r="Y284" s="1266"/>
      <c r="Z284" s="517"/>
      <c r="AA284" s="1421"/>
      <c r="AB284" s="4717"/>
      <c r="AC284" s="634"/>
      <c r="AD284" s="634"/>
      <c r="AE284" s="634"/>
      <c r="AF284" s="1415" t="s">
        <v>1006</v>
      </c>
      <c r="AG284" s="1306">
        <f>(AE282*AJ282)/AF282</f>
        <v>0.06</v>
      </c>
      <c r="AH284" s="1266">
        <f>AG284*1000</f>
        <v>60</v>
      </c>
      <c r="AI284" s="634"/>
      <c r="AJ284" s="1266"/>
      <c r="AK284" s="517"/>
      <c r="AL284" s="634"/>
      <c r="AM284" s="4717"/>
      <c r="AN284" s="634"/>
      <c r="AO284" s="634"/>
      <c r="AP284" s="634"/>
      <c r="AQ284" s="1415" t="s">
        <v>1006</v>
      </c>
      <c r="AR284" s="1306">
        <f>(AP282*AU282)/AQ282</f>
        <v>6.3055E-2</v>
      </c>
      <c r="AS284" s="1266">
        <f>AR284*1000</f>
        <v>63.055</v>
      </c>
      <c r="AT284" s="634"/>
      <c r="AU284" s="1266"/>
      <c r="AV284" s="517"/>
    </row>
    <row r="285" spans="1:48">
      <c r="A285" s="4717"/>
      <c r="B285" s="633"/>
      <c r="C285" s="634"/>
      <c r="E285" s="634"/>
      <c r="F285" s="634"/>
      <c r="G285" s="1320"/>
      <c r="H285" s="1320"/>
      <c r="I285" s="634"/>
      <c r="J285" s="634"/>
      <c r="K285" s="517"/>
      <c r="L285" s="634"/>
      <c r="M285" s="634"/>
      <c r="N285" s="634"/>
      <c r="O285" s="634"/>
      <c r="P285" s="634"/>
      <c r="Q285" s="4717"/>
      <c r="R285" s="1333"/>
      <c r="S285" s="1224"/>
      <c r="T285" s="1224"/>
      <c r="U285" s="1224"/>
      <c r="V285" s="1224"/>
      <c r="W285" s="1224"/>
      <c r="X285" s="1224"/>
      <c r="Y285" s="1224"/>
      <c r="Z285" s="1194"/>
      <c r="AA285" s="1421"/>
      <c r="AB285" s="4717"/>
      <c r="AC285" s="1333"/>
      <c r="AD285" s="1224"/>
      <c r="AE285" s="1224"/>
      <c r="AF285" s="1224"/>
      <c r="AG285" s="1224"/>
      <c r="AH285" s="1224"/>
      <c r="AI285" s="1224"/>
      <c r="AJ285" s="1224"/>
      <c r="AK285" s="1194"/>
      <c r="AL285" s="634"/>
      <c r="AM285" s="4717"/>
      <c r="AN285" s="1333"/>
      <c r="AO285" s="1224"/>
      <c r="AP285" s="1224"/>
      <c r="AQ285" s="1224"/>
      <c r="AR285" s="1224"/>
      <c r="AS285" s="1224"/>
      <c r="AT285" s="1224"/>
      <c r="AU285" s="1224"/>
      <c r="AV285" s="1194"/>
    </row>
    <row r="286" spans="1:48" ht="18.75">
      <c r="A286" s="4717"/>
      <c r="B286" s="1335"/>
      <c r="C286" s="1416" t="s">
        <v>1078</v>
      </c>
      <c r="D286" s="1399">
        <f>D284</f>
        <v>0.5</v>
      </c>
      <c r="E286" s="1336">
        <f>(D282/E282)*D284</f>
        <v>6.1874999999999999E-2</v>
      </c>
      <c r="F286" s="1266">
        <f>E286*1000</f>
        <v>61.875</v>
      </c>
      <c r="G286" s="1417"/>
      <c r="H286" s="1417" t="s">
        <v>1078</v>
      </c>
      <c r="I286" s="1400">
        <f>I284</f>
        <v>0.5</v>
      </c>
      <c r="J286" s="1338">
        <f>(I282/J282)*I284</f>
        <v>0.06</v>
      </c>
      <c r="K286" s="1401">
        <f>J286*1000</f>
        <v>60</v>
      </c>
      <c r="L286" s="634"/>
      <c r="M286" s="634"/>
      <c r="N286" s="634"/>
      <c r="O286" s="634"/>
      <c r="P286" s="634"/>
      <c r="Q286" s="4717"/>
      <c r="R286" s="1323"/>
      <c r="S286" s="1190" t="s">
        <v>993</v>
      </c>
      <c r="T286" s="1229"/>
      <c r="U286" s="1229"/>
      <c r="V286" s="1229"/>
      <c r="W286" s="1229"/>
      <c r="X286" s="816"/>
      <c r="Y286" s="634"/>
      <c r="Z286" s="1334" t="s">
        <v>1055</v>
      </c>
      <c r="AA286" s="1421"/>
      <c r="AB286" s="4717"/>
      <c r="AC286" s="1323"/>
      <c r="AD286" s="1190" t="s">
        <v>993</v>
      </c>
      <c r="AE286" s="1229"/>
      <c r="AF286" s="1229"/>
      <c r="AG286" s="1229"/>
      <c r="AH286" s="1229"/>
      <c r="AI286" s="816"/>
      <c r="AJ286" s="634"/>
      <c r="AK286" s="1334" t="s">
        <v>1055</v>
      </c>
      <c r="AL286" s="634"/>
      <c r="AM286" s="4717"/>
      <c r="AN286" s="1323"/>
      <c r="AO286" s="1190" t="s">
        <v>993</v>
      </c>
      <c r="AP286" s="1229"/>
      <c r="AQ286" s="1229"/>
      <c r="AR286" s="1229"/>
      <c r="AS286" s="1229"/>
      <c r="AT286" s="816"/>
      <c r="AU286" s="634"/>
      <c r="AV286" s="1334" t="s">
        <v>1055</v>
      </c>
    </row>
    <row r="287" spans="1:48">
      <c r="A287" s="4717"/>
      <c r="B287" s="633"/>
      <c r="C287" s="1346"/>
      <c r="D287" s="1402"/>
      <c r="E287" s="1339"/>
      <c r="F287" s="634"/>
      <c r="G287" s="634"/>
      <c r="H287" s="1346"/>
      <c r="I287" s="1402"/>
      <c r="J287" s="1339"/>
      <c r="K287" s="517"/>
      <c r="L287" s="634"/>
      <c r="M287" s="634"/>
      <c r="N287" s="634"/>
      <c r="O287" s="634"/>
      <c r="P287" s="634"/>
      <c r="Q287" s="4717"/>
      <c r="R287" s="1323"/>
      <c r="S287" s="1229"/>
      <c r="T287" s="1229"/>
      <c r="U287" s="1229"/>
      <c r="V287" s="1229"/>
      <c r="W287" s="1229"/>
      <c r="X287" s="816"/>
      <c r="Y287" s="634"/>
      <c r="Z287" s="1334" t="s">
        <v>1055</v>
      </c>
      <c r="AA287" s="1421"/>
      <c r="AB287" s="4717"/>
      <c r="AC287" s="1323"/>
      <c r="AD287" s="1229"/>
      <c r="AE287" s="1229"/>
      <c r="AF287" s="1229"/>
      <c r="AG287" s="1229"/>
      <c r="AH287" s="1229"/>
      <c r="AI287" s="816"/>
      <c r="AJ287" s="634"/>
      <c r="AK287" s="1334" t="s">
        <v>1055</v>
      </c>
      <c r="AL287" s="634"/>
      <c r="AM287" s="4717"/>
      <c r="AN287" s="1323"/>
      <c r="AO287" s="1229"/>
      <c r="AP287" s="1229"/>
      <c r="AQ287" s="1229"/>
      <c r="AR287" s="1229"/>
      <c r="AS287" s="1229"/>
      <c r="AT287" s="816"/>
      <c r="AU287" s="634"/>
      <c r="AV287" s="1334" t="s">
        <v>1055</v>
      </c>
    </row>
    <row r="288" spans="1:48">
      <c r="A288" s="4717"/>
      <c r="B288" s="5915" t="s">
        <v>684</v>
      </c>
      <c r="C288" s="5916"/>
      <c r="D288" s="5916"/>
      <c r="E288" s="5916"/>
      <c r="F288" s="5916"/>
      <c r="G288" s="5916"/>
      <c r="H288" s="5916"/>
      <c r="I288" s="5916"/>
      <c r="J288" s="5916"/>
      <c r="K288" s="5917"/>
      <c r="L288" s="634"/>
      <c r="M288" s="634"/>
      <c r="N288" s="634"/>
      <c r="O288" s="634"/>
      <c r="P288" s="634"/>
      <c r="Q288" s="4717"/>
      <c r="R288" s="1323"/>
      <c r="S288" s="1196" t="s">
        <v>996</v>
      </c>
      <c r="T288" s="1205"/>
      <c r="U288" s="1253" t="str">
        <f>ADDRESS(ROW(U289),COLUMN(U289),4)</f>
        <v>U289</v>
      </c>
      <c r="V288" s="1229"/>
      <c r="W288" s="1275" t="s">
        <v>1006</v>
      </c>
      <c r="X288" s="1255"/>
      <c r="Y288" s="634"/>
      <c r="Z288" s="1334" t="s">
        <v>1055</v>
      </c>
      <c r="AA288" s="1421"/>
      <c r="AB288" s="4717"/>
      <c r="AC288" s="1323"/>
      <c r="AD288" s="1196" t="s">
        <v>996</v>
      </c>
      <c r="AE288" s="1205"/>
      <c r="AF288" s="1253" t="str">
        <f>ADDRESS(ROW(AF289),COLUMN(AF289),4)</f>
        <v>AF289</v>
      </c>
      <c r="AG288" s="1229"/>
      <c r="AH288" s="1275" t="s">
        <v>1006</v>
      </c>
      <c r="AI288" s="1255"/>
      <c r="AJ288" s="634"/>
      <c r="AK288" s="1334" t="s">
        <v>1055</v>
      </c>
      <c r="AL288" s="634"/>
      <c r="AM288" s="4717"/>
      <c r="AN288" s="1323"/>
      <c r="AO288" s="1196" t="s">
        <v>996</v>
      </c>
      <c r="AP288" s="1205"/>
      <c r="AQ288" s="1253" t="str">
        <f>ADDRESS(ROW(AQ289),COLUMN(AQ289),4)</f>
        <v>AQ289</v>
      </c>
      <c r="AR288" s="1229"/>
      <c r="AS288" s="1275" t="s">
        <v>1006</v>
      </c>
      <c r="AT288" s="1255"/>
      <c r="AU288" s="634"/>
      <c r="AV288" s="1334" t="s">
        <v>1055</v>
      </c>
    </row>
    <row r="289" spans="1:48" ht="15.75" customHeight="1" thickBot="1">
      <c r="A289" s="4717"/>
      <c r="B289" s="1353"/>
      <c r="C289" s="1206"/>
      <c r="D289" s="1206"/>
      <c r="E289" s="1206"/>
      <c r="F289" s="1354"/>
      <c r="G289" s="1206"/>
      <c r="H289" s="1206"/>
      <c r="I289" s="1206"/>
      <c r="J289" s="634"/>
      <c r="K289" s="521"/>
      <c r="L289" s="634"/>
      <c r="M289" s="634"/>
      <c r="N289" s="634"/>
      <c r="O289" s="634"/>
      <c r="P289" s="634"/>
      <c r="Q289" s="4717"/>
      <c r="R289" s="1344" t="str">
        <f>ADDRESS(ROW(S289),COLUMN(S289),4)</f>
        <v>S289</v>
      </c>
      <c r="S289" s="1270">
        <f>T282</f>
        <v>12.375</v>
      </c>
      <c r="T289" s="1259" t="s">
        <v>603</v>
      </c>
      <c r="U289" s="1264">
        <f>Y282</f>
        <v>0.5</v>
      </c>
      <c r="V289" s="1261" t="s">
        <v>997</v>
      </c>
      <c r="W289" s="1265">
        <f>(S289*U289)/S290</f>
        <v>6.1874999999999999E-2</v>
      </c>
      <c r="X289" s="1266">
        <f>W289*1000</f>
        <v>61.875</v>
      </c>
      <c r="Y289" s="634"/>
      <c r="Z289" s="1334" t="s">
        <v>1055</v>
      </c>
      <c r="AA289" s="1421"/>
      <c r="AB289" s="4717"/>
      <c r="AC289" s="1344" t="str">
        <f>ADDRESS(ROW(AD289),COLUMN(AD289),4)</f>
        <v>AD289</v>
      </c>
      <c r="AD289" s="1270">
        <f>AE282</f>
        <v>12</v>
      </c>
      <c r="AE289" s="1259" t="s">
        <v>603</v>
      </c>
      <c r="AF289" s="1264">
        <f>AJ282</f>
        <v>0.5</v>
      </c>
      <c r="AG289" s="1261" t="s">
        <v>997</v>
      </c>
      <c r="AH289" s="1265">
        <f>(AD289*AF289)/AD290</f>
        <v>0.06</v>
      </c>
      <c r="AI289" s="1266">
        <f>AH289*1000</f>
        <v>60</v>
      </c>
      <c r="AJ289" s="634"/>
      <c r="AK289" s="1334" t="s">
        <v>1055</v>
      </c>
      <c r="AL289" s="634"/>
      <c r="AM289" s="4717"/>
      <c r="AN289" s="1344" t="str">
        <f>ADDRESS(ROW(AO289),COLUMN(AO289),4)</f>
        <v>AO289</v>
      </c>
      <c r="AO289" s="1270">
        <f>AP282</f>
        <v>12.611000000000001</v>
      </c>
      <c r="AP289" s="1259" t="s">
        <v>603</v>
      </c>
      <c r="AQ289" s="1264">
        <f>AU282</f>
        <v>0.5</v>
      </c>
      <c r="AR289" s="1261" t="s">
        <v>997</v>
      </c>
      <c r="AS289" s="1265">
        <f>(AO289*AQ289)/AO290</f>
        <v>6.3055E-2</v>
      </c>
      <c r="AT289" s="1266">
        <f>AS289*1000</f>
        <v>63.055</v>
      </c>
      <c r="AU289" s="634"/>
      <c r="AV289" s="1334" t="s">
        <v>1055</v>
      </c>
    </row>
    <row r="290" spans="1:48" ht="15.75" customHeight="1">
      <c r="A290" s="4717"/>
      <c r="B290" s="1353"/>
      <c r="C290" s="1403"/>
      <c r="D290" s="1203" t="s">
        <v>995</v>
      </c>
      <c r="E290" s="1404">
        <f>D282</f>
        <v>12.375</v>
      </c>
      <c r="F290" s="1354"/>
      <c r="G290" s="1206"/>
      <c r="H290" s="1403"/>
      <c r="I290" s="1203" t="s">
        <v>995</v>
      </c>
      <c r="J290" s="1404">
        <f>I282</f>
        <v>12</v>
      </c>
      <c r="K290" s="521"/>
      <c r="L290" s="634"/>
      <c r="M290" s="634"/>
      <c r="N290" s="634"/>
      <c r="O290" s="634"/>
      <c r="P290" s="634"/>
      <c r="Q290" s="4717"/>
      <c r="R290" s="1344" t="str">
        <f>ADDRESS(ROW(S290),COLUMN(S290),4)</f>
        <v>S290</v>
      </c>
      <c r="S290" s="5906">
        <v>100</v>
      </c>
      <c r="T290" s="5906"/>
      <c r="U290" s="5906"/>
      <c r="V290" s="1229"/>
      <c r="W290" s="680" t="str">
        <f ca="1">_xlfn.FORMULATEXT(W289)</f>
        <v>=(S289*U289)/S290</v>
      </c>
      <c r="X290" s="1267"/>
      <c r="Y290" s="634"/>
      <c r="Z290" s="1334" t="s">
        <v>1055</v>
      </c>
      <c r="AA290" s="1421"/>
      <c r="AB290" s="4717"/>
      <c r="AC290" s="1344" t="str">
        <f>ADDRESS(ROW(AD290),COLUMN(AD290),4)</f>
        <v>AD290</v>
      </c>
      <c r="AD290" s="5906">
        <v>100</v>
      </c>
      <c r="AE290" s="5906"/>
      <c r="AF290" s="5906"/>
      <c r="AG290" s="1229"/>
      <c r="AH290" s="680" t="str">
        <f ca="1">_xlfn.FORMULATEXT(AH289)</f>
        <v>=(AD289*AF289)/AD290</v>
      </c>
      <c r="AI290" s="1267"/>
      <c r="AJ290" s="634"/>
      <c r="AK290" s="1334" t="s">
        <v>1055</v>
      </c>
      <c r="AL290" s="634"/>
      <c r="AM290" s="4717"/>
      <c r="AN290" s="1344" t="str">
        <f>ADDRESS(ROW(AO290),COLUMN(AO290),4)</f>
        <v>AO290</v>
      </c>
      <c r="AO290" s="5906">
        <v>100</v>
      </c>
      <c r="AP290" s="5906"/>
      <c r="AQ290" s="5906"/>
      <c r="AR290" s="1229"/>
      <c r="AS290" s="680" t="str">
        <f ca="1">_xlfn.FORMULATEXT(AS289)</f>
        <v>=(AO289*AQ289)/AO290</v>
      </c>
      <c r="AT290" s="1267"/>
      <c r="AU290" s="634"/>
      <c r="AV290" s="1334" t="s">
        <v>1055</v>
      </c>
    </row>
    <row r="291" spans="1:48">
      <c r="A291" s="4717"/>
      <c r="B291" s="1353"/>
      <c r="C291" s="1206"/>
      <c r="D291" s="1206"/>
      <c r="E291" s="1206"/>
      <c r="F291" s="1354"/>
      <c r="G291" s="1206"/>
      <c r="H291" s="1206"/>
      <c r="I291" s="1206"/>
      <c r="J291" s="634"/>
      <c r="K291" s="521"/>
      <c r="L291" s="634"/>
      <c r="M291" s="634"/>
      <c r="N291" s="634"/>
      <c r="O291" s="634"/>
      <c r="P291" s="634"/>
      <c r="Q291" s="4717"/>
      <c r="R291" s="1323"/>
      <c r="S291" s="1229"/>
      <c r="T291" s="1229"/>
      <c r="U291" s="1229"/>
      <c r="V291" s="1269"/>
      <c r="W291" s="1269"/>
      <c r="X291" s="816"/>
      <c r="Y291" s="634"/>
      <c r="Z291" s="1334" t="s">
        <v>1055</v>
      </c>
      <c r="AA291" s="1421"/>
      <c r="AB291" s="4717"/>
      <c r="AC291" s="1323"/>
      <c r="AD291" s="1229"/>
      <c r="AE291" s="1229"/>
      <c r="AF291" s="1229"/>
      <c r="AG291" s="1269"/>
      <c r="AH291" s="1269"/>
      <c r="AI291" s="816"/>
      <c r="AJ291" s="634"/>
      <c r="AK291" s="1334" t="s">
        <v>1055</v>
      </c>
      <c r="AL291" s="634"/>
      <c r="AM291" s="4717"/>
      <c r="AN291" s="1323"/>
      <c r="AO291" s="1229"/>
      <c r="AP291" s="1229"/>
      <c r="AQ291" s="1229"/>
      <c r="AR291" s="1269"/>
      <c r="AS291" s="1269"/>
      <c r="AT291" s="816"/>
      <c r="AU291" s="634"/>
      <c r="AV291" s="1334" t="s">
        <v>1055</v>
      </c>
    </row>
    <row r="292" spans="1:48" ht="15.75" customHeight="1">
      <c r="A292" s="4717"/>
      <c r="B292" s="1355"/>
      <c r="C292" s="1418"/>
      <c r="D292" s="1356" t="s">
        <v>1074</v>
      </c>
      <c r="E292" s="1405">
        <f>D284</f>
        <v>0.5</v>
      </c>
      <c r="F292" s="517"/>
      <c r="G292" s="1358"/>
      <c r="H292" s="1418"/>
      <c r="I292" s="1359" t="s">
        <v>1074</v>
      </c>
      <c r="J292" s="1406">
        <f>I284</f>
        <v>0.5</v>
      </c>
      <c r="K292" s="1361"/>
      <c r="L292" s="634"/>
      <c r="M292" s="634"/>
      <c r="N292" s="634"/>
      <c r="O292" s="634"/>
      <c r="P292" s="634"/>
      <c r="Q292" s="4717"/>
      <c r="R292" s="656" t="s">
        <v>1057</v>
      </c>
      <c r="S292" s="1229"/>
      <c r="T292" s="1229"/>
      <c r="U292" s="1229"/>
      <c r="V292" s="1269"/>
      <c r="W292" s="1269"/>
      <c r="X292" s="816"/>
      <c r="Y292" s="634"/>
      <c r="Z292" s="1334" t="s">
        <v>1055</v>
      </c>
      <c r="AA292" s="1421"/>
      <c r="AB292" s="4717"/>
      <c r="AC292" s="656" t="s">
        <v>1057</v>
      </c>
      <c r="AD292" s="1229"/>
      <c r="AE292" s="1229"/>
      <c r="AF292" s="1229"/>
      <c r="AG292" s="1269"/>
      <c r="AH292" s="1269"/>
      <c r="AI292" s="816"/>
      <c r="AJ292" s="634"/>
      <c r="AK292" s="1334" t="s">
        <v>1055</v>
      </c>
      <c r="AL292" s="634"/>
      <c r="AM292" s="4717"/>
      <c r="AN292" s="656" t="s">
        <v>1057</v>
      </c>
      <c r="AO292" s="1229"/>
      <c r="AP292" s="1229"/>
      <c r="AQ292" s="1229"/>
      <c r="AR292" s="1269"/>
      <c r="AS292" s="1269"/>
      <c r="AT292" s="816"/>
      <c r="AU292" s="634"/>
      <c r="AV292" s="1334" t="s">
        <v>1055</v>
      </c>
    </row>
    <row r="293" spans="1:48" ht="18.75">
      <c r="A293" s="4717"/>
      <c r="B293" s="1363" t="s">
        <v>995</v>
      </c>
      <c r="C293" s="1206"/>
      <c r="D293" s="634"/>
      <c r="E293" s="1347"/>
      <c r="F293" s="517"/>
      <c r="G293" s="1364" t="s">
        <v>995</v>
      </c>
      <c r="H293" s="1206"/>
      <c r="I293" s="634"/>
      <c r="J293" s="634"/>
      <c r="K293" s="1365"/>
      <c r="L293" s="634"/>
      <c r="M293" s="634"/>
      <c r="N293" s="634"/>
      <c r="O293" s="634"/>
      <c r="P293" s="634"/>
      <c r="Q293" s="4717"/>
      <c r="R293" s="656"/>
      <c r="S293" s="1229"/>
      <c r="T293" s="1229"/>
      <c r="U293" s="1229"/>
      <c r="V293" s="1269"/>
      <c r="W293" s="1269"/>
      <c r="X293" s="816"/>
      <c r="Y293" s="1320" t="s">
        <v>1058</v>
      </c>
      <c r="Z293" s="1334" t="s">
        <v>1055</v>
      </c>
      <c r="AA293" s="1421"/>
      <c r="AB293" s="4717"/>
      <c r="AC293" s="656"/>
      <c r="AD293" s="1229"/>
      <c r="AE293" s="1229"/>
      <c r="AF293" s="1229"/>
      <c r="AG293" s="1269"/>
      <c r="AH293" s="1269"/>
      <c r="AI293" s="816"/>
      <c r="AJ293" s="1320" t="s">
        <v>1058</v>
      </c>
      <c r="AK293" s="1334" t="s">
        <v>1055</v>
      </c>
      <c r="AL293" s="634"/>
      <c r="AM293" s="4717"/>
      <c r="AN293" s="656"/>
      <c r="AO293" s="1229"/>
      <c r="AP293" s="1229"/>
      <c r="AQ293" s="1229"/>
      <c r="AR293" s="1269"/>
      <c r="AS293" s="1269"/>
      <c r="AT293" s="816"/>
      <c r="AU293" s="1320" t="s">
        <v>1058</v>
      </c>
      <c r="AV293" s="1334" t="s">
        <v>1055</v>
      </c>
    </row>
    <row r="294" spans="1:48">
      <c r="A294" s="4717"/>
      <c r="B294" s="1344" t="str">
        <f>ADDRESS(ROW(B295),COLUMN(B295),4)</f>
        <v>B295</v>
      </c>
      <c r="C294" s="1206"/>
      <c r="D294" s="1253" t="str">
        <f>ADDRESS(ROW(D295),COLUMN(D295),4)</f>
        <v>D295</v>
      </c>
      <c r="E294" s="1419" t="s">
        <v>1078</v>
      </c>
      <c r="F294" s="1408"/>
      <c r="G294" s="1253" t="str">
        <f>ADDRESS(ROW(G295),COLUMN(G295),4)</f>
        <v>G295</v>
      </c>
      <c r="H294" s="1206"/>
      <c r="I294" s="1253" t="str">
        <f>ADDRESS(ROW(I295),COLUMN(I295),4)</f>
        <v>I295</v>
      </c>
      <c r="J294" s="1419" t="s">
        <v>1078</v>
      </c>
      <c r="K294" s="1408"/>
      <c r="L294" s="634"/>
      <c r="M294" s="634"/>
      <c r="N294" s="634"/>
      <c r="O294" s="634"/>
      <c r="P294" s="634"/>
      <c r="Q294" s="4717"/>
      <c r="R294" s="656" t="s">
        <v>1048</v>
      </c>
      <c r="S294" s="1229"/>
      <c r="T294" s="1229"/>
      <c r="U294" s="1229"/>
      <c r="V294" s="1269"/>
      <c r="W294" s="1269"/>
      <c r="X294" s="816"/>
      <c r="Y294" s="1229"/>
      <c r="Z294" s="521"/>
      <c r="AA294" s="1421"/>
      <c r="AB294" s="4717"/>
      <c r="AC294" s="656" t="s">
        <v>1048</v>
      </c>
      <c r="AD294" s="1229"/>
      <c r="AE294" s="1229"/>
      <c r="AF294" s="1229"/>
      <c r="AG294" s="1269"/>
      <c r="AH294" s="1269"/>
      <c r="AI294" s="816"/>
      <c r="AJ294" s="1229"/>
      <c r="AK294" s="521"/>
      <c r="AL294" s="634"/>
      <c r="AM294" s="4717"/>
      <c r="AN294" s="656" t="s">
        <v>1048</v>
      </c>
      <c r="AO294" s="1229"/>
      <c r="AP294" s="1229"/>
      <c r="AQ294" s="1229"/>
      <c r="AR294" s="1269"/>
      <c r="AS294" s="1269"/>
      <c r="AT294" s="816"/>
      <c r="AU294" s="1229"/>
      <c r="AV294" s="521"/>
    </row>
    <row r="295" spans="1:48" ht="15.75" customHeight="1" thickBot="1">
      <c r="A295" s="4717"/>
      <c r="B295" s="1366">
        <f>D282</f>
        <v>12.375</v>
      </c>
      <c r="C295" s="1270" t="s">
        <v>603</v>
      </c>
      <c r="D295" s="1409">
        <f>D284</f>
        <v>0.5</v>
      </c>
      <c r="E295" s="1265">
        <f>(B295*D295)/B296</f>
        <v>6.1874999999999999E-2</v>
      </c>
      <c r="F295" s="1410"/>
      <c r="G295" s="1368">
        <f>I282</f>
        <v>12</v>
      </c>
      <c r="H295" s="1270" t="s">
        <v>603</v>
      </c>
      <c r="I295" s="1411">
        <f>I284</f>
        <v>0.5</v>
      </c>
      <c r="J295" s="1265">
        <f>(G295*I295)/G296</f>
        <v>0.06</v>
      </c>
      <c r="K295" s="1410"/>
      <c r="L295" s="634"/>
      <c r="M295" s="634"/>
      <c r="N295" s="634"/>
      <c r="O295" s="634"/>
      <c r="P295" s="634"/>
      <c r="Q295" s="4717"/>
      <c r="R295" s="656" t="s">
        <v>1068</v>
      </c>
      <c r="S295" s="1229"/>
      <c r="T295" s="1229"/>
      <c r="U295" s="1229"/>
      <c r="V295" s="1269"/>
      <c r="W295" s="1269"/>
      <c r="X295" s="816"/>
      <c r="Y295" s="1229"/>
      <c r="Z295" s="517"/>
      <c r="AA295" s="1421"/>
      <c r="AB295" s="4717"/>
      <c r="AC295" s="656" t="s">
        <v>1068</v>
      </c>
      <c r="AD295" s="1229"/>
      <c r="AE295" s="1229"/>
      <c r="AF295" s="1229"/>
      <c r="AG295" s="1269"/>
      <c r="AH295" s="1269"/>
      <c r="AI295" s="816"/>
      <c r="AJ295" s="1229"/>
      <c r="AK295" s="517"/>
      <c r="AL295" s="634"/>
      <c r="AM295" s="4717"/>
      <c r="AN295" s="656" t="s">
        <v>1068</v>
      </c>
      <c r="AO295" s="1229"/>
      <c r="AP295" s="1229"/>
      <c r="AQ295" s="1229"/>
      <c r="AR295" s="1269"/>
      <c r="AS295" s="1269"/>
      <c r="AT295" s="816"/>
      <c r="AU295" s="1229"/>
      <c r="AV295" s="517"/>
    </row>
    <row r="296" spans="1:48" ht="18.75" customHeight="1">
      <c r="A296" s="4717"/>
      <c r="B296" s="5907">
        <v>100</v>
      </c>
      <c r="C296" s="5908"/>
      <c r="D296" s="1369" t="s">
        <v>997</v>
      </c>
      <c r="E296" s="680" t="str">
        <f ca="1">_xlfn.FORMULATEXT(E295)</f>
        <v>=(B295*D295)/B296</v>
      </c>
      <c r="F296" s="517"/>
      <c r="G296" s="5908">
        <v>100</v>
      </c>
      <c r="H296" s="5908"/>
      <c r="I296" s="1369" t="s">
        <v>997</v>
      </c>
      <c r="J296" s="680" t="str">
        <f ca="1">_xlfn.FORMULATEXT(J295)</f>
        <v>=(G295*I295)/G296</v>
      </c>
      <c r="K296" s="517"/>
      <c r="L296" s="634"/>
      <c r="M296" s="634"/>
      <c r="N296" s="634"/>
      <c r="O296" s="634"/>
      <c r="P296" s="634"/>
      <c r="Q296" s="4717"/>
      <c r="R296" s="5909" t="s">
        <v>998</v>
      </c>
      <c r="S296" s="5910"/>
      <c r="T296" s="5910"/>
      <c r="U296" s="5910"/>
      <c r="V296" s="5910"/>
      <c r="W296" s="5910"/>
      <c r="X296" s="5910"/>
      <c r="Y296" s="5910"/>
      <c r="Z296" s="5911"/>
      <c r="AA296" s="1421"/>
      <c r="AB296" s="4717"/>
      <c r="AC296" s="5909" t="s">
        <v>998</v>
      </c>
      <c r="AD296" s="5910"/>
      <c r="AE296" s="5910"/>
      <c r="AF296" s="5910"/>
      <c r="AG296" s="5910"/>
      <c r="AH296" s="5910"/>
      <c r="AI296" s="5910"/>
      <c r="AJ296" s="5910"/>
      <c r="AK296" s="5911"/>
      <c r="AL296" s="634"/>
      <c r="AM296" s="4717"/>
      <c r="AN296" s="5909" t="s">
        <v>998</v>
      </c>
      <c r="AO296" s="5910"/>
      <c r="AP296" s="5910"/>
      <c r="AQ296" s="5910"/>
      <c r="AR296" s="5910"/>
      <c r="AS296" s="5910"/>
      <c r="AT296" s="5910"/>
      <c r="AU296" s="5910"/>
      <c r="AV296" s="5911"/>
    </row>
    <row r="297" spans="1:48" ht="15.75" customHeight="1">
      <c r="A297" s="4717"/>
      <c r="B297" s="633"/>
      <c r="C297" s="1253" t="str">
        <f>ADDRESS(ROW(B296),COLUMN(B296),4)</f>
        <v>B296</v>
      </c>
      <c r="D297" s="634"/>
      <c r="E297" s="1350"/>
      <c r="F297" s="517"/>
      <c r="G297" s="634"/>
      <c r="H297" s="1253" t="str">
        <f>ADDRESS(ROW(G296),COLUMN(G296),4)</f>
        <v>G296</v>
      </c>
      <c r="I297" s="634"/>
      <c r="J297" s="634"/>
      <c r="K297" s="1361"/>
      <c r="L297" s="634"/>
      <c r="M297" s="634"/>
      <c r="N297" s="634"/>
      <c r="O297" s="634"/>
      <c r="P297" s="634"/>
      <c r="Q297" s="4717"/>
      <c r="R297" s="5800" t="s">
        <v>999</v>
      </c>
      <c r="S297" s="5801"/>
      <c r="T297" s="5801"/>
      <c r="U297" s="5801"/>
      <c r="V297" s="5801"/>
      <c r="W297" s="5801"/>
      <c r="X297" s="5801"/>
      <c r="Y297" s="5801"/>
      <c r="Z297" s="5802"/>
      <c r="AA297" s="1422"/>
      <c r="AB297" s="4717"/>
      <c r="AC297" s="5800" t="s">
        <v>999</v>
      </c>
      <c r="AD297" s="5801"/>
      <c r="AE297" s="5801"/>
      <c r="AF297" s="5801"/>
      <c r="AG297" s="5801"/>
      <c r="AH297" s="5801"/>
      <c r="AI297" s="5801"/>
      <c r="AJ297" s="5801"/>
      <c r="AK297" s="5802"/>
      <c r="AL297" s="634"/>
      <c r="AM297" s="4717"/>
      <c r="AN297" s="5800" t="s">
        <v>999</v>
      </c>
      <c r="AO297" s="5801"/>
      <c r="AP297" s="5801"/>
      <c r="AQ297" s="5801"/>
      <c r="AR297" s="5801"/>
      <c r="AS297" s="5801"/>
      <c r="AT297" s="5801"/>
      <c r="AU297" s="5801"/>
      <c r="AV297" s="5802"/>
    </row>
    <row r="298" spans="1:48">
      <c r="A298" s="4717"/>
      <c r="B298" s="1351"/>
      <c r="C298" s="1012"/>
      <c r="D298" s="1012"/>
      <c r="E298" s="1012"/>
      <c r="F298" s="1371"/>
      <c r="G298" s="1352"/>
      <c r="H298" s="1012"/>
      <c r="I298" s="1012"/>
      <c r="J298" s="1012"/>
      <c r="K298" s="1194"/>
      <c r="L298" s="634"/>
      <c r="M298" s="634"/>
      <c r="N298" s="634"/>
      <c r="O298" s="634"/>
      <c r="P298" s="634"/>
      <c r="Q298" s="4717"/>
      <c r="R298" s="5815" t="s">
        <v>990</v>
      </c>
      <c r="S298" s="5803" t="s">
        <v>1000</v>
      </c>
      <c r="T298" s="5803"/>
      <c r="U298" s="5803"/>
      <c r="V298" s="5803"/>
      <c r="W298" s="5803"/>
      <c r="X298" s="5803"/>
      <c r="Y298" s="5803"/>
      <c r="Z298" s="517"/>
      <c r="AA298" s="1422"/>
      <c r="AB298" s="4717"/>
      <c r="AC298" s="5815" t="s">
        <v>990</v>
      </c>
      <c r="AD298" s="5803" t="s">
        <v>1000</v>
      </c>
      <c r="AE298" s="5803"/>
      <c r="AF298" s="5803"/>
      <c r="AG298" s="5803"/>
      <c r="AH298" s="5803"/>
      <c r="AI298" s="5803"/>
      <c r="AJ298" s="5803"/>
      <c r="AK298" s="517"/>
      <c r="AL298" s="634"/>
      <c r="AM298" s="4717"/>
      <c r="AN298" s="5815" t="s">
        <v>990</v>
      </c>
      <c r="AO298" s="5803" t="s">
        <v>1000</v>
      </c>
      <c r="AP298" s="5803"/>
      <c r="AQ298" s="5803"/>
      <c r="AR298" s="5803"/>
      <c r="AS298" s="5803"/>
      <c r="AT298" s="5803"/>
      <c r="AU298" s="5803"/>
      <c r="AV298" s="517"/>
    </row>
    <row r="299" spans="1:48" ht="15.75" customHeight="1">
      <c r="A299" s="4717"/>
      <c r="B299" s="633"/>
      <c r="C299" s="634"/>
      <c r="D299" s="634"/>
      <c r="E299" s="634"/>
      <c r="F299" s="634"/>
      <c r="G299" s="1350"/>
      <c r="H299" s="1350"/>
      <c r="I299" s="634"/>
      <c r="J299" s="634"/>
      <c r="K299" s="517"/>
      <c r="L299" s="634"/>
      <c r="M299" s="634"/>
      <c r="N299" s="634"/>
      <c r="O299" s="634"/>
      <c r="P299" s="634"/>
      <c r="Q299" s="4717"/>
      <c r="R299" s="5815"/>
      <c r="S299" s="5805" t="s">
        <v>1001</v>
      </c>
      <c r="T299" s="5805"/>
      <c r="U299" s="5805"/>
      <c r="V299" s="5805"/>
      <c r="W299" s="5805"/>
      <c r="X299" s="5805"/>
      <c r="Y299" s="5805"/>
      <c r="Z299" s="517"/>
      <c r="AA299" s="1422"/>
      <c r="AB299" s="4717"/>
      <c r="AC299" s="5815"/>
      <c r="AD299" s="5805" t="s">
        <v>1001</v>
      </c>
      <c r="AE299" s="5805"/>
      <c r="AF299" s="5805"/>
      <c r="AG299" s="5805"/>
      <c r="AH299" s="5805"/>
      <c r="AI299" s="5805"/>
      <c r="AJ299" s="5805"/>
      <c r="AK299" s="517"/>
      <c r="AL299" s="634"/>
      <c r="AM299" s="4717"/>
      <c r="AN299" s="5815"/>
      <c r="AO299" s="5805" t="s">
        <v>1001</v>
      </c>
      <c r="AP299" s="5805"/>
      <c r="AQ299" s="5805"/>
      <c r="AR299" s="5805"/>
      <c r="AS299" s="5805"/>
      <c r="AT299" s="5805"/>
      <c r="AU299" s="5805"/>
      <c r="AV299" s="517"/>
    </row>
    <row r="300" spans="1:48" ht="19.5" thickBot="1">
      <c r="A300" s="4717"/>
      <c r="B300" s="633"/>
      <c r="C300" s="1347"/>
      <c r="D300" s="634"/>
      <c r="E300" s="634"/>
      <c r="F300" s="1348" t="s">
        <v>1079</v>
      </c>
      <c r="G300" s="1349">
        <f>IF(E286&gt;J286,E286-J286,J286-E286)</f>
        <v>1.8750000000000017E-3</v>
      </c>
      <c r="H300" s="1266">
        <f>G300*1000</f>
        <v>1.8750000000000018</v>
      </c>
      <c r="I300" s="634"/>
      <c r="J300" s="634"/>
      <c r="K300" s="517"/>
      <c r="L300" s="634"/>
      <c r="M300" s="634"/>
      <c r="N300" s="634"/>
      <c r="O300" s="634"/>
      <c r="P300" s="634"/>
      <c r="Q300" s="4717"/>
      <c r="R300" s="1372" t="s">
        <v>1002</v>
      </c>
      <c r="S300" s="1373"/>
      <c r="T300" s="1373"/>
      <c r="U300" s="1373"/>
      <c r="V300" s="1373"/>
      <c r="W300" s="1373"/>
      <c r="X300" s="1373"/>
      <c r="Y300" s="1373"/>
      <c r="Z300" s="1374"/>
      <c r="AA300" s="1422"/>
      <c r="AB300" s="4717"/>
      <c r="AC300" s="1372" t="s">
        <v>1002</v>
      </c>
      <c r="AD300" s="1373"/>
      <c r="AE300" s="1373"/>
      <c r="AF300" s="1373"/>
      <c r="AG300" s="1373"/>
      <c r="AH300" s="1373"/>
      <c r="AI300" s="1373"/>
      <c r="AJ300" s="1373"/>
      <c r="AK300" s="1374"/>
      <c r="AL300" s="634"/>
      <c r="AM300" s="4717"/>
      <c r="AN300" s="1372" t="s">
        <v>1002</v>
      </c>
      <c r="AO300" s="1373"/>
      <c r="AP300" s="1373"/>
      <c r="AQ300" s="1373"/>
      <c r="AR300" s="1373"/>
      <c r="AS300" s="1373"/>
      <c r="AT300" s="1373"/>
      <c r="AU300" s="1373"/>
      <c r="AV300" s="1374"/>
    </row>
    <row r="301" spans="1:48" ht="18.75">
      <c r="A301" s="4717"/>
      <c r="B301" s="633"/>
      <c r="C301" s="634"/>
      <c r="D301" s="634"/>
      <c r="E301" s="634"/>
      <c r="F301" s="634"/>
      <c r="G301" s="1350"/>
      <c r="H301" s="1350"/>
      <c r="I301" s="634"/>
      <c r="J301" s="634"/>
      <c r="K301" s="517"/>
      <c r="L301" s="634"/>
      <c r="M301" s="634"/>
      <c r="N301" s="634"/>
      <c r="O301" s="634"/>
      <c r="P301" s="634"/>
      <c r="Q301" s="1421"/>
      <c r="R301" s="1423"/>
      <c r="S301" s="1207"/>
      <c r="T301" s="1422"/>
      <c r="U301" s="1424"/>
      <c r="V301" s="1424"/>
      <c r="W301" s="1425"/>
      <c r="X301" s="687"/>
      <c r="Y301" s="1422"/>
      <c r="Z301" s="1422"/>
      <c r="AA301" s="1422"/>
      <c r="AB301" s="1422"/>
      <c r="AC301" s="1422"/>
      <c r="AD301" s="1422"/>
      <c r="AE301" s="1422"/>
      <c r="AF301" s="1422"/>
      <c r="AG301" s="1422"/>
      <c r="AH301" s="1422"/>
      <c r="AI301" s="1422"/>
      <c r="AJ301" s="634"/>
      <c r="AK301" s="634"/>
      <c r="AL301" s="634"/>
      <c r="AM301" s="634"/>
      <c r="AN301" s="634"/>
      <c r="AO301" s="634"/>
      <c r="AP301" s="634"/>
      <c r="AQ301" s="634"/>
      <c r="AR301" s="634"/>
      <c r="AS301" s="634"/>
      <c r="AT301" s="634"/>
      <c r="AU301" s="634"/>
      <c r="AV301" s="634"/>
    </row>
    <row r="302" spans="1:48">
      <c r="A302" s="4717"/>
      <c r="B302" s="1375" t="s">
        <v>1048</v>
      </c>
      <c r="C302" s="1315"/>
      <c r="D302" s="1315"/>
      <c r="E302" s="1315"/>
      <c r="F302" s="1315"/>
      <c r="G302" s="1376"/>
      <c r="H302" s="1376"/>
      <c r="I302" s="1315"/>
      <c r="J302" s="1315"/>
      <c r="K302" s="1377"/>
      <c r="L302" s="634"/>
      <c r="M302" s="634"/>
      <c r="N302" s="634"/>
      <c r="O302" s="634"/>
      <c r="P302" s="634"/>
      <c r="Q302" s="1421"/>
      <c r="R302" s="1423"/>
      <c r="S302" s="1207"/>
      <c r="T302" s="1422"/>
      <c r="U302" s="1422"/>
      <c r="V302" s="1422"/>
      <c r="W302" s="1422"/>
      <c r="X302" s="1426"/>
      <c r="Y302" s="1422"/>
      <c r="Z302" s="1422"/>
      <c r="AA302" s="1422"/>
      <c r="AB302" s="1422"/>
      <c r="AC302" s="1422"/>
      <c r="AD302" s="1422"/>
      <c r="AE302" s="1422"/>
      <c r="AF302" s="1422"/>
      <c r="AG302" s="1422"/>
      <c r="AH302" s="1422"/>
      <c r="AI302" s="1422"/>
      <c r="AJ302" s="634"/>
      <c r="AK302" s="634"/>
      <c r="AL302" s="634"/>
      <c r="AM302" s="634"/>
      <c r="AN302" s="634"/>
      <c r="AO302" s="634"/>
      <c r="AP302" s="634"/>
      <c r="AQ302" s="634"/>
      <c r="AR302" s="634"/>
      <c r="AS302" s="634"/>
      <c r="AT302" s="634"/>
      <c r="AU302" s="634"/>
      <c r="AV302" s="634"/>
    </row>
    <row r="303" spans="1:48">
      <c r="A303" s="4717"/>
      <c r="B303" s="656" t="s">
        <v>1049</v>
      </c>
      <c r="C303" s="1362"/>
      <c r="D303" s="634"/>
      <c r="E303" s="634"/>
      <c r="F303" s="634"/>
      <c r="G303" s="634"/>
      <c r="H303" s="634"/>
      <c r="I303" s="634"/>
      <c r="J303" s="634"/>
      <c r="K303" s="517"/>
      <c r="L303" s="634"/>
      <c r="M303" s="634"/>
      <c r="N303" s="634"/>
      <c r="O303" s="634"/>
      <c r="P303" s="634"/>
      <c r="Q303" s="1421"/>
      <c r="R303" s="1427"/>
      <c r="S303" s="1207"/>
      <c r="T303" s="1207"/>
      <c r="U303" s="1428"/>
      <c r="V303" s="1422"/>
      <c r="W303" s="1422"/>
      <c r="X303" s="1426"/>
      <c r="Y303" s="1422"/>
      <c r="Z303" s="1422"/>
      <c r="AA303" s="1422"/>
      <c r="AB303" s="1422"/>
      <c r="AC303" s="1422"/>
      <c r="AD303" s="1422"/>
      <c r="AE303" s="1422"/>
      <c r="AF303" s="1422"/>
      <c r="AG303" s="1422"/>
      <c r="AH303" s="1422"/>
      <c r="AI303" s="1422"/>
      <c r="AJ303" s="634"/>
      <c r="AK303" s="634"/>
      <c r="AL303" s="634"/>
      <c r="AM303" s="634"/>
      <c r="AN303" s="634"/>
      <c r="AO303" s="634"/>
      <c r="AP303" s="634"/>
      <c r="AQ303" s="634"/>
      <c r="AR303" s="634"/>
      <c r="AS303" s="634"/>
      <c r="AT303" s="634"/>
      <c r="AU303" s="634"/>
      <c r="AV303" s="634"/>
    </row>
    <row r="304" spans="1:48" ht="15.75" customHeight="1">
      <c r="A304" s="4717"/>
      <c r="B304" s="5902" t="s">
        <v>998</v>
      </c>
      <c r="C304" s="5903"/>
      <c r="D304" s="5903"/>
      <c r="E304" s="5903"/>
      <c r="F304" s="5903"/>
      <c r="G304" s="5903"/>
      <c r="H304" s="5903"/>
      <c r="I304" s="5903"/>
      <c r="J304" s="5903"/>
      <c r="K304" s="5904"/>
      <c r="L304" s="634"/>
      <c r="M304" s="634"/>
      <c r="N304" s="634"/>
      <c r="O304" s="634"/>
      <c r="P304" s="634"/>
      <c r="Q304" s="1421"/>
      <c r="R304" s="1427"/>
      <c r="S304" s="1207"/>
      <c r="T304" s="1422"/>
      <c r="U304" s="1422"/>
      <c r="V304" s="1422"/>
      <c r="W304" s="1422"/>
      <c r="X304" s="1426"/>
      <c r="Y304" s="1422"/>
      <c r="Z304" s="1422"/>
      <c r="AA304" s="1422"/>
      <c r="AB304" s="1422"/>
      <c r="AC304" s="1422"/>
      <c r="AD304" s="1422"/>
      <c r="AE304" s="1422"/>
      <c r="AF304" s="1422"/>
      <c r="AG304" s="1422"/>
      <c r="AH304" s="1422"/>
      <c r="AI304" s="1422"/>
      <c r="AJ304" s="634"/>
      <c r="AK304" s="634"/>
      <c r="AL304" s="634"/>
      <c r="AM304" s="634"/>
      <c r="AN304" s="634"/>
      <c r="AO304" s="634"/>
      <c r="AP304" s="634"/>
      <c r="AQ304" s="634"/>
      <c r="AR304" s="634"/>
      <c r="AS304" s="634"/>
      <c r="AT304" s="634"/>
      <c r="AU304" s="634"/>
      <c r="AV304" s="634"/>
    </row>
    <row r="305" spans="1:48" ht="15.75" customHeight="1">
      <c r="A305" s="4717"/>
      <c r="B305" s="5905" t="s">
        <v>999</v>
      </c>
      <c r="C305" s="5857"/>
      <c r="D305" s="5857"/>
      <c r="E305" s="5857"/>
      <c r="F305" s="5857"/>
      <c r="G305" s="5857"/>
      <c r="H305" s="5857"/>
      <c r="I305" s="5857"/>
      <c r="J305" s="5857"/>
      <c r="K305" s="517"/>
      <c r="L305" s="634"/>
      <c r="M305" s="634"/>
      <c r="N305" s="634"/>
      <c r="O305" s="634"/>
      <c r="P305" s="634"/>
      <c r="Q305" s="1421"/>
      <c r="R305" s="1427"/>
      <c r="S305" s="1207"/>
      <c r="T305" s="1207"/>
      <c r="U305" s="1207"/>
      <c r="V305" s="1207"/>
      <c r="W305" s="1207"/>
      <c r="X305" s="1426"/>
      <c r="Y305" s="1422"/>
      <c r="Z305" s="1422"/>
      <c r="AA305" s="1422"/>
      <c r="AB305" s="1422"/>
      <c r="AC305" s="1422"/>
      <c r="AD305" s="1422"/>
      <c r="AE305" s="1422"/>
      <c r="AF305" s="1422"/>
      <c r="AG305" s="1422"/>
      <c r="AH305" s="1422"/>
      <c r="AI305" s="1422"/>
      <c r="AJ305" s="634"/>
      <c r="AK305" s="634"/>
      <c r="AL305" s="634"/>
      <c r="AM305" s="634"/>
      <c r="AN305" s="634"/>
      <c r="AO305" s="634"/>
      <c r="AP305" s="634"/>
      <c r="AQ305" s="634"/>
      <c r="AR305" s="634"/>
      <c r="AS305" s="634"/>
      <c r="AT305" s="634"/>
      <c r="AU305" s="634"/>
      <c r="AV305" s="634"/>
    </row>
    <row r="306" spans="1:48" ht="15.75" customHeight="1">
      <c r="A306" s="4717"/>
      <c r="B306" s="5815" t="s">
        <v>990</v>
      </c>
      <c r="C306" s="5803" t="s">
        <v>1000</v>
      </c>
      <c r="D306" s="5803"/>
      <c r="E306" s="5803"/>
      <c r="F306" s="5803"/>
      <c r="G306" s="5803"/>
      <c r="H306" s="5803"/>
      <c r="I306" s="5803"/>
      <c r="J306" s="634"/>
      <c r="K306" s="517"/>
      <c r="L306" s="634"/>
      <c r="M306" s="634"/>
      <c r="N306" s="634"/>
      <c r="O306" s="634"/>
      <c r="P306" s="634"/>
      <c r="Q306" s="1421"/>
      <c r="R306" s="1427"/>
      <c r="S306" s="1429"/>
      <c r="T306" s="1207"/>
      <c r="U306" s="1430"/>
      <c r="V306" s="1207"/>
      <c r="W306" s="1431"/>
      <c r="X306" s="1432"/>
      <c r="Y306" s="1422"/>
      <c r="Z306" s="1422"/>
      <c r="AA306" s="1422"/>
      <c r="AB306" s="1422"/>
      <c r="AC306" s="1422"/>
      <c r="AD306" s="1422"/>
      <c r="AE306" s="1422"/>
      <c r="AF306" s="1422"/>
      <c r="AG306" s="1422"/>
      <c r="AH306" s="1422"/>
      <c r="AI306" s="1422"/>
      <c r="AJ306" s="634"/>
      <c r="AK306" s="634"/>
      <c r="AL306" s="634"/>
      <c r="AM306" s="634"/>
      <c r="AN306" s="634"/>
      <c r="AO306" s="634"/>
      <c r="AP306" s="634"/>
      <c r="AQ306" s="634"/>
      <c r="AR306" s="634"/>
      <c r="AS306" s="634"/>
      <c r="AT306" s="634"/>
      <c r="AU306" s="634"/>
      <c r="AV306" s="634"/>
    </row>
    <row r="307" spans="1:48" ht="15.75" customHeight="1">
      <c r="A307" s="4717"/>
      <c r="B307" s="5815"/>
      <c r="C307" s="5805" t="s">
        <v>1001</v>
      </c>
      <c r="D307" s="5805"/>
      <c r="E307" s="5805"/>
      <c r="F307" s="5805"/>
      <c r="G307" s="5805"/>
      <c r="H307" s="5805"/>
      <c r="I307" s="5805"/>
      <c r="J307" s="634"/>
      <c r="K307" s="517"/>
      <c r="L307" s="634"/>
      <c r="M307" s="634"/>
      <c r="N307" s="634"/>
      <c r="O307" s="634"/>
      <c r="P307" s="634"/>
      <c r="Q307" s="1421"/>
      <c r="R307" s="1427"/>
      <c r="S307" s="1433"/>
      <c r="T307" s="1207"/>
      <c r="U307" s="1433"/>
      <c r="V307" s="1207"/>
      <c r="W307" s="1431"/>
      <c r="X307" s="1434"/>
      <c r="Y307" s="1435"/>
      <c r="Z307" s="1422"/>
      <c r="AA307" s="1422"/>
      <c r="AB307" s="1422"/>
      <c r="AC307" s="1422"/>
      <c r="AD307" s="1422"/>
      <c r="AE307" s="1422"/>
      <c r="AF307" s="1422"/>
      <c r="AG307" s="1422"/>
      <c r="AH307" s="1422"/>
      <c r="AI307" s="1422"/>
      <c r="AJ307" s="634"/>
      <c r="AK307" s="634"/>
      <c r="AL307" s="634"/>
      <c r="AM307" s="634"/>
      <c r="AN307" s="634"/>
      <c r="AO307" s="634"/>
      <c r="AP307" s="634"/>
      <c r="AQ307" s="634"/>
      <c r="AR307" s="634"/>
      <c r="AS307" s="634"/>
      <c r="AT307" s="634"/>
      <c r="AU307" s="634"/>
      <c r="AV307" s="634"/>
    </row>
    <row r="308" spans="1:48" ht="18.75" thickBot="1">
      <c r="A308" s="4717"/>
      <c r="B308" s="1370" t="s">
        <v>1002</v>
      </c>
      <c r="C308" s="580"/>
      <c r="D308" s="580"/>
      <c r="E308" s="580"/>
      <c r="F308" s="580"/>
      <c r="G308" s="580"/>
      <c r="H308" s="580"/>
      <c r="I308" s="580"/>
      <c r="J308" s="580"/>
      <c r="K308" s="581"/>
      <c r="L308" s="634"/>
      <c r="M308" s="634"/>
      <c r="N308" s="634"/>
      <c r="O308" s="634"/>
      <c r="P308" s="634"/>
      <c r="Q308" s="1421"/>
      <c r="R308" s="1427"/>
      <c r="S308" s="1436"/>
      <c r="T308" s="1437"/>
      <c r="U308" s="1438"/>
      <c r="V308" s="1439"/>
      <c r="W308" s="1440"/>
      <c r="X308" s="1434"/>
      <c r="Y308" s="1435"/>
      <c r="Z308" s="1422"/>
      <c r="AA308" s="1422"/>
      <c r="AB308" s="1422"/>
      <c r="AC308" s="1422"/>
      <c r="AD308" s="1422"/>
      <c r="AE308" s="1422"/>
      <c r="AF308" s="1422"/>
      <c r="AG308" s="1422"/>
      <c r="AH308" s="1422"/>
      <c r="AI308" s="1422"/>
      <c r="AJ308" s="634"/>
      <c r="AK308" s="634"/>
      <c r="AL308" s="634"/>
      <c r="AM308" s="634"/>
      <c r="AN308" s="634"/>
      <c r="AO308" s="634"/>
      <c r="AP308" s="634"/>
      <c r="AQ308" s="634"/>
      <c r="AR308" s="634"/>
      <c r="AS308" s="634"/>
      <c r="AT308" s="634"/>
      <c r="AU308" s="634"/>
      <c r="AV308" s="634"/>
    </row>
    <row r="309" spans="1:48">
      <c r="A309" s="634"/>
      <c r="B309" s="634"/>
      <c r="C309" s="634"/>
      <c r="D309" s="634"/>
      <c r="E309" s="634"/>
      <c r="F309" s="634"/>
      <c r="G309" s="634"/>
      <c r="H309" s="634"/>
      <c r="I309" s="634"/>
      <c r="J309" s="634"/>
      <c r="K309" s="634"/>
      <c r="L309" s="634"/>
      <c r="M309" s="634"/>
      <c r="N309" s="634"/>
      <c r="O309" s="634"/>
      <c r="P309" s="634"/>
      <c r="Q309" s="1421"/>
      <c r="R309" s="1427"/>
      <c r="S309" s="1438"/>
      <c r="T309" s="1438"/>
      <c r="U309" s="1438"/>
      <c r="V309" s="1207"/>
      <c r="W309" s="1440"/>
      <c r="X309" s="1432"/>
      <c r="Y309" s="1422"/>
      <c r="Z309" s="1422"/>
      <c r="AA309" s="1422"/>
      <c r="AB309" s="1422"/>
      <c r="AC309" s="1422"/>
      <c r="AD309" s="1422"/>
      <c r="AE309" s="1422"/>
      <c r="AF309" s="1422"/>
      <c r="AG309" s="1422"/>
      <c r="AH309" s="1422"/>
      <c r="AI309" s="1422"/>
      <c r="AJ309" s="634"/>
      <c r="AK309" s="634"/>
      <c r="AL309" s="634"/>
      <c r="AM309" s="634"/>
      <c r="AN309" s="634"/>
      <c r="AO309" s="634"/>
      <c r="AP309" s="634"/>
      <c r="AQ309" s="634"/>
      <c r="AR309" s="634"/>
      <c r="AS309" s="634"/>
      <c r="AT309" s="634"/>
      <c r="AU309" s="634"/>
      <c r="AV309" s="634"/>
    </row>
    <row r="310" spans="1:48" ht="13.5" customHeight="1">
      <c r="A310" s="634"/>
      <c r="B310" s="634"/>
      <c r="C310" s="634"/>
      <c r="D310" s="634"/>
      <c r="E310" s="634"/>
      <c r="F310" s="634"/>
      <c r="G310" s="634"/>
      <c r="H310" s="634"/>
      <c r="I310" s="634"/>
      <c r="J310" s="634"/>
      <c r="K310" s="634"/>
      <c r="L310" s="634"/>
      <c r="M310" s="634"/>
      <c r="N310" s="634"/>
      <c r="O310" s="634"/>
      <c r="P310" s="634"/>
      <c r="Q310" s="634"/>
      <c r="R310" s="634"/>
      <c r="S310" s="634"/>
      <c r="T310" s="634"/>
      <c r="U310" s="634"/>
      <c r="V310" s="634"/>
      <c r="W310" s="634"/>
      <c r="X310" s="634"/>
      <c r="Y310" s="634"/>
      <c r="Z310" s="634"/>
      <c r="AA310" s="634"/>
      <c r="AB310" s="634"/>
      <c r="AC310" s="634"/>
      <c r="AD310" s="634"/>
      <c r="AE310" s="634"/>
      <c r="AF310" s="634"/>
      <c r="AG310" s="634"/>
      <c r="AH310" s="634"/>
      <c r="AI310" s="634"/>
      <c r="AJ310" s="634"/>
      <c r="AK310" s="634"/>
      <c r="AL310" s="634"/>
      <c r="AM310" s="634"/>
      <c r="AN310" s="634"/>
      <c r="AO310" s="634"/>
      <c r="AP310" s="634"/>
      <c r="AQ310" s="634"/>
      <c r="AR310" s="634"/>
      <c r="AS310" s="634"/>
      <c r="AT310" s="634"/>
      <c r="AU310" s="634"/>
      <c r="AV310" s="634"/>
    </row>
    <row r="311" spans="1:48" hidden="1">
      <c r="A311" s="634"/>
      <c r="B311" s="634"/>
      <c r="C311" s="634"/>
      <c r="D311" s="634"/>
      <c r="E311" s="634"/>
      <c r="F311" s="634"/>
      <c r="G311" s="634"/>
      <c r="H311" s="634"/>
      <c r="I311" s="634"/>
      <c r="J311" s="634"/>
      <c r="K311" s="634"/>
      <c r="L311" s="634"/>
      <c r="M311" s="634"/>
      <c r="N311" s="634"/>
      <c r="O311" s="634"/>
      <c r="P311" s="634"/>
      <c r="Q311" s="634"/>
      <c r="R311" s="634"/>
      <c r="S311" s="634"/>
      <c r="T311" s="634"/>
      <c r="U311" s="634"/>
      <c r="V311" s="634"/>
      <c r="W311" s="634"/>
      <c r="X311" s="634"/>
      <c r="Y311" s="634"/>
      <c r="Z311" s="634"/>
      <c r="AA311" s="634"/>
      <c r="AB311" s="634"/>
      <c r="AC311" s="634"/>
      <c r="AD311" s="634"/>
      <c r="AE311" s="634"/>
      <c r="AF311" s="634"/>
      <c r="AG311" s="634"/>
      <c r="AH311" s="634"/>
      <c r="AI311" s="634"/>
      <c r="AJ311" s="634"/>
      <c r="AK311" s="634"/>
      <c r="AL311" s="634"/>
      <c r="AM311" s="634"/>
      <c r="AN311" s="634"/>
      <c r="AO311" s="634"/>
      <c r="AP311" s="634"/>
      <c r="AQ311" s="634"/>
      <c r="AR311" s="634"/>
      <c r="AS311" s="634"/>
      <c r="AT311" s="634"/>
      <c r="AU311" s="634"/>
      <c r="AV311" s="634"/>
    </row>
    <row r="312" spans="1:48" ht="15.75" customHeight="1">
      <c r="A312" s="5890">
        <f>ROW()</f>
        <v>312</v>
      </c>
      <c r="B312" s="5891" t="s">
        <v>1467</v>
      </c>
      <c r="C312" s="5891"/>
      <c r="D312" s="5891"/>
      <c r="E312" s="5891"/>
      <c r="F312" s="5891"/>
      <c r="G312" s="5891"/>
      <c r="H312" s="5891"/>
      <c r="I312" s="5891"/>
      <c r="J312" s="5891"/>
      <c r="K312" s="5891"/>
      <c r="L312" s="5891"/>
      <c r="M312" s="5891"/>
      <c r="N312" s="5891"/>
      <c r="O312" s="5891"/>
      <c r="P312" s="5891"/>
      <c r="Q312" s="5891"/>
      <c r="R312" s="5891"/>
      <c r="S312" s="5891"/>
      <c r="T312" s="5891"/>
      <c r="U312" s="5891"/>
      <c r="V312" s="5891"/>
      <c r="W312" s="5891"/>
      <c r="X312" s="5891"/>
      <c r="Y312" s="5891"/>
      <c r="Z312" s="5891"/>
      <c r="AA312" s="5891"/>
      <c r="AB312" s="5891"/>
      <c r="AC312" s="5891"/>
      <c r="AD312" s="5891"/>
      <c r="AE312" s="5891"/>
      <c r="AF312" s="5891"/>
      <c r="AG312" s="5891"/>
      <c r="AH312" s="5891"/>
      <c r="AI312" s="5891"/>
      <c r="AJ312" s="5891"/>
      <c r="AK312" s="5891"/>
      <c r="AL312" s="5891"/>
      <c r="AM312" s="5891"/>
      <c r="AN312" s="5891"/>
      <c r="AO312" s="5891"/>
      <c r="AP312" s="5891"/>
      <c r="AQ312" s="5891"/>
      <c r="AR312" s="5891"/>
      <c r="AS312" s="5891"/>
      <c r="AT312" s="5891"/>
      <c r="AU312" s="5891"/>
      <c r="AV312" s="5891"/>
    </row>
    <row r="313" spans="1:48" ht="15.75" customHeight="1">
      <c r="A313" s="5890"/>
      <c r="B313" s="5891"/>
      <c r="C313" s="5891"/>
      <c r="D313" s="5891"/>
      <c r="E313" s="5891"/>
      <c r="F313" s="5891"/>
      <c r="G313" s="5891"/>
      <c r="H313" s="5891"/>
      <c r="I313" s="5891"/>
      <c r="J313" s="5891"/>
      <c r="K313" s="5891"/>
      <c r="L313" s="5891"/>
      <c r="M313" s="5891"/>
      <c r="N313" s="5891"/>
      <c r="O313" s="5891"/>
      <c r="P313" s="5891"/>
      <c r="Q313" s="5891"/>
      <c r="R313" s="5891"/>
      <c r="S313" s="5891"/>
      <c r="T313" s="5891"/>
      <c r="U313" s="5891"/>
      <c r="V313" s="5891"/>
      <c r="W313" s="5891"/>
      <c r="X313" s="5891"/>
      <c r="Y313" s="5891"/>
      <c r="Z313" s="5891"/>
      <c r="AA313" s="5891"/>
      <c r="AB313" s="5891"/>
      <c r="AC313" s="5891"/>
      <c r="AD313" s="5891"/>
      <c r="AE313" s="5891"/>
      <c r="AF313" s="5891"/>
      <c r="AG313" s="5891"/>
      <c r="AH313" s="5891"/>
      <c r="AI313" s="5891"/>
      <c r="AJ313" s="5891"/>
      <c r="AK313" s="5891"/>
      <c r="AL313" s="5891"/>
      <c r="AM313" s="5891"/>
      <c r="AN313" s="5891"/>
      <c r="AO313" s="5891"/>
      <c r="AP313" s="5891"/>
      <c r="AQ313" s="5891"/>
      <c r="AR313" s="5891"/>
      <c r="AS313" s="5891"/>
      <c r="AT313" s="5891"/>
      <c r="AU313" s="5891"/>
      <c r="AV313" s="5891"/>
    </row>
    <row r="314" spans="1:48" ht="16.5" thickBot="1"/>
    <row r="315" spans="1:48" ht="21">
      <c r="A315" s="1871" t="s">
        <v>70</v>
      </c>
      <c r="B315" s="5892" t="s">
        <v>1399</v>
      </c>
      <c r="C315" s="5893"/>
      <c r="D315" s="5893"/>
      <c r="E315" s="5893"/>
      <c r="F315" s="5893"/>
      <c r="G315" s="5893"/>
      <c r="H315" s="5893"/>
      <c r="I315" s="5893"/>
      <c r="J315" s="5894"/>
    </row>
    <row r="316" spans="1:48">
      <c r="A316" s="4717" t="str">
        <f>B315</f>
        <v>Fabrication de la pâte à pain</v>
      </c>
      <c r="B316" s="533" t="str">
        <f>ADDRESS(ROW(),COLUMN(),4)</f>
        <v>B316</v>
      </c>
      <c r="C316" s="1732"/>
      <c r="D316" s="1732"/>
      <c r="E316" s="903"/>
      <c r="F316" s="1012"/>
      <c r="G316" s="1012"/>
      <c r="H316" s="1732"/>
      <c r="I316" s="1225" t="str">
        <f ca="1">MID(CELL("filename",B316),SEARCH("[",CELL("filename",B316))+1,SEARCH("]",CELL("filename",B316))-SEARCH("[",CELL("filename",B316))-1)</f>
        <v>ff-22-formats-formules-pourcentages.xlsx</v>
      </c>
      <c r="J316" s="1226">
        <v>2</v>
      </c>
    </row>
    <row r="317" spans="1:48">
      <c r="A317" s="4717"/>
      <c r="B317" s="633"/>
      <c r="C317" s="5895" t="s">
        <v>1400</v>
      </c>
      <c r="D317" s="5895"/>
      <c r="E317" s="5895"/>
      <c r="F317" s="5895"/>
      <c r="G317" s="5895"/>
      <c r="H317" s="5895"/>
      <c r="I317" s="5895"/>
      <c r="J317" s="5896"/>
    </row>
    <row r="318" spans="1:48">
      <c r="A318" s="4717"/>
      <c r="B318" s="633"/>
      <c r="C318" s="5857" t="s">
        <v>1295</v>
      </c>
      <c r="D318" s="5857"/>
      <c r="E318" s="5857"/>
      <c r="F318" s="5857"/>
      <c r="G318" s="5857"/>
      <c r="H318" s="5857"/>
      <c r="I318" s="5857"/>
      <c r="J318" s="5897"/>
    </row>
    <row r="319" spans="1:48">
      <c r="A319" s="4717"/>
      <c r="B319" s="633"/>
      <c r="C319" s="634"/>
      <c r="D319" s="634"/>
      <c r="E319" s="634"/>
      <c r="F319" s="634"/>
      <c r="G319" s="634"/>
      <c r="H319" s="1653" t="s">
        <v>1294</v>
      </c>
      <c r="I319" s="634"/>
      <c r="J319" s="517"/>
    </row>
    <row r="320" spans="1:48">
      <c r="A320" s="4717"/>
      <c r="B320" s="633"/>
      <c r="C320" s="634"/>
      <c r="D320" s="634"/>
      <c r="E320" s="634"/>
      <c r="F320" s="634"/>
      <c r="G320" s="634"/>
      <c r="H320" s="1653" t="s">
        <v>1291</v>
      </c>
      <c r="I320" s="634"/>
      <c r="J320" s="517"/>
    </row>
    <row r="321" spans="1:10">
      <c r="A321" s="4717"/>
      <c r="B321" s="633"/>
      <c r="C321" s="634"/>
      <c r="D321" s="634"/>
      <c r="E321" s="634"/>
      <c r="F321" s="634"/>
      <c r="G321" s="634"/>
      <c r="H321" s="1346" t="s">
        <v>1401</v>
      </c>
      <c r="I321" s="1872">
        <v>23</v>
      </c>
      <c r="J321" s="517"/>
    </row>
    <row r="322" spans="1:10">
      <c r="A322" s="4717"/>
      <c r="B322" s="633"/>
      <c r="C322" s="634"/>
      <c r="D322" s="634"/>
      <c r="E322" s="634"/>
      <c r="F322" s="634"/>
      <c r="G322" s="634"/>
      <c r="H322" s="1346" t="s">
        <v>1402</v>
      </c>
      <c r="I322" s="1872">
        <v>58</v>
      </c>
      <c r="J322" s="517"/>
    </row>
    <row r="323" spans="1:10">
      <c r="A323" s="4717"/>
      <c r="B323" s="633"/>
      <c r="C323" s="634"/>
      <c r="D323" s="634"/>
      <c r="E323" s="634"/>
      <c r="F323" s="634"/>
      <c r="G323" s="634"/>
      <c r="H323" s="634" t="s">
        <v>1403</v>
      </c>
      <c r="I323" s="1872">
        <v>18</v>
      </c>
      <c r="J323" s="517"/>
    </row>
    <row r="324" spans="1:10">
      <c r="A324" s="4717"/>
      <c r="B324" s="633"/>
      <c r="C324" s="634"/>
      <c r="D324" s="634"/>
      <c r="E324" s="634"/>
      <c r="F324" s="634"/>
      <c r="G324" s="634"/>
      <c r="H324" s="1653" t="s">
        <v>1404</v>
      </c>
      <c r="I324" s="1872">
        <v>18</v>
      </c>
      <c r="J324" s="517"/>
    </row>
    <row r="325" spans="1:10">
      <c r="A325" s="4717"/>
      <c r="B325" s="633"/>
      <c r="C325" s="634"/>
      <c r="D325" s="634"/>
      <c r="E325" s="634"/>
      <c r="F325" s="634"/>
      <c r="G325" s="634"/>
      <c r="H325" s="1346" t="s">
        <v>1405</v>
      </c>
      <c r="I325" s="634"/>
      <c r="J325" s="517"/>
    </row>
    <row r="326" spans="1:10">
      <c r="A326" s="4717"/>
      <c r="B326" s="633"/>
      <c r="C326" s="634"/>
      <c r="D326" s="634"/>
      <c r="E326" s="634"/>
      <c r="F326" s="1873"/>
      <c r="G326" s="634"/>
      <c r="H326" s="1320" t="s">
        <v>1292</v>
      </c>
      <c r="I326" s="1872">
        <f>I322-(I323+I324)</f>
        <v>22</v>
      </c>
      <c r="J326" s="517"/>
    </row>
    <row r="327" spans="1:10" ht="16.5" thickBot="1">
      <c r="A327" s="4717"/>
      <c r="B327" s="633"/>
      <c r="C327" s="634"/>
      <c r="D327" s="634"/>
      <c r="F327" s="1873"/>
      <c r="H327" s="1320"/>
      <c r="I327" s="1872"/>
      <c r="J327" s="517"/>
    </row>
    <row r="328" spans="1:10">
      <c r="A328" s="4717"/>
      <c r="B328" s="633"/>
      <c r="C328" s="634"/>
      <c r="D328" s="5862" t="s">
        <v>1406</v>
      </c>
      <c r="E328" s="5863"/>
      <c r="F328" s="634"/>
      <c r="G328" s="634"/>
      <c r="H328" s="5898" t="s">
        <v>1407</v>
      </c>
      <c r="I328" s="5899"/>
      <c r="J328" s="517"/>
    </row>
    <row r="329" spans="1:10">
      <c r="A329" s="4717"/>
      <c r="B329" s="633"/>
      <c r="C329" s="634"/>
      <c r="D329" s="5864"/>
      <c r="E329" s="5865"/>
      <c r="F329" s="634"/>
      <c r="G329" s="634"/>
      <c r="H329" s="5900"/>
      <c r="I329" s="5901"/>
      <c r="J329" s="517"/>
    </row>
    <row r="330" spans="1:10">
      <c r="A330" s="4717"/>
      <c r="B330" s="633"/>
      <c r="C330" s="634"/>
      <c r="D330" s="5870" t="s">
        <v>55</v>
      </c>
      <c r="E330" s="5833">
        <v>64</v>
      </c>
      <c r="F330" s="634"/>
      <c r="G330" s="634"/>
      <c r="H330" s="5842">
        <f>E330-(E333+I333)</f>
        <v>28</v>
      </c>
      <c r="I330" s="5843"/>
      <c r="J330" s="517"/>
    </row>
    <row r="331" spans="1:10" ht="16.5" thickBot="1">
      <c r="A331" s="4717"/>
      <c r="B331" s="633"/>
      <c r="C331" s="634"/>
      <c r="D331" s="5871"/>
      <c r="E331" s="5833"/>
      <c r="F331" s="634"/>
      <c r="G331" s="634"/>
      <c r="H331" s="5844"/>
      <c r="I331" s="5845"/>
      <c r="J331" s="517"/>
    </row>
    <row r="332" spans="1:10" ht="19.5" thickBot="1">
      <c r="A332" s="4717"/>
      <c r="B332" s="633"/>
      <c r="C332" s="634"/>
      <c r="D332" s="1874"/>
      <c r="E332" s="1875"/>
      <c r="F332" s="634"/>
      <c r="G332" s="634"/>
      <c r="H332" s="1876" t="s">
        <v>1408</v>
      </c>
      <c r="I332" s="1877">
        <f>E330-(E333+I333)</f>
        <v>28</v>
      </c>
      <c r="J332" s="517"/>
    </row>
    <row r="333" spans="1:10">
      <c r="A333" s="4717"/>
      <c r="B333" s="633"/>
      <c r="C333" s="634"/>
      <c r="D333" s="5886" t="s">
        <v>1268</v>
      </c>
      <c r="E333" s="5855">
        <v>18</v>
      </c>
      <c r="F333" s="5857" t="s">
        <v>1409</v>
      </c>
      <c r="G333" s="5857"/>
      <c r="H333" s="5888" t="s">
        <v>1267</v>
      </c>
      <c r="I333" s="5855">
        <v>18</v>
      </c>
      <c r="J333" s="517"/>
    </row>
    <row r="334" spans="1:10" ht="16.5" thickBot="1">
      <c r="A334" s="4717"/>
      <c r="B334" s="633"/>
      <c r="C334" s="634"/>
      <c r="D334" s="5887"/>
      <c r="E334" s="5856"/>
      <c r="F334" s="1583" t="s">
        <v>146</v>
      </c>
      <c r="G334" s="1872">
        <f>E333+I333</f>
        <v>36</v>
      </c>
      <c r="H334" s="5889"/>
      <c r="I334" s="5856"/>
      <c r="J334" s="517"/>
    </row>
    <row r="335" spans="1:10">
      <c r="A335" s="4717"/>
      <c r="B335" s="633"/>
      <c r="C335" s="634"/>
      <c r="D335" s="634"/>
      <c r="E335" s="1878" t="s">
        <v>44</v>
      </c>
      <c r="F335" s="634"/>
      <c r="G335" s="634"/>
      <c r="H335" s="634"/>
      <c r="I335" s="1878" t="s">
        <v>44</v>
      </c>
      <c r="J335" s="517"/>
    </row>
    <row r="336" spans="1:10">
      <c r="A336" s="4717"/>
      <c r="B336" s="633"/>
      <c r="C336" s="634"/>
      <c r="D336" s="634"/>
      <c r="E336" s="634"/>
      <c r="F336" s="1873"/>
      <c r="G336" s="634"/>
      <c r="H336" s="1320"/>
      <c r="I336" s="1872"/>
      <c r="J336" s="517"/>
    </row>
    <row r="337" spans="1:10">
      <c r="A337" s="4717"/>
      <c r="B337" s="633"/>
      <c r="C337" s="634"/>
      <c r="D337" s="634"/>
      <c r="E337" s="634"/>
      <c r="F337" s="1873"/>
      <c r="G337" s="634"/>
      <c r="H337" s="1320"/>
      <c r="I337" s="1872"/>
      <c r="J337" s="517"/>
    </row>
    <row r="338" spans="1:10">
      <c r="A338" s="4717"/>
      <c r="B338" s="633"/>
      <c r="C338" s="634" t="s">
        <v>1287</v>
      </c>
      <c r="D338" s="634"/>
      <c r="E338" s="634"/>
      <c r="F338" s="634"/>
      <c r="G338" s="634"/>
      <c r="H338" s="634"/>
      <c r="I338" s="634"/>
      <c r="J338" s="517"/>
    </row>
    <row r="339" spans="1:10">
      <c r="A339" s="4717"/>
      <c r="B339" s="633"/>
      <c r="C339" s="634" t="s">
        <v>1410</v>
      </c>
      <c r="D339" s="634"/>
      <c r="E339" s="634"/>
      <c r="F339" s="634"/>
      <c r="G339" s="634"/>
      <c r="H339" s="634"/>
      <c r="I339" s="634"/>
      <c r="J339" s="517"/>
    </row>
    <row r="340" spans="1:10">
      <c r="A340" s="4717"/>
      <c r="B340" s="633"/>
      <c r="C340" s="634" t="s">
        <v>1411</v>
      </c>
      <c r="D340" s="634"/>
      <c r="E340" s="634"/>
      <c r="F340" s="634"/>
      <c r="G340" s="634"/>
      <c r="H340" s="634"/>
      <c r="I340" s="634"/>
      <c r="J340" s="517"/>
    </row>
    <row r="341" spans="1:10">
      <c r="A341" s="4717"/>
      <c r="B341" s="633"/>
      <c r="C341" s="634" t="s">
        <v>1412</v>
      </c>
      <c r="D341" s="634"/>
      <c r="E341" s="634"/>
      <c r="F341" s="634"/>
      <c r="G341" s="634"/>
      <c r="H341" s="634"/>
      <c r="I341" s="634"/>
      <c r="J341" s="517"/>
    </row>
    <row r="342" spans="1:10">
      <c r="A342" s="4717"/>
      <c r="B342" s="633"/>
      <c r="C342" s="634"/>
      <c r="D342" s="634"/>
      <c r="E342" s="634"/>
      <c r="F342" s="634"/>
      <c r="G342" s="634"/>
      <c r="H342" s="1346" t="s">
        <v>1413</v>
      </c>
      <c r="I342" s="1872">
        <v>21</v>
      </c>
      <c r="J342" s="517"/>
    </row>
    <row r="343" spans="1:10">
      <c r="A343" s="4717"/>
      <c r="B343" s="633"/>
      <c r="C343" s="634"/>
      <c r="D343" s="634"/>
      <c r="E343" s="634"/>
      <c r="F343" s="634"/>
      <c r="G343" s="634"/>
      <c r="H343" s="1346" t="s">
        <v>1414</v>
      </c>
      <c r="I343" s="1872">
        <v>23</v>
      </c>
      <c r="J343" s="517"/>
    </row>
    <row r="344" spans="1:10">
      <c r="A344" s="4717"/>
      <c r="B344" s="633"/>
      <c r="C344" s="634"/>
      <c r="D344" s="634"/>
      <c r="E344" s="634"/>
      <c r="F344" s="634"/>
      <c r="G344" s="634"/>
      <c r="H344" s="1346" t="s">
        <v>1415</v>
      </c>
      <c r="I344" s="1872">
        <f>I343-I342</f>
        <v>2</v>
      </c>
      <c r="J344" s="517"/>
    </row>
    <row r="345" spans="1:10">
      <c r="A345" s="4717"/>
      <c r="B345" s="633"/>
      <c r="C345" s="634"/>
      <c r="D345" s="634"/>
      <c r="E345" s="634"/>
      <c r="F345" s="634"/>
      <c r="G345" s="634"/>
      <c r="H345" s="634"/>
      <c r="I345" s="634"/>
      <c r="J345" s="517"/>
    </row>
    <row r="346" spans="1:10">
      <c r="A346" s="4717"/>
      <c r="B346" s="633"/>
      <c r="C346" s="634"/>
      <c r="D346" s="634"/>
      <c r="E346" s="634"/>
      <c r="F346" s="634"/>
      <c r="G346" s="634"/>
      <c r="H346" s="1346" t="s">
        <v>1416</v>
      </c>
      <c r="I346" s="1872">
        <v>6</v>
      </c>
      <c r="J346" s="517"/>
    </row>
    <row r="347" spans="1:10">
      <c r="A347" s="4717"/>
      <c r="B347" s="633"/>
      <c r="C347" s="634"/>
      <c r="D347" s="634"/>
      <c r="E347" s="634"/>
      <c r="F347" s="634"/>
      <c r="G347" s="634"/>
      <c r="H347" s="1346" t="s">
        <v>1417</v>
      </c>
      <c r="I347" s="634"/>
      <c r="J347" s="517"/>
    </row>
    <row r="348" spans="1:10">
      <c r="A348" s="4717"/>
      <c r="B348" s="633"/>
      <c r="C348" s="634"/>
      <c r="D348" s="634"/>
      <c r="E348" s="1879"/>
      <c r="F348" s="1880"/>
      <c r="G348" s="634"/>
      <c r="H348" s="634" t="s">
        <v>1418</v>
      </c>
      <c r="I348" s="1881">
        <f>I322</f>
        <v>58</v>
      </c>
      <c r="J348" s="517"/>
    </row>
    <row r="349" spans="1:10" ht="16.5" thickBot="1">
      <c r="A349" s="4717"/>
      <c r="B349" s="633"/>
      <c r="C349" s="634"/>
      <c r="D349" s="634"/>
      <c r="E349" s="634"/>
      <c r="F349" s="634"/>
      <c r="G349" s="634"/>
      <c r="H349" s="1882" t="s">
        <v>1289</v>
      </c>
      <c r="I349" s="1883">
        <f>I346</f>
        <v>6</v>
      </c>
      <c r="J349" s="517"/>
    </row>
    <row r="350" spans="1:10">
      <c r="A350" s="4717"/>
      <c r="B350" s="633"/>
      <c r="C350" s="634"/>
      <c r="D350" s="634"/>
      <c r="E350" s="634"/>
      <c r="F350" s="1873"/>
      <c r="G350" s="634"/>
      <c r="H350" s="634"/>
      <c r="I350" s="1884">
        <f>I348+I349</f>
        <v>64</v>
      </c>
      <c r="J350" s="517"/>
    </row>
    <row r="351" spans="1:10">
      <c r="A351" s="4717"/>
      <c r="B351" s="633"/>
      <c r="C351" s="634"/>
      <c r="D351" s="634"/>
      <c r="E351" s="634"/>
      <c r="F351" s="1873"/>
      <c r="G351" s="634"/>
      <c r="H351" s="1653" t="s">
        <v>1419</v>
      </c>
      <c r="I351" s="1884"/>
      <c r="J351" s="517"/>
    </row>
    <row r="352" spans="1:10">
      <c r="A352" s="4717"/>
      <c r="B352" s="633"/>
      <c r="C352" s="634"/>
      <c r="D352" s="634"/>
      <c r="E352" s="634"/>
      <c r="F352" s="1873"/>
      <c r="G352" s="634"/>
      <c r="H352" s="634"/>
      <c r="I352" s="1884"/>
      <c r="J352" s="517"/>
    </row>
    <row r="353" spans="1:10" ht="16.5" thickBot="1">
      <c r="A353" s="4717"/>
      <c r="B353" s="633"/>
      <c r="C353" s="634"/>
      <c r="D353" s="634"/>
      <c r="E353" s="634"/>
      <c r="F353" s="634"/>
      <c r="G353" s="634"/>
      <c r="H353" s="634"/>
      <c r="I353" s="634"/>
      <c r="J353" s="517"/>
    </row>
    <row r="354" spans="1:10">
      <c r="A354" s="4717"/>
      <c r="B354" s="633"/>
      <c r="C354" s="634"/>
      <c r="D354" s="5877" t="s">
        <v>1420</v>
      </c>
      <c r="E354" s="5878"/>
      <c r="F354" s="634"/>
      <c r="G354" s="634"/>
      <c r="H354" s="5877" t="s">
        <v>1273</v>
      </c>
      <c r="I354" s="5878"/>
      <c r="J354" s="517"/>
    </row>
    <row r="355" spans="1:10">
      <c r="A355" s="4717"/>
      <c r="B355" s="633"/>
      <c r="C355" s="634"/>
      <c r="D355" s="5879"/>
      <c r="E355" s="5880"/>
      <c r="F355" s="5857"/>
      <c r="G355" s="5857"/>
      <c r="H355" s="5879"/>
      <c r="I355" s="5880"/>
      <c r="J355" s="517"/>
    </row>
    <row r="356" spans="1:10">
      <c r="A356" s="4717"/>
      <c r="B356" s="633"/>
      <c r="C356" s="634"/>
      <c r="D356" s="5881">
        <v>23</v>
      </c>
      <c r="E356" s="5882"/>
      <c r="F356" s="5885" t="s">
        <v>1272</v>
      </c>
      <c r="G356" s="1582">
        <f>IF(D356&gt;H356,D356-H356,H356-D356)</f>
        <v>2</v>
      </c>
      <c r="H356" s="5881">
        <v>21</v>
      </c>
      <c r="I356" s="5882"/>
      <c r="J356" s="517"/>
    </row>
    <row r="357" spans="1:10" ht="16.5" thickBot="1">
      <c r="A357" s="4717"/>
      <c r="B357" s="633"/>
      <c r="C357" s="634"/>
      <c r="D357" s="5883"/>
      <c r="E357" s="5884"/>
      <c r="F357" s="5885"/>
      <c r="G357" s="1872"/>
      <c r="H357" s="5883"/>
      <c r="I357" s="5884"/>
      <c r="J357" s="517"/>
    </row>
    <row r="358" spans="1:10" ht="19.5" thickBot="1">
      <c r="A358" s="4717"/>
      <c r="B358" s="633"/>
      <c r="C358" s="634"/>
      <c r="D358" s="1878"/>
      <c r="E358" s="634"/>
      <c r="F358" s="634"/>
      <c r="G358" s="634"/>
      <c r="H358" s="1878"/>
      <c r="I358" s="1885"/>
      <c r="J358" s="517"/>
    </row>
    <row r="359" spans="1:10">
      <c r="A359" s="4717"/>
      <c r="B359" s="633"/>
      <c r="C359" s="634"/>
      <c r="D359" s="5862" t="s">
        <v>1421</v>
      </c>
      <c r="E359" s="5863"/>
      <c r="F359" s="634"/>
      <c r="G359" s="634"/>
      <c r="H359" s="5866" t="s">
        <v>1422</v>
      </c>
      <c r="I359" s="5867"/>
      <c r="J359" s="517"/>
    </row>
    <row r="360" spans="1:10">
      <c r="A360" s="4717"/>
      <c r="B360" s="633"/>
      <c r="C360" s="634"/>
      <c r="D360" s="5864"/>
      <c r="E360" s="5865"/>
      <c r="F360" s="5857"/>
      <c r="G360" s="5857"/>
      <c r="H360" s="5868"/>
      <c r="I360" s="5869"/>
      <c r="J360" s="517"/>
    </row>
    <row r="361" spans="1:10">
      <c r="A361" s="4717"/>
      <c r="B361" s="633"/>
      <c r="C361" s="634"/>
      <c r="D361" s="5870" t="s">
        <v>55</v>
      </c>
      <c r="E361" s="5833">
        <v>58</v>
      </c>
      <c r="F361" s="5419" t="s">
        <v>1271</v>
      </c>
      <c r="G361" s="5872">
        <f>G356*3</f>
        <v>6</v>
      </c>
      <c r="H361" s="5873">
        <f>E361+G361</f>
        <v>64</v>
      </c>
      <c r="I361" s="5874"/>
      <c r="J361" s="517"/>
    </row>
    <row r="362" spans="1:10" ht="16.5" thickBot="1">
      <c r="A362" s="4717"/>
      <c r="B362" s="633"/>
      <c r="C362" s="634"/>
      <c r="D362" s="5871"/>
      <c r="E362" s="5833"/>
      <c r="F362" s="5419"/>
      <c r="G362" s="5872"/>
      <c r="H362" s="5875"/>
      <c r="I362" s="5876"/>
      <c r="J362" s="517"/>
    </row>
    <row r="363" spans="1:10" ht="16.5" thickBot="1">
      <c r="A363" s="4717"/>
      <c r="B363" s="633"/>
      <c r="C363" s="634"/>
      <c r="E363" s="1878"/>
      <c r="F363" s="634"/>
      <c r="G363" s="634"/>
      <c r="J363" s="517"/>
    </row>
    <row r="364" spans="1:10">
      <c r="A364" s="4717"/>
      <c r="B364" s="633"/>
      <c r="C364" s="634"/>
      <c r="D364" s="5853" t="s">
        <v>1268</v>
      </c>
      <c r="E364" s="5855">
        <v>18</v>
      </c>
      <c r="F364" s="5857" t="s">
        <v>1409</v>
      </c>
      <c r="G364" s="5857"/>
      <c r="H364" s="5853" t="s">
        <v>1267</v>
      </c>
      <c r="I364" s="5855">
        <v>18</v>
      </c>
      <c r="J364" s="517"/>
    </row>
    <row r="365" spans="1:10" ht="16.5" thickBot="1">
      <c r="A365" s="4717"/>
      <c r="B365" s="633"/>
      <c r="C365" s="634"/>
      <c r="D365" s="5854"/>
      <c r="E365" s="5856"/>
      <c r="F365" s="1583" t="s">
        <v>146</v>
      </c>
      <c r="G365" s="1872">
        <f>E364+I364</f>
        <v>36</v>
      </c>
      <c r="H365" s="5854"/>
      <c r="I365" s="5856"/>
      <c r="J365" s="517"/>
    </row>
    <row r="366" spans="1:10" ht="16.5" thickBot="1">
      <c r="A366" s="4717"/>
      <c r="B366" s="633"/>
      <c r="C366" s="634"/>
      <c r="E366" s="1878"/>
      <c r="F366" s="634"/>
      <c r="G366" s="634"/>
      <c r="H366" s="1886"/>
      <c r="J366" s="517"/>
    </row>
    <row r="367" spans="1:10">
      <c r="A367" s="4717"/>
      <c r="B367" s="633"/>
      <c r="C367" s="634"/>
      <c r="D367" s="5858" t="s">
        <v>1423</v>
      </c>
      <c r="E367" s="5859"/>
      <c r="F367" s="634"/>
      <c r="G367" s="634"/>
      <c r="H367" s="5858" t="s">
        <v>1424</v>
      </c>
      <c r="I367" s="5859"/>
      <c r="J367" s="517"/>
    </row>
    <row r="368" spans="1:10">
      <c r="A368" s="4717"/>
      <c r="B368" s="633"/>
      <c r="C368" s="634"/>
      <c r="D368" s="5860"/>
      <c r="E368" s="5861"/>
      <c r="F368" s="634"/>
      <c r="G368" s="634"/>
      <c r="H368" s="5860"/>
      <c r="I368" s="5861"/>
      <c r="J368" s="517"/>
    </row>
    <row r="369" spans="1:10">
      <c r="A369" s="4717"/>
      <c r="B369" s="633"/>
      <c r="C369" s="634"/>
      <c r="D369" s="5842">
        <f>E361-(E364+I364)</f>
        <v>22</v>
      </c>
      <c r="E369" s="5843"/>
      <c r="F369" s="634"/>
      <c r="G369" s="634"/>
      <c r="H369" s="5842">
        <f>H361-(E364+I364)</f>
        <v>28</v>
      </c>
      <c r="I369" s="5843"/>
      <c r="J369" s="517"/>
    </row>
    <row r="370" spans="1:10" ht="16.5" thickBot="1">
      <c r="A370" s="4717"/>
      <c r="B370" s="633"/>
      <c r="C370" s="634"/>
      <c r="D370" s="5844"/>
      <c r="E370" s="5845"/>
      <c r="F370" s="634"/>
      <c r="G370" s="634"/>
      <c r="H370" s="5844"/>
      <c r="I370" s="5845"/>
      <c r="J370" s="517"/>
    </row>
    <row r="371" spans="1:10">
      <c r="A371" s="4717"/>
      <c r="B371" s="633"/>
      <c r="C371" s="634"/>
      <c r="D371" s="1603"/>
      <c r="E371" s="1887"/>
      <c r="F371" s="1888"/>
      <c r="G371" s="634"/>
      <c r="H371" s="1603"/>
      <c r="I371" s="1887"/>
      <c r="J371" s="1889"/>
    </row>
    <row r="372" spans="1:10">
      <c r="A372" s="4717"/>
      <c r="B372" s="633"/>
      <c r="C372" s="1871" t="s">
        <v>70</v>
      </c>
      <c r="D372" s="5846" t="s">
        <v>1425</v>
      </c>
      <c r="E372" s="5847"/>
      <c r="F372" s="5847"/>
      <c r="G372" s="5847"/>
      <c r="H372" s="5847"/>
      <c r="I372" s="5848"/>
      <c r="J372" s="1889"/>
    </row>
    <row r="373" spans="1:10">
      <c r="A373" s="4717"/>
      <c r="B373" s="633"/>
      <c r="C373" s="4705" t="str">
        <f>D372</f>
        <v>Calculs de la température des Pâtes levées</v>
      </c>
      <c r="D373" s="5849"/>
      <c r="E373" s="5850"/>
      <c r="F373" s="5850"/>
      <c r="G373" s="5850"/>
      <c r="H373" s="5850"/>
      <c r="I373" s="5851"/>
      <c r="J373" s="1889"/>
    </row>
    <row r="374" spans="1:10">
      <c r="A374" s="4717"/>
      <c r="B374" s="633"/>
      <c r="C374" s="4705"/>
      <c r="D374" s="1890" t="str">
        <f>ADDRESS(ROW(),COLUMN(),4)</f>
        <v>D374</v>
      </c>
      <c r="F374" s="634"/>
      <c r="G374" s="634"/>
      <c r="H374" s="1589" t="str">
        <f ca="1">MID(CELL("filename",D374),SEARCH("[",CELL("filename",D374))+1,SEARCH("]",CELL("filename",D374))-SEARCH("[",CELL("filename",D374))-1)</f>
        <v>ff-22-formats-formules-pourcentages.xlsx</v>
      </c>
      <c r="I374" s="1891">
        <v>2</v>
      </c>
      <c r="J374" s="517"/>
    </row>
    <row r="375" spans="1:10">
      <c r="A375" s="4717"/>
      <c r="B375" s="633"/>
      <c r="C375" s="4705"/>
      <c r="D375" s="5852" t="s">
        <v>1426</v>
      </c>
      <c r="E375" s="5852" t="s">
        <v>1427</v>
      </c>
      <c r="F375" s="5852" t="s">
        <v>1428</v>
      </c>
      <c r="G375" s="5852" t="s">
        <v>1429</v>
      </c>
      <c r="H375" s="5852" t="s">
        <v>1430</v>
      </c>
      <c r="I375" s="5852" t="s">
        <v>1431</v>
      </c>
      <c r="J375" s="517"/>
    </row>
    <row r="376" spans="1:10">
      <c r="A376" s="4717"/>
      <c r="B376" s="633"/>
      <c r="C376" s="4705"/>
      <c r="D376" s="5831"/>
      <c r="E376" s="5831"/>
      <c r="F376" s="5831"/>
      <c r="G376" s="5831"/>
      <c r="H376" s="5831"/>
      <c r="I376" s="5831"/>
      <c r="J376" s="517"/>
    </row>
    <row r="377" spans="1:10">
      <c r="A377" s="4717"/>
      <c r="B377" s="633"/>
      <c r="C377" s="4705"/>
      <c r="D377" s="5840" t="s">
        <v>1432</v>
      </c>
      <c r="E377" s="5840" t="s">
        <v>1433</v>
      </c>
      <c r="F377" s="5840" t="s">
        <v>1434</v>
      </c>
      <c r="G377" s="5840" t="s">
        <v>1435</v>
      </c>
      <c r="H377" s="5840" t="s">
        <v>1436</v>
      </c>
      <c r="I377" s="5840" t="s">
        <v>1437</v>
      </c>
      <c r="J377" s="517"/>
    </row>
    <row r="378" spans="1:10">
      <c r="A378" s="4717"/>
      <c r="B378" s="633"/>
      <c r="C378" s="4705"/>
      <c r="D378" s="5841"/>
      <c r="E378" s="5841"/>
      <c r="F378" s="5841"/>
      <c r="G378" s="5841"/>
      <c r="H378" s="5841"/>
      <c r="I378" s="5841"/>
      <c r="J378" s="517"/>
    </row>
    <row r="379" spans="1:10">
      <c r="A379" s="4717"/>
      <c r="B379" s="633"/>
      <c r="C379" s="4705"/>
      <c r="D379" s="5831" t="s">
        <v>1438</v>
      </c>
      <c r="E379" s="5834" t="s">
        <v>1439</v>
      </c>
      <c r="F379" s="5835"/>
      <c r="G379" s="5835"/>
      <c r="H379" s="5835"/>
      <c r="I379" s="5836"/>
      <c r="J379" s="517"/>
    </row>
    <row r="380" spans="1:10">
      <c r="A380" s="4717"/>
      <c r="B380" s="633"/>
      <c r="C380" s="4705"/>
      <c r="D380" s="5831"/>
      <c r="E380" s="5837"/>
      <c r="F380" s="5838"/>
      <c r="G380" s="5838"/>
      <c r="H380" s="5838"/>
      <c r="I380" s="5839"/>
      <c r="J380" s="517"/>
    </row>
    <row r="381" spans="1:10">
      <c r="A381" s="4717"/>
      <c r="B381" s="633"/>
      <c r="C381" s="4705"/>
      <c r="D381" s="5831" t="s">
        <v>1440</v>
      </c>
      <c r="E381" s="5833">
        <v>66</v>
      </c>
      <c r="F381" s="5833">
        <v>56</v>
      </c>
      <c r="G381" s="5833">
        <v>68</v>
      </c>
      <c r="H381" s="5833">
        <v>68</v>
      </c>
      <c r="I381" s="5833">
        <v>56</v>
      </c>
      <c r="J381" s="517"/>
    </row>
    <row r="382" spans="1:10">
      <c r="A382" s="4717"/>
      <c r="B382" s="633"/>
      <c r="C382" s="4705"/>
      <c r="D382" s="5831"/>
      <c r="E382" s="5833"/>
      <c r="F382" s="5833"/>
      <c r="G382" s="5833"/>
      <c r="H382" s="5833"/>
      <c r="I382" s="5833"/>
      <c r="J382" s="517"/>
    </row>
    <row r="383" spans="1:10">
      <c r="A383" s="4717"/>
      <c r="B383" s="633"/>
      <c r="C383" s="4705"/>
      <c r="D383" s="5831" t="s">
        <v>1441</v>
      </c>
      <c r="E383" s="5833">
        <v>64</v>
      </c>
      <c r="F383" s="5833">
        <v>54</v>
      </c>
      <c r="G383" s="5833">
        <v>66</v>
      </c>
      <c r="H383" s="5833">
        <v>66</v>
      </c>
      <c r="I383" s="5833">
        <v>54</v>
      </c>
      <c r="J383" s="517"/>
    </row>
    <row r="384" spans="1:10">
      <c r="A384" s="4717"/>
      <c r="B384" s="633"/>
      <c r="C384" s="4705"/>
      <c r="D384" s="5831"/>
      <c r="E384" s="5833"/>
      <c r="F384" s="5833"/>
      <c r="G384" s="5833"/>
      <c r="H384" s="5833"/>
      <c r="I384" s="5833"/>
      <c r="J384" s="517"/>
    </row>
    <row r="385" spans="1:10">
      <c r="A385" s="4717"/>
      <c r="B385" s="633"/>
      <c r="C385" s="4705"/>
      <c r="D385" s="5831" t="s">
        <v>1442</v>
      </c>
      <c r="E385" s="5833">
        <v>62</v>
      </c>
      <c r="F385" s="5833">
        <v>52</v>
      </c>
      <c r="G385" s="5833">
        <v>64</v>
      </c>
      <c r="H385" s="5833">
        <v>64</v>
      </c>
      <c r="I385" s="5833">
        <v>52</v>
      </c>
      <c r="J385" s="517"/>
    </row>
    <row r="386" spans="1:10">
      <c r="A386" s="4717"/>
      <c r="B386" s="633"/>
      <c r="C386" s="4705"/>
      <c r="D386" s="5831"/>
      <c r="E386" s="5833"/>
      <c r="F386" s="5833"/>
      <c r="G386" s="5833"/>
      <c r="H386" s="5833"/>
      <c r="I386" s="5833"/>
      <c r="J386" s="517"/>
    </row>
    <row r="387" spans="1:10">
      <c r="A387" s="4717"/>
      <c r="B387" s="633"/>
      <c r="C387" s="4705"/>
      <c r="D387" s="5831" t="s">
        <v>1443</v>
      </c>
      <c r="E387" s="5833">
        <v>60</v>
      </c>
      <c r="F387" s="5833">
        <v>50</v>
      </c>
      <c r="G387" s="5833">
        <v>62</v>
      </c>
      <c r="H387" s="5833">
        <v>62</v>
      </c>
      <c r="I387" s="5833">
        <v>50</v>
      </c>
      <c r="J387" s="517"/>
    </row>
    <row r="388" spans="1:10">
      <c r="A388" s="4717"/>
      <c r="B388" s="633"/>
      <c r="C388" s="4705"/>
      <c r="D388" s="5831"/>
      <c r="E388" s="5833"/>
      <c r="F388" s="5833"/>
      <c r="G388" s="5833"/>
      <c r="H388" s="5833"/>
      <c r="I388" s="5833"/>
      <c r="J388" s="517"/>
    </row>
    <row r="389" spans="1:10">
      <c r="A389" s="4717"/>
      <c r="B389" s="633"/>
      <c r="C389" s="4705"/>
      <c r="D389" s="5831" t="s">
        <v>1444</v>
      </c>
      <c r="E389" s="5833">
        <v>58</v>
      </c>
      <c r="F389" s="5833">
        <v>48</v>
      </c>
      <c r="G389" s="5833">
        <v>60</v>
      </c>
      <c r="H389" s="5833">
        <v>60</v>
      </c>
      <c r="I389" s="5833">
        <v>48</v>
      </c>
      <c r="J389" s="517"/>
    </row>
    <row r="390" spans="1:10">
      <c r="A390" s="4717"/>
      <c r="B390" s="633"/>
      <c r="C390" s="4705"/>
      <c r="D390" s="5832"/>
      <c r="E390" s="5833"/>
      <c r="F390" s="5833"/>
      <c r="G390" s="5833"/>
      <c r="H390" s="5833"/>
      <c r="I390" s="5833"/>
      <c r="J390" s="517"/>
    </row>
    <row r="391" spans="1:10">
      <c r="A391" s="4717"/>
      <c r="B391" s="633"/>
      <c r="C391" s="4705"/>
      <c r="D391" s="1892" t="s">
        <v>55</v>
      </c>
      <c r="E391" s="1893" t="s">
        <v>1445</v>
      </c>
      <c r="F391" s="1854"/>
      <c r="G391" s="1854"/>
      <c r="H391" s="1854"/>
      <c r="I391" s="1894"/>
      <c r="J391" s="517"/>
    </row>
    <row r="392" spans="1:10">
      <c r="A392" s="4717"/>
      <c r="B392" s="633"/>
      <c r="C392" s="4705"/>
      <c r="D392" s="1895" t="s">
        <v>44</v>
      </c>
      <c r="E392" s="1896" t="s">
        <v>1446</v>
      </c>
      <c r="F392" s="634"/>
      <c r="G392" s="634"/>
      <c r="H392" s="634"/>
      <c r="I392" s="885"/>
      <c r="J392" s="517"/>
    </row>
    <row r="393" spans="1:10">
      <c r="A393" s="4717"/>
      <c r="B393" s="633"/>
      <c r="C393" s="4705"/>
      <c r="D393" s="1895"/>
      <c r="E393" s="1896"/>
      <c r="F393" s="634"/>
      <c r="G393" s="634"/>
      <c r="H393" s="634"/>
      <c r="I393" s="885"/>
      <c r="J393" s="517"/>
    </row>
    <row r="394" spans="1:10">
      <c r="A394" s="4717"/>
      <c r="B394" s="633"/>
      <c r="C394" s="4705"/>
      <c r="D394" s="1897" t="s">
        <v>1447</v>
      </c>
      <c r="E394" s="634"/>
      <c r="F394" s="634"/>
      <c r="G394" s="634"/>
      <c r="H394" s="634"/>
      <c r="I394" s="885"/>
      <c r="J394" s="517"/>
    </row>
    <row r="395" spans="1:10">
      <c r="A395" s="4717"/>
      <c r="B395" s="633"/>
      <c r="C395" s="4705"/>
      <c r="D395" s="1898" t="s">
        <v>1448</v>
      </c>
      <c r="E395" s="634"/>
      <c r="F395" s="634"/>
      <c r="G395" s="634"/>
      <c r="H395" s="634"/>
      <c r="I395" s="885"/>
      <c r="J395" s="517"/>
    </row>
    <row r="396" spans="1:10">
      <c r="A396" s="4717"/>
      <c r="B396" s="633"/>
      <c r="C396" s="4705"/>
      <c r="D396" s="1898" t="s">
        <v>1449</v>
      </c>
      <c r="E396" s="634"/>
      <c r="F396" s="634"/>
      <c r="G396" s="634"/>
      <c r="H396" s="634"/>
      <c r="I396" s="885"/>
      <c r="J396" s="517"/>
    </row>
    <row r="397" spans="1:10">
      <c r="A397" s="4717"/>
      <c r="B397" s="633"/>
      <c r="C397" s="4705"/>
      <c r="D397" s="1898" t="s">
        <v>1450</v>
      </c>
      <c r="E397" s="634"/>
      <c r="F397" s="634"/>
      <c r="G397" s="634"/>
      <c r="H397" s="634"/>
      <c r="I397" s="885"/>
      <c r="J397" s="517"/>
    </row>
    <row r="398" spans="1:10">
      <c r="A398" s="4717"/>
      <c r="B398" s="633"/>
      <c r="C398" s="4705"/>
      <c r="D398" s="1898" t="s">
        <v>1451</v>
      </c>
      <c r="E398" s="634"/>
      <c r="F398" s="634"/>
      <c r="G398" s="634"/>
      <c r="H398" s="634"/>
      <c r="I398" s="885"/>
      <c r="J398" s="517"/>
    </row>
    <row r="399" spans="1:10">
      <c r="A399" s="4717"/>
      <c r="B399" s="633"/>
      <c r="C399" s="4705"/>
      <c r="D399" s="1898" t="s">
        <v>1452</v>
      </c>
      <c r="E399" s="634"/>
      <c r="F399" s="634"/>
      <c r="G399" s="634"/>
      <c r="H399" s="634"/>
      <c r="I399" s="885"/>
      <c r="J399" s="517"/>
    </row>
    <row r="400" spans="1:10">
      <c r="A400" s="4717"/>
      <c r="B400" s="633"/>
      <c r="C400" s="4705"/>
      <c r="D400" s="1898" t="s">
        <v>1453</v>
      </c>
      <c r="E400" s="634"/>
      <c r="F400" s="634"/>
      <c r="G400" s="634"/>
      <c r="H400" s="634"/>
      <c r="I400" s="885"/>
      <c r="J400" s="517"/>
    </row>
    <row r="401" spans="1:10">
      <c r="A401" s="4717"/>
      <c r="B401" s="633"/>
      <c r="C401" s="4705"/>
      <c r="D401" s="1898" t="s">
        <v>1454</v>
      </c>
      <c r="E401" s="634"/>
      <c r="F401" s="634"/>
      <c r="G401" s="634"/>
      <c r="H401" s="634"/>
      <c r="I401" s="885"/>
      <c r="J401" s="517"/>
    </row>
    <row r="402" spans="1:10">
      <c r="A402" s="4717"/>
      <c r="B402" s="633"/>
      <c r="C402" s="4705"/>
      <c r="D402" s="1898" t="s">
        <v>1455</v>
      </c>
      <c r="E402" s="634"/>
      <c r="F402" s="634"/>
      <c r="G402" s="634"/>
      <c r="H402" s="634"/>
      <c r="I402" s="885"/>
      <c r="J402" s="517"/>
    </row>
    <row r="403" spans="1:10">
      <c r="A403" s="4717"/>
      <c r="B403" s="633"/>
      <c r="C403" s="4705"/>
      <c r="D403" s="1898" t="s">
        <v>1456</v>
      </c>
      <c r="E403" s="634"/>
      <c r="F403" s="634"/>
      <c r="G403" s="634"/>
      <c r="H403" s="634"/>
      <c r="I403" s="885"/>
      <c r="J403" s="517"/>
    </row>
    <row r="404" spans="1:10">
      <c r="A404" s="4717"/>
      <c r="B404" s="633"/>
      <c r="C404" s="4705"/>
      <c r="D404" s="1899" t="s">
        <v>1457</v>
      </c>
      <c r="E404" s="1704"/>
      <c r="F404" s="1704"/>
      <c r="G404" s="1704"/>
      <c r="H404" s="1704"/>
      <c r="I404" s="898"/>
      <c r="J404" s="517"/>
    </row>
    <row r="405" spans="1:10">
      <c r="A405" s="4717"/>
      <c r="B405" s="633"/>
      <c r="C405" s="1917"/>
      <c r="D405" s="1854"/>
      <c r="E405" s="1854"/>
      <c r="F405" s="1854"/>
      <c r="G405" s="1854"/>
      <c r="H405" s="1854"/>
      <c r="I405" s="1854"/>
      <c r="J405" s="517"/>
    </row>
    <row r="406" spans="1:10">
      <c r="A406" s="4717"/>
      <c r="B406" s="1705"/>
      <c r="C406" s="1704"/>
      <c r="D406" s="1704"/>
      <c r="E406" s="1704"/>
      <c r="F406" s="1704"/>
      <c r="G406" s="1704"/>
      <c r="H406" s="1704"/>
      <c r="I406" s="1704"/>
      <c r="J406" s="1703"/>
    </row>
    <row r="407" spans="1:10" ht="16.5" thickBot="1">
      <c r="A407" s="4717"/>
      <c r="B407" s="633"/>
      <c r="C407" s="1704"/>
      <c r="D407" s="634"/>
      <c r="E407" s="634"/>
      <c r="F407" s="634"/>
      <c r="G407" s="634"/>
      <c r="H407" s="634"/>
      <c r="I407" s="634"/>
      <c r="J407" s="517"/>
    </row>
    <row r="408" spans="1:10">
      <c r="A408" s="4717"/>
      <c r="B408" s="633"/>
      <c r="C408" s="1871" t="s">
        <v>70</v>
      </c>
      <c r="D408" s="5818" t="s">
        <v>1458</v>
      </c>
      <c r="E408" s="5819"/>
      <c r="F408" s="5819"/>
      <c r="G408" s="5819"/>
      <c r="H408" s="5820"/>
      <c r="I408" s="634"/>
      <c r="J408" s="517"/>
    </row>
    <row r="409" spans="1:10">
      <c r="A409" s="4717"/>
      <c r="B409" s="633"/>
      <c r="C409" s="4717" t="str">
        <f>D408</f>
        <v>Calculs de la quantité de levure</v>
      </c>
      <c r="D409" s="1483" t="str">
        <f>ADDRESS(ROW(),COLUMN(),4)</f>
        <v>D409</v>
      </c>
      <c r="E409" s="1732"/>
      <c r="F409" s="1012"/>
      <c r="G409" s="1589" t="str">
        <f ca="1">MID(CELL("filename",D409),SEARCH("[",CELL("filename",D409))+1,SEARCH("]",CELL("filename",D409))-SEARCH("[",CELL("filename",D409))-1)</f>
        <v>ff-22-formats-formules-pourcentages.xlsx</v>
      </c>
      <c r="H409" s="1226">
        <v>2</v>
      </c>
      <c r="J409" s="517"/>
    </row>
    <row r="410" spans="1:10">
      <c r="A410" s="4717"/>
      <c r="B410" s="633"/>
      <c r="C410" s="4717"/>
      <c r="D410" s="1900"/>
      <c r="E410" s="1218"/>
      <c r="F410" s="1218"/>
      <c r="G410" s="1901"/>
      <c r="H410" s="1902"/>
      <c r="J410" s="517"/>
    </row>
    <row r="411" spans="1:10">
      <c r="A411" s="4717"/>
      <c r="B411" s="633"/>
      <c r="C411" s="4717"/>
      <c r="D411" s="5821" t="s">
        <v>1459</v>
      </c>
      <c r="E411" s="5822"/>
      <c r="F411" s="5822"/>
      <c r="G411" s="5822"/>
      <c r="H411" s="5823"/>
      <c r="I411" s="634"/>
      <c r="J411" s="517"/>
    </row>
    <row r="412" spans="1:10">
      <c r="A412" s="4717"/>
      <c r="B412" s="633"/>
      <c r="C412" s="4717"/>
      <c r="D412" s="5824" t="s">
        <v>1460</v>
      </c>
      <c r="E412" s="1903"/>
      <c r="F412" s="5825" t="s">
        <v>1461</v>
      </c>
      <c r="G412" s="634"/>
      <c r="H412" s="5811" t="s">
        <v>1462</v>
      </c>
      <c r="I412" s="634"/>
      <c r="J412" s="517"/>
    </row>
    <row r="413" spans="1:10">
      <c r="A413" s="4717"/>
      <c r="B413" s="633"/>
      <c r="C413" s="4717"/>
      <c r="D413" s="5824"/>
      <c r="E413" s="1903"/>
      <c r="F413" s="5825"/>
      <c r="G413" s="634"/>
      <c r="H413" s="5811"/>
      <c r="I413" s="634"/>
      <c r="J413" s="517"/>
    </row>
    <row r="414" spans="1:10">
      <c r="A414" s="4717"/>
      <c r="B414" s="633"/>
      <c r="C414" s="4717"/>
      <c r="D414" s="5824"/>
      <c r="E414" s="1903"/>
      <c r="F414" s="5825"/>
      <c r="G414" s="634"/>
      <c r="H414" s="5811"/>
      <c r="I414" s="634"/>
      <c r="J414" s="517"/>
    </row>
    <row r="415" spans="1:10">
      <c r="A415" s="4717"/>
      <c r="B415" s="633"/>
      <c r="C415" s="4717"/>
      <c r="D415" s="5826">
        <v>1</v>
      </c>
      <c r="E415" s="634"/>
      <c r="F415" s="5827">
        <v>20</v>
      </c>
      <c r="G415" s="634"/>
      <c r="H415" s="1904">
        <f>(F415/1000)*D415</f>
        <v>0.02</v>
      </c>
      <c r="I415" s="634"/>
      <c r="J415" s="517"/>
    </row>
    <row r="416" spans="1:10">
      <c r="A416" s="4717"/>
      <c r="B416" s="633"/>
      <c r="C416" s="4717"/>
      <c r="D416" s="5826"/>
      <c r="E416" s="634"/>
      <c r="F416" s="5827"/>
      <c r="G416" s="634"/>
      <c r="H416" s="1401">
        <f>H415*1000</f>
        <v>20</v>
      </c>
      <c r="I416" s="634"/>
      <c r="J416" s="517"/>
    </row>
    <row r="417" spans="1:10">
      <c r="A417" s="4717"/>
      <c r="B417" s="633"/>
      <c r="C417" s="4717"/>
      <c r="D417" s="1905"/>
      <c r="E417" s="634"/>
      <c r="F417" s="1266"/>
      <c r="G417" s="634"/>
      <c r="H417" s="1906"/>
      <c r="I417" s="634"/>
      <c r="J417" s="517"/>
    </row>
    <row r="418" spans="1:10">
      <c r="A418" s="4717"/>
      <c r="B418" s="633"/>
      <c r="C418" s="4717"/>
      <c r="D418" s="5828" t="s">
        <v>1463</v>
      </c>
      <c r="E418" s="5829"/>
      <c r="F418" s="5829"/>
      <c r="G418" s="5829"/>
      <c r="H418" s="5830"/>
      <c r="I418" s="634"/>
      <c r="J418" s="517"/>
    </row>
    <row r="419" spans="1:10">
      <c r="A419" s="4717"/>
      <c r="B419" s="633"/>
      <c r="C419" s="4717"/>
      <c r="D419" s="5824" t="s">
        <v>1464</v>
      </c>
      <c r="E419" s="634"/>
      <c r="F419" s="5810" t="s">
        <v>1465</v>
      </c>
      <c r="G419" s="634"/>
      <c r="H419" s="5811" t="s">
        <v>1466</v>
      </c>
      <c r="I419" s="634"/>
      <c r="J419" s="517"/>
    </row>
    <row r="420" spans="1:10">
      <c r="A420" s="4717"/>
      <c r="B420" s="633"/>
      <c r="C420" s="4717"/>
      <c r="D420" s="5824"/>
      <c r="E420" s="634"/>
      <c r="F420" s="5810"/>
      <c r="G420" s="634"/>
      <c r="H420" s="5811"/>
      <c r="I420" s="634"/>
      <c r="J420" s="517"/>
    </row>
    <row r="421" spans="1:10">
      <c r="A421" s="4717"/>
      <c r="B421" s="633"/>
      <c r="C421" s="4717"/>
      <c r="D421" s="1907">
        <f>D415</f>
        <v>1</v>
      </c>
      <c r="E421" s="634"/>
      <c r="F421" s="1908">
        <v>5</v>
      </c>
      <c r="G421" s="634"/>
      <c r="H421" s="1904">
        <f>(D421/100)*F421</f>
        <v>0.05</v>
      </c>
      <c r="I421" s="634"/>
      <c r="J421" s="517"/>
    </row>
    <row r="422" spans="1:10">
      <c r="A422" s="4717"/>
      <c r="B422" s="633"/>
      <c r="C422" s="4717"/>
      <c r="D422" s="633"/>
      <c r="E422" s="634"/>
      <c r="F422" s="634"/>
      <c r="G422" s="634"/>
      <c r="H422" s="1401">
        <f>H421*1000</f>
        <v>50</v>
      </c>
      <c r="I422" s="634"/>
      <c r="J422" s="521"/>
    </row>
    <row r="423" spans="1:10">
      <c r="A423" s="4717"/>
      <c r="B423" s="633"/>
      <c r="C423" s="4717"/>
      <c r="D423" s="5812" t="s">
        <v>687</v>
      </c>
      <c r="E423" s="5813"/>
      <c r="F423" s="5813"/>
      <c r="G423" s="5813"/>
      <c r="H423" s="5814"/>
      <c r="I423" s="1181"/>
      <c r="J423" s="1909"/>
    </row>
    <row r="424" spans="1:10">
      <c r="A424" s="4717"/>
      <c r="B424" s="633"/>
      <c r="C424" s="4717"/>
      <c r="D424" s="1280" t="s">
        <v>1467</v>
      </c>
      <c r="E424" s="1229"/>
      <c r="F424" s="1229"/>
      <c r="G424" s="1229"/>
      <c r="H424" s="1910"/>
      <c r="I424" s="1229"/>
      <c r="J424" s="1910"/>
    </row>
    <row r="425" spans="1:10">
      <c r="A425" s="4717"/>
      <c r="B425" s="633"/>
      <c r="C425" s="4717"/>
      <c r="D425" s="5815" t="s">
        <v>990</v>
      </c>
      <c r="E425" s="5803" t="s">
        <v>1468</v>
      </c>
      <c r="F425" s="5803"/>
      <c r="G425" s="5803"/>
      <c r="H425" s="5804"/>
      <c r="I425" s="1911"/>
      <c r="J425" s="1912"/>
    </row>
    <row r="426" spans="1:10">
      <c r="A426" s="4717"/>
      <c r="B426" s="633"/>
      <c r="C426" s="4717"/>
      <c r="D426" s="5815"/>
      <c r="E426" s="5816" t="s">
        <v>1469</v>
      </c>
      <c r="F426" s="5816"/>
      <c r="G426" s="5816"/>
      <c r="H426" s="5817"/>
      <c r="I426" s="1913"/>
      <c r="J426" s="1914"/>
    </row>
    <row r="427" spans="1:10" ht="16.5" thickBot="1">
      <c r="A427" s="4717"/>
      <c r="B427" s="633"/>
      <c r="C427" s="4717"/>
      <c r="D427" s="1372" t="s">
        <v>1002</v>
      </c>
      <c r="E427" s="1373"/>
      <c r="F427" s="1373"/>
      <c r="G427" s="1373"/>
      <c r="H427" s="1915"/>
      <c r="I427" s="1280"/>
      <c r="J427" s="1910"/>
    </row>
    <row r="428" spans="1:10">
      <c r="A428" s="4717"/>
      <c r="B428" s="633"/>
      <c r="C428" s="1421"/>
      <c r="D428" s="729"/>
      <c r="E428" s="729"/>
      <c r="F428" s="729"/>
      <c r="G428" s="729"/>
      <c r="H428" s="729"/>
      <c r="I428" s="634"/>
      <c r="J428" s="517"/>
    </row>
    <row r="429" spans="1:10">
      <c r="A429" s="4717"/>
      <c r="B429" s="5800" t="s">
        <v>1467</v>
      </c>
      <c r="C429" s="5801"/>
      <c r="D429" s="5801"/>
      <c r="E429" s="5801"/>
      <c r="F429" s="5801"/>
      <c r="G429" s="5801"/>
      <c r="H429" s="5801"/>
      <c r="I429" s="5801"/>
      <c r="J429" s="5802"/>
    </row>
    <row r="430" spans="1:10">
      <c r="A430" s="4717"/>
      <c r="B430" s="1574" t="s">
        <v>990</v>
      </c>
      <c r="C430" s="5803" t="s">
        <v>1468</v>
      </c>
      <c r="D430" s="5803"/>
      <c r="E430" s="5803"/>
      <c r="F430" s="5803"/>
      <c r="G430" s="5803"/>
      <c r="H430" s="5803"/>
      <c r="I430" s="5803"/>
      <c r="J430" s="5804"/>
    </row>
    <row r="431" spans="1:10">
      <c r="A431" s="4717"/>
      <c r="B431" s="1916"/>
      <c r="C431" s="5805" t="s">
        <v>1469</v>
      </c>
      <c r="D431" s="5805"/>
      <c r="E431" s="5805"/>
      <c r="F431" s="5805"/>
      <c r="G431" s="5805"/>
      <c r="H431" s="5805"/>
      <c r="I431" s="5805"/>
      <c r="J431" s="5806"/>
    </row>
    <row r="432" spans="1:10" ht="16.5" thickBot="1">
      <c r="A432" s="4717"/>
      <c r="B432" s="5807" t="s">
        <v>1002</v>
      </c>
      <c r="C432" s="5808"/>
      <c r="D432" s="5808"/>
      <c r="E432" s="5808"/>
      <c r="F432" s="5808"/>
      <c r="G432" s="5808"/>
      <c r="H432" s="5808"/>
      <c r="I432" s="5808"/>
      <c r="J432" s="5809"/>
    </row>
    <row r="433" spans="1:12" ht="16.5" thickBot="1"/>
    <row r="434" spans="1:12" ht="23.25">
      <c r="A434" s="1924" t="s">
        <v>70</v>
      </c>
      <c r="B434" s="5142" t="s">
        <v>1512</v>
      </c>
      <c r="C434" s="5143"/>
      <c r="D434" s="5143"/>
      <c r="E434" s="5143"/>
      <c r="F434" s="5143"/>
      <c r="G434" s="5143"/>
      <c r="H434" s="5143"/>
      <c r="I434" s="5143"/>
      <c r="J434" s="5143"/>
      <c r="K434" s="5143"/>
      <c r="L434" s="5144"/>
    </row>
    <row r="435" spans="1:12" ht="23.25">
      <c r="A435" s="5145" t="str">
        <f>B434</f>
        <v>Nombre de contenants avec la fonction MODULO</v>
      </c>
      <c r="B435" s="1777" t="str">
        <f>ADDRESS(ROW(),COLUMN(),4)</f>
        <v>B435</v>
      </c>
      <c r="C435" s="1778" t="s">
        <v>691</v>
      </c>
      <c r="D435" s="1779"/>
      <c r="E435" s="1779"/>
      <c r="F435" s="1779"/>
      <c r="G435" s="1779"/>
      <c r="H435" s="1779"/>
      <c r="I435" s="1779"/>
      <c r="J435" s="1780"/>
      <c r="K435" s="1781" t="str">
        <f ca="1">MID(CELL("filename",B435),SEARCH("[",CELL("filename",B435))+1,SEARCH("]",CELL("filename",B435))-SEARCH("[",CELL("filename",B435))-1)</f>
        <v>ff-22-formats-formules-pourcentages.xlsx</v>
      </c>
      <c r="L435" s="1782">
        <v>5</v>
      </c>
    </row>
    <row r="436" spans="1:12">
      <c r="A436" s="5145"/>
      <c r="B436" s="1783"/>
      <c r="C436" s="1784"/>
      <c r="D436" s="1784"/>
      <c r="E436" s="1784"/>
      <c r="F436" s="1784"/>
      <c r="G436" s="1784"/>
      <c r="H436" s="1784"/>
      <c r="I436" s="1784"/>
      <c r="J436" s="1784"/>
      <c r="K436" s="1784"/>
      <c r="L436" s="1785"/>
    </row>
    <row r="437" spans="1:12" ht="18">
      <c r="A437" s="5145"/>
      <c r="B437" s="1786"/>
      <c r="C437" s="1787"/>
      <c r="D437" s="1788" t="s">
        <v>776</v>
      </c>
      <c r="E437" s="1789">
        <v>680</v>
      </c>
      <c r="F437" s="1790" t="s">
        <v>1385</v>
      </c>
      <c r="G437" s="1791">
        <f>IF(MOD(E437,E439)&gt;MOD(E437,E439)/2,INT(E437/E439)+1,INT(E437/E439))</f>
        <v>57</v>
      </c>
      <c r="H437" s="1791" t="s">
        <v>874</v>
      </c>
      <c r="I437" s="1791"/>
      <c r="J437" s="1791"/>
      <c r="K437" s="1791"/>
      <c r="L437" s="1785"/>
    </row>
    <row r="438" spans="1:12" ht="18">
      <c r="A438" s="5145"/>
      <c r="B438" s="1786"/>
      <c r="C438" s="1792"/>
      <c r="D438" s="1793"/>
      <c r="E438" s="1792"/>
      <c r="F438" s="1792"/>
      <c r="G438" s="1792"/>
      <c r="H438" s="1792"/>
      <c r="I438" s="1792"/>
      <c r="J438" s="1792"/>
      <c r="K438" s="1792"/>
      <c r="L438" s="1785"/>
    </row>
    <row r="439" spans="1:12" ht="18">
      <c r="A439" s="5145"/>
      <c r="B439" s="1786"/>
      <c r="C439" s="1794"/>
      <c r="D439" s="1795" t="s">
        <v>777</v>
      </c>
      <c r="E439" s="1789">
        <v>12</v>
      </c>
      <c r="F439" s="1796" t="str">
        <f>F437</f>
        <v>chouquettes</v>
      </c>
      <c r="G439" s="1791">
        <f>INT(E437/E439)</f>
        <v>56</v>
      </c>
      <c r="H439" s="1797" t="s">
        <v>852</v>
      </c>
      <c r="I439" s="1798">
        <f>E439</f>
        <v>12</v>
      </c>
      <c r="J439" s="1796" t="str">
        <f>F439</f>
        <v>chouquettes</v>
      </c>
      <c r="K439" s="1797">
        <f>I439*G439</f>
        <v>672</v>
      </c>
      <c r="L439" s="1799"/>
    </row>
    <row r="440" spans="1:12" ht="18">
      <c r="A440" s="5145"/>
      <c r="B440" s="1800"/>
      <c r="C440" s="1792"/>
      <c r="D440" s="1792"/>
      <c r="E440" s="1792"/>
      <c r="F440" s="1792"/>
      <c r="G440" s="1792"/>
      <c r="H440" s="1801" t="str">
        <f>IF(K439=E437,"",IF(I440&gt;0,"Plus 1 de"))</f>
        <v>Plus 1 de</v>
      </c>
      <c r="I440" s="1798">
        <f>IF(K439=E437,"",MOD(E437,E439))</f>
        <v>8</v>
      </c>
      <c r="J440" s="1796" t="str">
        <f>IF(K439=E437,"",J439)</f>
        <v>chouquettes</v>
      </c>
      <c r="K440" s="1797">
        <f>IF(K439=E437,"",K439+I440)</f>
        <v>680</v>
      </c>
      <c r="L440" s="1799"/>
    </row>
    <row r="441" spans="1:12" ht="18">
      <c r="A441" s="5145"/>
      <c r="B441" s="1800"/>
      <c r="C441" s="1792"/>
      <c r="D441" s="1792"/>
      <c r="E441" s="1792"/>
      <c r="F441" s="1792"/>
      <c r="G441" s="1792"/>
      <c r="H441" s="1801"/>
      <c r="I441" s="1802"/>
      <c r="J441" s="1803"/>
      <c r="K441" s="1804"/>
      <c r="L441" s="1799"/>
    </row>
    <row r="442" spans="1:12">
      <c r="A442" s="5145"/>
      <c r="B442" s="5148" t="s">
        <v>1386</v>
      </c>
      <c r="C442" s="5149"/>
      <c r="D442" s="5149"/>
      <c r="E442" s="5149"/>
      <c r="F442" s="5149"/>
      <c r="G442" s="5149"/>
      <c r="H442" s="5149"/>
      <c r="I442" s="5149"/>
      <c r="J442" s="5149"/>
      <c r="K442" s="5149"/>
      <c r="L442" s="1785"/>
    </row>
    <row r="443" spans="1:12">
      <c r="A443" s="5145"/>
      <c r="B443" s="5172" t="s">
        <v>687</v>
      </c>
      <c r="C443" s="5173"/>
      <c r="D443" s="5173"/>
      <c r="E443" s="5173"/>
      <c r="F443" s="5173"/>
      <c r="G443" s="5173"/>
      <c r="H443" s="5173"/>
      <c r="I443" s="5173"/>
      <c r="J443" s="5173"/>
      <c r="K443" s="5173"/>
      <c r="L443" s="1785"/>
    </row>
    <row r="444" spans="1:12">
      <c r="A444" s="5145"/>
      <c r="B444" s="1805" t="s">
        <v>37</v>
      </c>
      <c r="C444" s="1806" t="str">
        <f ca="1">CELL("nomfichier")</f>
        <v>D:\Données\Copie_ancien_DD\0-UPRT.fait\1-UPRT.FR-SITE-WEB\ff-fiches-fabrications\ff-fiches-fabrication-maj-08-2020\[ff-22-formats-formules-pourcentages.xlsx]Epurer.un.texte</v>
      </c>
      <c r="D444" s="1806"/>
      <c r="E444" s="1806"/>
      <c r="F444" s="1806"/>
      <c r="G444" s="1806"/>
      <c r="H444" s="1806"/>
      <c r="I444" s="1806"/>
      <c r="J444" s="1806"/>
      <c r="K444" s="1806"/>
      <c r="L444" s="1807"/>
    </row>
    <row r="445" spans="1:12" ht="16.5" thickBot="1">
      <c r="A445" s="5146"/>
      <c r="B445" s="1808" t="s">
        <v>34</v>
      </c>
      <c r="C445" s="1809"/>
      <c r="D445" s="1809"/>
      <c r="E445" s="1809"/>
      <c r="F445" s="1809"/>
      <c r="G445" s="1809"/>
      <c r="H445" s="1809"/>
      <c r="I445" s="1809"/>
      <c r="J445" s="1809"/>
      <c r="K445" s="1809"/>
      <c r="L445" s="1810"/>
    </row>
    <row r="446" spans="1:12" ht="16.5" thickBot="1"/>
    <row r="447" spans="1:12" ht="23.25">
      <c r="A447" s="1924" t="s">
        <v>70</v>
      </c>
      <c r="B447" s="5142" t="s">
        <v>1512</v>
      </c>
      <c r="C447" s="5143"/>
      <c r="D447" s="5143"/>
      <c r="E447" s="5143"/>
      <c r="F447" s="5143"/>
      <c r="G447" s="5143"/>
      <c r="H447" s="5143"/>
      <c r="I447" s="5143"/>
      <c r="J447" s="5143"/>
      <c r="K447" s="5143"/>
      <c r="L447" s="5144"/>
    </row>
    <row r="448" spans="1:12" ht="23.25">
      <c r="A448" s="5145" t="str">
        <f>B447</f>
        <v>Nombre de contenants avec la fonction MODULO</v>
      </c>
      <c r="B448" s="1777" t="str">
        <f>ADDRESS(ROW(),COLUMN(),4)</f>
        <v>B448</v>
      </c>
      <c r="C448" s="1778" t="s">
        <v>691</v>
      </c>
      <c r="D448" s="1779"/>
      <c r="E448" s="1779"/>
      <c r="F448" s="1779"/>
      <c r="G448" s="1779"/>
      <c r="H448" s="1779"/>
      <c r="I448" s="1779"/>
      <c r="J448" s="1780"/>
      <c r="K448" s="1781" t="str">
        <f ca="1">MID(CELL("filename",B448),SEARCH("[",CELL("filename",B448))+1,SEARCH("]",CELL("filename",B448))-SEARCH("[",CELL("filename",B448))-1)</f>
        <v>ff-22-formats-formules-pourcentages.xlsx</v>
      </c>
      <c r="L448" s="1782">
        <v>5</v>
      </c>
    </row>
    <row r="449" spans="1:12">
      <c r="A449" s="5145"/>
      <c r="B449" s="1783"/>
      <c r="C449" s="1784"/>
      <c r="D449" s="1784"/>
      <c r="E449" s="1784"/>
      <c r="F449" s="1784"/>
      <c r="G449" s="1784"/>
      <c r="H449" s="1784"/>
      <c r="I449" s="1784"/>
      <c r="J449" s="1784"/>
      <c r="K449" s="1784"/>
      <c r="L449" s="1785"/>
    </row>
    <row r="450" spans="1:12" ht="18">
      <c r="A450" s="5145"/>
      <c r="B450" s="1786"/>
      <c r="C450" s="1787"/>
      <c r="D450" s="1788" t="s">
        <v>776</v>
      </c>
      <c r="E450" s="5798">
        <v>11</v>
      </c>
      <c r="F450" s="5798"/>
      <c r="G450" s="1791">
        <f>IF(MOD(E450,E452)&gt;MOD(E450,E452)/2,INT(E450/E452)+1,INT(E450/E452))</f>
        <v>37</v>
      </c>
      <c r="H450" s="1791" t="s">
        <v>874</v>
      </c>
      <c r="I450" s="1791"/>
      <c r="J450" s="1791"/>
      <c r="K450" s="1791"/>
      <c r="L450" s="1785"/>
    </row>
    <row r="451" spans="1:12" ht="18">
      <c r="A451" s="5145"/>
      <c r="B451" s="1786"/>
      <c r="C451" s="1792"/>
      <c r="D451" s="1793"/>
      <c r="E451" s="1792"/>
      <c r="F451" s="1792"/>
      <c r="G451" s="1792"/>
      <c r="H451" s="1792"/>
      <c r="I451" s="1792"/>
      <c r="J451" s="1792"/>
      <c r="K451" s="1792"/>
      <c r="L451" s="1785"/>
    </row>
    <row r="452" spans="1:12" ht="18">
      <c r="A452" s="5145"/>
      <c r="B452" s="1786"/>
      <c r="C452" s="1794"/>
      <c r="D452" s="1795" t="s">
        <v>777</v>
      </c>
      <c r="E452" s="5799">
        <v>0.3</v>
      </c>
      <c r="F452" s="5799"/>
      <c r="G452" s="1791">
        <f>INT(E450/E452)</f>
        <v>36</v>
      </c>
      <c r="H452" s="5147">
        <f>E452</f>
        <v>0.3</v>
      </c>
      <c r="I452" s="5147"/>
      <c r="J452" s="1792"/>
      <c r="K452" s="1811">
        <f>E452*G452</f>
        <v>10.799999999999999</v>
      </c>
      <c r="L452" s="1785"/>
    </row>
    <row r="453" spans="1:12" ht="18">
      <c r="A453" s="5145"/>
      <c r="B453" s="1800"/>
      <c r="C453" s="1792"/>
      <c r="D453" s="1792"/>
      <c r="E453" s="1792"/>
      <c r="F453" s="1792"/>
      <c r="G453" s="1792"/>
      <c r="H453" s="1801" t="str">
        <f>IF(K452=E450,"","Plus 1 de")</f>
        <v>Plus 1 de</v>
      </c>
      <c r="I453" s="1813">
        <f>IF(K452=E450,"",MOD(E450,E452))</f>
        <v>0.2000000000000004</v>
      </c>
      <c r="J453" s="1803"/>
      <c r="K453" s="1811">
        <f>IF(K452=E450,"",K452+I453)</f>
        <v>11</v>
      </c>
      <c r="L453" s="1785"/>
    </row>
    <row r="454" spans="1:12" ht="18">
      <c r="A454" s="5145"/>
      <c r="B454" s="1800"/>
      <c r="C454" s="1792"/>
      <c r="D454" s="1792"/>
      <c r="E454" s="1792"/>
      <c r="F454" s="1792"/>
      <c r="G454" s="1792"/>
      <c r="H454" s="1801"/>
      <c r="I454" s="1813"/>
      <c r="J454" s="1803"/>
      <c r="K454" s="1811"/>
      <c r="L454" s="1785"/>
    </row>
    <row r="455" spans="1:12">
      <c r="A455" s="5145"/>
      <c r="B455" s="5148" t="s">
        <v>1386</v>
      </c>
      <c r="C455" s="5149"/>
      <c r="D455" s="5149"/>
      <c r="E455" s="5149"/>
      <c r="F455" s="5149"/>
      <c r="G455" s="5149"/>
      <c r="H455" s="5149"/>
      <c r="I455" s="5149"/>
      <c r="J455" s="5149"/>
      <c r="K455" s="5149"/>
      <c r="L455" s="1785"/>
    </row>
    <row r="456" spans="1:12">
      <c r="A456" s="5145"/>
      <c r="B456" s="5172" t="s">
        <v>687</v>
      </c>
      <c r="C456" s="5173"/>
      <c r="D456" s="5173"/>
      <c r="E456" s="5173"/>
      <c r="F456" s="5173"/>
      <c r="G456" s="5173"/>
      <c r="H456" s="5173"/>
      <c r="I456" s="5173"/>
      <c r="J456" s="5173"/>
      <c r="K456" s="5173"/>
      <c r="L456" s="1785"/>
    </row>
    <row r="457" spans="1:12">
      <c r="A457" s="5145"/>
      <c r="B457" s="1805" t="s">
        <v>37</v>
      </c>
      <c r="C457" s="1806" t="str">
        <f ca="1">CELL("nomfichier")</f>
        <v>D:\Données\Copie_ancien_DD\0-UPRT.fait\1-UPRT.FR-SITE-WEB\ff-fiches-fabrications\ff-fiches-fabrication-maj-08-2020\[ff-22-formats-formules-pourcentages.xlsx]Epurer.un.texte</v>
      </c>
      <c r="D457" s="1806"/>
      <c r="E457" s="1806"/>
      <c r="F457" s="1806"/>
      <c r="G457" s="1806"/>
      <c r="H457" s="1806"/>
      <c r="I457" s="1806"/>
      <c r="J457" s="1806"/>
      <c r="K457" s="1806"/>
      <c r="L457" s="1807"/>
    </row>
    <row r="458" spans="1:12" ht="16.5" thickBot="1">
      <c r="A458" s="5146"/>
      <c r="B458" s="1808" t="s">
        <v>34</v>
      </c>
      <c r="C458" s="1809"/>
      <c r="D458" s="1809"/>
      <c r="E458" s="1809"/>
      <c r="F458" s="1809"/>
      <c r="G458" s="1809"/>
      <c r="H458" s="1809"/>
      <c r="I458" s="1809"/>
      <c r="J458" s="1809"/>
      <c r="K458" s="1809"/>
      <c r="L458" s="1810"/>
    </row>
  </sheetData>
  <mergeCells count="392">
    <mergeCell ref="P27:Q27"/>
    <mergeCell ref="N28:O28"/>
    <mergeCell ref="P28:Q28"/>
    <mergeCell ref="J29:K29"/>
    <mergeCell ref="L29:M29"/>
    <mergeCell ref="N29:O29"/>
    <mergeCell ref="P29:Q29"/>
    <mergeCell ref="A2:A3"/>
    <mergeCell ref="B2:AV3"/>
    <mergeCell ref="T5:W6"/>
    <mergeCell ref="C15:S16"/>
    <mergeCell ref="B26:Q26"/>
    <mergeCell ref="A27:A68"/>
    <mergeCell ref="B27:I27"/>
    <mergeCell ref="J27:K28"/>
    <mergeCell ref="L27:M28"/>
    <mergeCell ref="N27:O27"/>
    <mergeCell ref="B35:H35"/>
    <mergeCell ref="J35:P35"/>
    <mergeCell ref="C40:E40"/>
    <mergeCell ref="K40:M40"/>
    <mergeCell ref="B45:H45"/>
    <mergeCell ref="J45:P45"/>
    <mergeCell ref="J30:K30"/>
    <mergeCell ref="L30:M30"/>
    <mergeCell ref="N30:O30"/>
    <mergeCell ref="P30:Q30"/>
    <mergeCell ref="N32:O32"/>
    <mergeCell ref="B34:Q34"/>
    <mergeCell ref="B68:I68"/>
    <mergeCell ref="B70:Q70"/>
    <mergeCell ref="A71:A81"/>
    <mergeCell ref="B71:I71"/>
    <mergeCell ref="J71:K72"/>
    <mergeCell ref="L71:M72"/>
    <mergeCell ref="N71:O71"/>
    <mergeCell ref="C50:E50"/>
    <mergeCell ref="K50:M50"/>
    <mergeCell ref="B55:H55"/>
    <mergeCell ref="J55:P55"/>
    <mergeCell ref="C60:E60"/>
    <mergeCell ref="K60:M60"/>
    <mergeCell ref="P71:Q71"/>
    <mergeCell ref="N72:O72"/>
    <mergeCell ref="P72:Q72"/>
    <mergeCell ref="J73:K73"/>
    <mergeCell ref="L73:M73"/>
    <mergeCell ref="N73:O73"/>
    <mergeCell ref="P73:Q73"/>
    <mergeCell ref="J66:J67"/>
    <mergeCell ref="K66:Q66"/>
    <mergeCell ref="K67:Q67"/>
    <mergeCell ref="C81:G81"/>
    <mergeCell ref="J81:O81"/>
    <mergeCell ref="A83:A84"/>
    <mergeCell ref="B83:AV84"/>
    <mergeCell ref="B86:K86"/>
    <mergeCell ref="R86:Z86"/>
    <mergeCell ref="AC86:AK86"/>
    <mergeCell ref="AN86:AV86"/>
    <mergeCell ref="J74:K74"/>
    <mergeCell ref="L74:M74"/>
    <mergeCell ref="N74:O74"/>
    <mergeCell ref="P74:Q74"/>
    <mergeCell ref="N76:O76"/>
    <mergeCell ref="B78:I78"/>
    <mergeCell ref="B105:C105"/>
    <mergeCell ref="G105:H105"/>
    <mergeCell ref="S105:Y105"/>
    <mergeCell ref="A87:A117"/>
    <mergeCell ref="Q87:Q106"/>
    <mergeCell ref="AB87:AB108"/>
    <mergeCell ref="AM87:AM108"/>
    <mergeCell ref="AD97:AF97"/>
    <mergeCell ref="AO97:AQ97"/>
    <mergeCell ref="B99:K99"/>
    <mergeCell ref="R102:Z102"/>
    <mergeCell ref="R103:Z103"/>
    <mergeCell ref="R104:R105"/>
    <mergeCell ref="AC106:AC107"/>
    <mergeCell ref="AD106:AJ106"/>
    <mergeCell ref="AN106:AN107"/>
    <mergeCell ref="AO106:AU106"/>
    <mergeCell ref="AD107:AJ107"/>
    <mergeCell ref="AO107:AU107"/>
    <mergeCell ref="S104:Y104"/>
    <mergeCell ref="AC104:AK104"/>
    <mergeCell ref="AN104:AV104"/>
    <mergeCell ref="S129:Y129"/>
    <mergeCell ref="S130:Y130"/>
    <mergeCell ref="A134:A135"/>
    <mergeCell ref="B134:AV135"/>
    <mergeCell ref="B138:K138"/>
    <mergeCell ref="R138:Z138"/>
    <mergeCell ref="AC138:AK138"/>
    <mergeCell ref="AN138:AV138"/>
    <mergeCell ref="R109:Z109"/>
    <mergeCell ref="Q110:Q131"/>
    <mergeCell ref="B113:K113"/>
    <mergeCell ref="B114:J114"/>
    <mergeCell ref="B115:B116"/>
    <mergeCell ref="C115:I115"/>
    <mergeCell ref="C116:I116"/>
    <mergeCell ref="S120:U120"/>
    <mergeCell ref="R127:Z127"/>
    <mergeCell ref="R129:R130"/>
    <mergeCell ref="AO149:AQ149"/>
    <mergeCell ref="B152:K152"/>
    <mergeCell ref="R156:Z156"/>
    <mergeCell ref="AC156:AK156"/>
    <mergeCell ref="AN156:AV156"/>
    <mergeCell ref="R157:Z157"/>
    <mergeCell ref="AC157:AK157"/>
    <mergeCell ref="AN157:AV157"/>
    <mergeCell ref="A139:A170"/>
    <mergeCell ref="Q139:Q160"/>
    <mergeCell ref="AB139:AB160"/>
    <mergeCell ref="AM139:AM160"/>
    <mergeCell ref="S149:U149"/>
    <mergeCell ref="AD149:AF149"/>
    <mergeCell ref="B158:C158"/>
    <mergeCell ref="G158:H158"/>
    <mergeCell ref="R158:R159"/>
    <mergeCell ref="S158:Y158"/>
    <mergeCell ref="B166:K166"/>
    <mergeCell ref="B167:J167"/>
    <mergeCell ref="B168:B169"/>
    <mergeCell ref="C168:I168"/>
    <mergeCell ref="C169:I169"/>
    <mergeCell ref="A173:A174"/>
    <mergeCell ref="B173:AV174"/>
    <mergeCell ref="AC158:AC159"/>
    <mergeCell ref="AD158:AJ158"/>
    <mergeCell ref="AN158:AN159"/>
    <mergeCell ref="AO158:AU158"/>
    <mergeCell ref="S159:Y159"/>
    <mergeCell ref="AD159:AJ159"/>
    <mergeCell ref="AO159:AU159"/>
    <mergeCell ref="B177:J177"/>
    <mergeCell ref="R177:Z177"/>
    <mergeCell ref="AN177:AV177"/>
    <mergeCell ref="A178:A198"/>
    <mergeCell ref="Q178:Q198"/>
    <mergeCell ref="AM178:AM198"/>
    <mergeCell ref="C188:E188"/>
    <mergeCell ref="S188:U188"/>
    <mergeCell ref="AO188:AQ188"/>
    <mergeCell ref="B194:J194"/>
    <mergeCell ref="AO196:AU196"/>
    <mergeCell ref="C197:I197"/>
    <mergeCell ref="S197:Y197"/>
    <mergeCell ref="AO197:AU197"/>
    <mergeCell ref="A201:A202"/>
    <mergeCell ref="B201:AV202"/>
    <mergeCell ref="R194:Z194"/>
    <mergeCell ref="AN194:AV194"/>
    <mergeCell ref="B195:J195"/>
    <mergeCell ref="R195:Z195"/>
    <mergeCell ref="AN195:AV195"/>
    <mergeCell ref="B196:B197"/>
    <mergeCell ref="C196:I196"/>
    <mergeCell ref="R196:R197"/>
    <mergeCell ref="S196:Y196"/>
    <mergeCell ref="AN196:AN197"/>
    <mergeCell ref="AO215:AQ215"/>
    <mergeCell ref="B218:K218"/>
    <mergeCell ref="R222:Z222"/>
    <mergeCell ref="AC222:AK222"/>
    <mergeCell ref="AN222:AV222"/>
    <mergeCell ref="R223:Z223"/>
    <mergeCell ref="AC223:AK223"/>
    <mergeCell ref="AN223:AV223"/>
    <mergeCell ref="B204:K204"/>
    <mergeCell ref="R204:Z204"/>
    <mergeCell ref="AC204:AK204"/>
    <mergeCell ref="AN204:AV204"/>
    <mergeCell ref="Q205:Q226"/>
    <mergeCell ref="AB205:AB226"/>
    <mergeCell ref="AM205:AM226"/>
    <mergeCell ref="S215:U215"/>
    <mergeCell ref="AD215:AF215"/>
    <mergeCell ref="R224:R225"/>
    <mergeCell ref="S224:Y224"/>
    <mergeCell ref="AC224:AC225"/>
    <mergeCell ref="AD224:AJ224"/>
    <mergeCell ref="AN224:AN225"/>
    <mergeCell ref="AO224:AU224"/>
    <mergeCell ref="S225:Y225"/>
    <mergeCell ref="AD225:AJ225"/>
    <mergeCell ref="AO225:AU225"/>
    <mergeCell ref="A241:A242"/>
    <mergeCell ref="B241:AV242"/>
    <mergeCell ref="B244:K244"/>
    <mergeCell ref="R244:Z244"/>
    <mergeCell ref="AC244:AK244"/>
    <mergeCell ref="AN244:AV244"/>
    <mergeCell ref="B226:C226"/>
    <mergeCell ref="G226:H226"/>
    <mergeCell ref="B234:K234"/>
    <mergeCell ref="B235:J235"/>
    <mergeCell ref="B236:B237"/>
    <mergeCell ref="C236:I236"/>
    <mergeCell ref="C237:I237"/>
    <mergeCell ref="A205:A238"/>
    <mergeCell ref="AO255:AQ255"/>
    <mergeCell ref="B261:C261"/>
    <mergeCell ref="G261:H261"/>
    <mergeCell ref="R261:Z261"/>
    <mergeCell ref="AC261:AK261"/>
    <mergeCell ref="AN261:AV261"/>
    <mergeCell ref="A245:A273"/>
    <mergeCell ref="Q245:Q265"/>
    <mergeCell ref="AB245:AB265"/>
    <mergeCell ref="AM245:AM265"/>
    <mergeCell ref="B253:K253"/>
    <mergeCell ref="S255:U255"/>
    <mergeCell ref="AD255:AF255"/>
    <mergeCell ref="R262:Z262"/>
    <mergeCell ref="AC262:AK262"/>
    <mergeCell ref="B269:K269"/>
    <mergeCell ref="AN262:AV262"/>
    <mergeCell ref="R263:R264"/>
    <mergeCell ref="S263:Y263"/>
    <mergeCell ref="AC263:AC264"/>
    <mergeCell ref="AD263:AJ263"/>
    <mergeCell ref="AN263:AN264"/>
    <mergeCell ref="AO263:AU263"/>
    <mergeCell ref="S264:Y264"/>
    <mergeCell ref="AD264:AJ264"/>
    <mergeCell ref="AO264:AU264"/>
    <mergeCell ref="A280:A308"/>
    <mergeCell ref="Q280:Q300"/>
    <mergeCell ref="AB280:AB300"/>
    <mergeCell ref="AM280:AM300"/>
    <mergeCell ref="B288:K288"/>
    <mergeCell ref="S290:U290"/>
    <mergeCell ref="B270:J270"/>
    <mergeCell ref="B271:B272"/>
    <mergeCell ref="C271:I271"/>
    <mergeCell ref="C272:I272"/>
    <mergeCell ref="A276:A277"/>
    <mergeCell ref="B276:AV277"/>
    <mergeCell ref="AD290:AF290"/>
    <mergeCell ref="AO290:AQ290"/>
    <mergeCell ref="B296:C296"/>
    <mergeCell ref="G296:H296"/>
    <mergeCell ref="R296:Z296"/>
    <mergeCell ref="AC296:AK296"/>
    <mergeCell ref="AN296:AV296"/>
    <mergeCell ref="B279:K279"/>
    <mergeCell ref="R279:Z279"/>
    <mergeCell ref="AC279:AK279"/>
    <mergeCell ref="AN279:AV279"/>
    <mergeCell ref="AD299:AJ299"/>
    <mergeCell ref="AO299:AU299"/>
    <mergeCell ref="B304:K304"/>
    <mergeCell ref="B305:J305"/>
    <mergeCell ref="B306:B307"/>
    <mergeCell ref="C306:I306"/>
    <mergeCell ref="C307:I307"/>
    <mergeCell ref="R297:Z297"/>
    <mergeCell ref="AC297:AK297"/>
    <mergeCell ref="AN297:AV297"/>
    <mergeCell ref="R298:R299"/>
    <mergeCell ref="S298:Y298"/>
    <mergeCell ref="AC298:AC299"/>
    <mergeCell ref="AD298:AJ298"/>
    <mergeCell ref="AN298:AN299"/>
    <mergeCell ref="AO298:AU298"/>
    <mergeCell ref="S299:Y299"/>
    <mergeCell ref="A312:A313"/>
    <mergeCell ref="B312:AV313"/>
    <mergeCell ref="B315:J315"/>
    <mergeCell ref="A316:A432"/>
    <mergeCell ref="C317:J317"/>
    <mergeCell ref="C318:J318"/>
    <mergeCell ref="D328:E329"/>
    <mergeCell ref="H328:I329"/>
    <mergeCell ref="D330:D331"/>
    <mergeCell ref="E330:E331"/>
    <mergeCell ref="D354:E355"/>
    <mergeCell ref="H354:I355"/>
    <mergeCell ref="F355:G355"/>
    <mergeCell ref="D356:E357"/>
    <mergeCell ref="F356:F357"/>
    <mergeCell ref="H356:I357"/>
    <mergeCell ref="H330:I331"/>
    <mergeCell ref="D333:D334"/>
    <mergeCell ref="E333:E334"/>
    <mergeCell ref="F333:G333"/>
    <mergeCell ref="H333:H334"/>
    <mergeCell ref="I333:I334"/>
    <mergeCell ref="D364:D365"/>
    <mergeCell ref="E364:E365"/>
    <mergeCell ref="F364:G364"/>
    <mergeCell ref="H364:H365"/>
    <mergeCell ref="I364:I365"/>
    <mergeCell ref="D367:E368"/>
    <mergeCell ref="H367:I368"/>
    <mergeCell ref="D359:E360"/>
    <mergeCell ref="H359:I360"/>
    <mergeCell ref="F360:G360"/>
    <mergeCell ref="D361:D362"/>
    <mergeCell ref="E361:E362"/>
    <mergeCell ref="F361:F362"/>
    <mergeCell ref="G361:G362"/>
    <mergeCell ref="H361:I362"/>
    <mergeCell ref="D369:E370"/>
    <mergeCell ref="H369:I370"/>
    <mergeCell ref="D372:I373"/>
    <mergeCell ref="C373:C404"/>
    <mergeCell ref="D375:D376"/>
    <mergeCell ref="E375:E376"/>
    <mergeCell ref="F375:F376"/>
    <mergeCell ref="G375:G376"/>
    <mergeCell ref="H375:H376"/>
    <mergeCell ref="I375:I376"/>
    <mergeCell ref="D379:D380"/>
    <mergeCell ref="E379:I380"/>
    <mergeCell ref="D381:D382"/>
    <mergeCell ref="E381:E382"/>
    <mergeCell ref="F381:F382"/>
    <mergeCell ref="G381:G382"/>
    <mergeCell ref="H381:H382"/>
    <mergeCell ref="I381:I382"/>
    <mergeCell ref="D377:D378"/>
    <mergeCell ref="E377:E378"/>
    <mergeCell ref="F377:F378"/>
    <mergeCell ref="G377:G378"/>
    <mergeCell ref="H377:H378"/>
    <mergeCell ref="I377:I378"/>
    <mergeCell ref="D385:D386"/>
    <mergeCell ref="E385:E386"/>
    <mergeCell ref="F385:F386"/>
    <mergeCell ref="G385:G386"/>
    <mergeCell ref="H385:H386"/>
    <mergeCell ref="I385:I386"/>
    <mergeCell ref="D383:D384"/>
    <mergeCell ref="E383:E384"/>
    <mergeCell ref="F383:F384"/>
    <mergeCell ref="G383:G384"/>
    <mergeCell ref="H383:H384"/>
    <mergeCell ref="I383:I384"/>
    <mergeCell ref="D389:D390"/>
    <mergeCell ref="E389:E390"/>
    <mergeCell ref="F389:F390"/>
    <mergeCell ref="G389:G390"/>
    <mergeCell ref="H389:H390"/>
    <mergeCell ref="I389:I390"/>
    <mergeCell ref="D387:D388"/>
    <mergeCell ref="E387:E388"/>
    <mergeCell ref="F387:F388"/>
    <mergeCell ref="G387:G388"/>
    <mergeCell ref="H387:H388"/>
    <mergeCell ref="I387:I388"/>
    <mergeCell ref="D425:D426"/>
    <mergeCell ref="E425:H425"/>
    <mergeCell ref="E426:H426"/>
    <mergeCell ref="D408:H408"/>
    <mergeCell ref="C409:C427"/>
    <mergeCell ref="D411:H411"/>
    <mergeCell ref="D412:D414"/>
    <mergeCell ref="F412:F414"/>
    <mergeCell ref="H412:H414"/>
    <mergeCell ref="D415:D416"/>
    <mergeCell ref="F415:F416"/>
    <mergeCell ref="D418:H418"/>
    <mergeCell ref="D419:D420"/>
    <mergeCell ref="K43:M43"/>
    <mergeCell ref="C43:E43"/>
    <mergeCell ref="C53:E53"/>
    <mergeCell ref="K53:M53"/>
    <mergeCell ref="C63:E63"/>
    <mergeCell ref="K63:M63"/>
    <mergeCell ref="B447:L447"/>
    <mergeCell ref="A448:A458"/>
    <mergeCell ref="E450:F450"/>
    <mergeCell ref="E452:F452"/>
    <mergeCell ref="H452:I452"/>
    <mergeCell ref="B455:K455"/>
    <mergeCell ref="B456:K456"/>
    <mergeCell ref="B429:J429"/>
    <mergeCell ref="C430:J430"/>
    <mergeCell ref="C431:J431"/>
    <mergeCell ref="B432:J432"/>
    <mergeCell ref="B434:L434"/>
    <mergeCell ref="A435:A445"/>
    <mergeCell ref="B442:K442"/>
    <mergeCell ref="B443:K443"/>
    <mergeCell ref="F419:F420"/>
    <mergeCell ref="H419:H420"/>
    <mergeCell ref="D423:H423"/>
  </mergeCells>
  <conditionalFormatting sqref="A447:A448">
    <cfRule type="expression" dxfId="41" priority="1" stopIfTrue="1">
      <formula>OR(ROW()=CELL("ligne"),COLUMN()=CELL("colonne"))</formula>
    </cfRule>
  </conditionalFormatting>
  <conditionalFormatting sqref="A434:A435">
    <cfRule type="expression" dxfId="40" priority="2" stopIfTrue="1">
      <formula>OR(ROW()=CELL("ligne"),COLUMN()=CELL("colonne"))</formula>
    </cfRule>
  </conditionalFormatting>
  <hyperlinks>
    <hyperlink ref="H5" r:id="rId1" xr:uid="{76BDF43B-8971-45C5-84AD-CA60B6E69019}"/>
    <hyperlink ref="J11" r:id="rId2" xr:uid="{DF833A0E-FF2C-4FD6-8A57-08133F6CD108}"/>
    <hyperlink ref="H7" r:id="rId3" xr:uid="{C382DED1-4B1C-4C21-B48C-0E1C0FF65407}"/>
    <hyperlink ref="N7" r:id="rId4" xr:uid="{307D6162-F44A-4D85-9970-FCD6BB1A63D0}"/>
    <hyperlink ref="J13" r:id="rId5" xr:uid="{38B34E34-E564-47D4-B491-234359859456}"/>
    <hyperlink ref="N13" r:id="rId6" xr:uid="{2F01737F-3432-42F8-9978-B8F20D301551}"/>
    <hyperlink ref="N5" r:id="rId7" xr:uid="{62BB7242-930F-4A62-A84C-27126E7ECE79}"/>
    <hyperlink ref="Q5" r:id="rId8" xr:uid="{A2B004F1-398B-444A-A957-0205B29D5E4E}"/>
    <hyperlink ref="J5" r:id="rId9" xr:uid="{AF66E9C4-49BA-4BC2-8CC9-5F4DBE85D079}"/>
    <hyperlink ref="C9" r:id="rId10" xr:uid="{311CAF3C-21C2-4117-95B9-D2B6978B4CA7}"/>
    <hyperlink ref="S104" r:id="rId11" xr:uid="{2D80F1C8-83AF-4E12-A241-DDD810DF6126}"/>
    <hyperlink ref="S105" r:id="rId12" xr:uid="{00FBE33E-473E-4906-840B-D0D982E69EAC}"/>
    <hyperlink ref="C115" r:id="rId13" xr:uid="{745D9AF8-933E-4097-AB72-9DD923FC9FFB}"/>
    <hyperlink ref="C116" r:id="rId14" xr:uid="{4DEA2C56-583D-4179-93C7-5CD53E952B5F}"/>
    <hyperlink ref="C168" r:id="rId15" xr:uid="{640DEDDF-55DC-4557-9C7B-F46EA1C9E36A}"/>
    <hyperlink ref="C169" r:id="rId16" xr:uid="{67CBF71D-3600-4464-8FC0-622CAB610C4F}"/>
    <hyperlink ref="S158" r:id="rId17" xr:uid="{B322A114-33CF-448F-946F-D1DED1311550}"/>
    <hyperlink ref="S159" r:id="rId18" xr:uid="{37917603-F770-4F35-94F9-4829D9911A5C}"/>
    <hyperlink ref="AO158" r:id="rId19" xr:uid="{485BCD51-82EF-49E3-AEE3-23E495EF6835}"/>
    <hyperlink ref="AO159" r:id="rId20" xr:uid="{22DCE584-E969-4795-BBAD-FB5EF2A2B343}"/>
    <hyperlink ref="AD158" r:id="rId21" xr:uid="{D66634DF-3E97-4290-88B9-7C9DBA55E1FD}"/>
    <hyperlink ref="AD159" r:id="rId22" xr:uid="{E3F42C89-DEE6-435D-947A-247337B2D788}"/>
    <hyperlink ref="AD106" r:id="rId23" xr:uid="{FD9B0762-8D45-4756-AC7E-5CF4743E1CD3}"/>
    <hyperlink ref="AD107" r:id="rId24" xr:uid="{907F497A-B162-4A42-99C3-9901B525A165}"/>
    <hyperlink ref="AO106" r:id="rId25" xr:uid="{B0550172-069A-4415-91ED-A0AECAE9E089}"/>
    <hyperlink ref="AO107" r:id="rId26" xr:uid="{BFEB2F14-89EE-4B61-8469-C099A635BB59}"/>
    <hyperlink ref="S129" r:id="rId27" xr:uid="{914B64BE-8D81-4020-9E08-451C59BC3424}"/>
    <hyperlink ref="S130" r:id="rId28" xr:uid="{3CA12FF0-B13B-4CC6-9BDC-F0DFDD5A1060}"/>
    <hyperlink ref="C196" r:id="rId29" xr:uid="{A10E84DD-18DC-4516-93B7-3D3DF82A47DC}"/>
    <hyperlink ref="C197" r:id="rId30" xr:uid="{399A83B7-9778-4244-82FF-7900DE126D65}"/>
    <hyperlink ref="S196" r:id="rId31" xr:uid="{7905F858-405F-4BFC-8A05-2C50BADDBBFC}"/>
    <hyperlink ref="S197" r:id="rId32" xr:uid="{AEC75E94-1A26-4D0F-9BCC-802624FB86CA}"/>
    <hyperlink ref="AO196" r:id="rId33" xr:uid="{55D16459-8246-41CE-9E68-077EE339874F}"/>
    <hyperlink ref="AO197" r:id="rId34" xr:uid="{1AC6AE7A-ABAD-4CFD-A10E-02D8BF1D5536}"/>
    <hyperlink ref="S224" r:id="rId35" xr:uid="{C8DBF2CC-06BD-43EA-A13E-00B5618AB134}"/>
    <hyperlink ref="S225" r:id="rId36" xr:uid="{9FFF9EDB-BF78-40CD-843C-986299127493}"/>
    <hyperlink ref="AD224" r:id="rId37" xr:uid="{8655BDC6-8929-4691-BD6E-7CA2A8E1AE27}"/>
    <hyperlink ref="AD225" r:id="rId38" xr:uid="{A2F7005C-741D-47D6-AA76-039DB6FFAA07}"/>
    <hyperlink ref="AO224" r:id="rId39" xr:uid="{A7739257-AE56-4933-8CF3-8D7FEA6D9E30}"/>
    <hyperlink ref="AO225" r:id="rId40" xr:uid="{DFF3BC8E-4BB0-4CA1-96DD-FF0495F75F43}"/>
    <hyperlink ref="C236" r:id="rId41" xr:uid="{C7599B08-DFA4-4692-BDFC-D5F9DE0748DF}"/>
    <hyperlink ref="C237" r:id="rId42" xr:uid="{A8C04699-16F2-4AFE-A51C-E802480D8F8B}"/>
    <hyperlink ref="S263" r:id="rId43" xr:uid="{89280037-B837-4122-9FDB-FB99A18DD51E}"/>
    <hyperlink ref="S264" r:id="rId44" xr:uid="{CE0069FA-2DB2-41C4-8A14-28BF0107FC7B}"/>
    <hyperlink ref="AD263" r:id="rId45" xr:uid="{5DFFDFA4-8A27-4F3E-B123-6CF3E869BC90}"/>
    <hyperlink ref="AD264" r:id="rId46" xr:uid="{FC67A92B-9031-45A4-81A8-A52BF9B590E8}"/>
    <hyperlink ref="AO263" r:id="rId47" xr:uid="{C6F6118E-FD80-4E77-B1A4-4ACC524196CF}"/>
    <hyperlink ref="AO264" r:id="rId48" xr:uid="{2F025C71-A903-4E3C-AE3C-FA70FFFDAD3C}"/>
    <hyperlink ref="C271" r:id="rId49" xr:uid="{1F7BBBD2-F169-4764-AC0F-300F59D77313}"/>
    <hyperlink ref="C272" r:id="rId50" xr:uid="{74A793A0-8D10-4E22-AA57-A7831789AF11}"/>
    <hyperlink ref="AD298" r:id="rId51" xr:uid="{28BC14EB-B4D8-41DC-9747-00114F558914}"/>
    <hyperlink ref="AD299" r:id="rId52" xr:uid="{B0A74632-4CDE-441A-9250-3B911B7CDAF2}"/>
    <hyperlink ref="S298" r:id="rId53" xr:uid="{1BDC4E4C-0C85-4B99-98E9-3B2278EEA9BF}"/>
    <hyperlink ref="S299" r:id="rId54" xr:uid="{524A0EC0-8E14-4447-A0ED-96271F55D931}"/>
    <hyperlink ref="AO298" r:id="rId55" xr:uid="{0FC44C22-3625-4F71-84BB-F23203087C2A}"/>
    <hyperlink ref="AO299" r:id="rId56" xr:uid="{EBC9C6BB-AA40-4DA3-A0A1-145F865FF02A}"/>
    <hyperlink ref="C306" r:id="rId57" xr:uid="{D79D5374-5E0A-4BB3-A2C1-5E0B61C6C7E3}"/>
    <hyperlink ref="C307" r:id="rId58" xr:uid="{AF4F0FE2-3690-4599-ADB8-8EDC1C34C91B}"/>
    <hyperlink ref="K66" r:id="rId59" xr:uid="{BAA7C7DF-1CDF-48A2-828F-26A834ED532A}"/>
    <hyperlink ref="K67" r:id="rId60" xr:uid="{089DD357-0D73-48A0-A55F-F3DFD04272D8}"/>
    <hyperlink ref="C81" r:id="rId61" xr:uid="{95AB935A-60D9-4816-A73C-DC03BEFB5A3B}"/>
    <hyperlink ref="J81" r:id="rId62" xr:uid="{25B3EEBC-840F-4C65-A664-51DF648DD509}"/>
    <hyperlink ref="C17" r:id="rId63" xr:uid="{338E2652-05C1-42D7-B1E5-ABC5E16BA809}"/>
    <hyperlink ref="C19" r:id="rId64" xr:uid="{F695A8B8-69F2-4B4B-ABDF-D2D7BEF07734}"/>
    <hyperlink ref="H19" r:id="rId65" xr:uid="{FD78AE83-9918-4C70-9E26-BD5B729B3425}"/>
    <hyperlink ref="C21" r:id="rId66" xr:uid="{7D1B747F-BCAA-4C02-A6D9-56EDF7842FF7}"/>
    <hyperlink ref="H21" r:id="rId67" xr:uid="{674B759E-A458-460D-BF5D-E0400FFC1301}"/>
    <hyperlink ref="C23" r:id="rId68" xr:uid="{AF9AB0D7-854B-4D88-A719-D4F845397C96}"/>
    <hyperlink ref="L23" r:id="rId69" xr:uid="{9A96D47B-33E1-4354-976B-9A6DBE31CC3F}"/>
    <hyperlink ref="E426" r:id="rId70" xr:uid="{E3A2FF6F-5300-4F6E-8332-CEF5836DE6E1}"/>
    <hyperlink ref="E425" r:id="rId71" xr:uid="{3727E22A-67F6-40F5-9F4F-3550A84593C7}"/>
    <hyperlink ref="C430" r:id="rId72" xr:uid="{9EE87AB9-B7D2-4582-8498-B901A87CC16C}"/>
    <hyperlink ref="C431" r:id="rId73" xr:uid="{34F86D07-5236-46DD-BF04-30B115BF9A11}"/>
  </hyperlinks>
  <pageMargins left="0.7" right="0.7" top="0.75" bottom="0.75" header="0.3" footer="0.3"/>
  <pageSetup paperSize="9" orientation="portrait" r:id="rId74"/>
  <drawing r:id="rId7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26"/>
  <sheetViews>
    <sheetView workbookViewId="0">
      <selection activeCell="S21" sqref="S21"/>
    </sheetView>
  </sheetViews>
  <sheetFormatPr baseColWidth="10" defaultRowHeight="15.75"/>
  <cols>
    <col min="1" max="1" width="3" customWidth="1"/>
    <col min="2" max="2" width="7.875" customWidth="1"/>
  </cols>
  <sheetData>
    <row r="1" spans="2:17" ht="16.5" thickBot="1"/>
    <row r="2" spans="2:17" ht="15.75" customHeight="1">
      <c r="B2" s="1769"/>
      <c r="C2" s="6162" t="s">
        <v>1380</v>
      </c>
      <c r="D2" s="6162"/>
      <c r="E2" s="6162"/>
      <c r="F2" s="6162"/>
      <c r="G2" s="6162"/>
      <c r="H2" s="6162"/>
      <c r="I2" s="6162"/>
      <c r="J2" s="6162"/>
      <c r="K2" s="6162"/>
      <c r="L2" s="6162"/>
      <c r="M2" s="6162"/>
      <c r="N2" s="6162"/>
      <c r="O2" s="6162"/>
      <c r="P2" s="6162"/>
      <c r="Q2" s="6163"/>
    </row>
    <row r="3" spans="2:17" ht="32.25" customHeight="1" thickBot="1">
      <c r="B3" s="1768"/>
      <c r="C3" s="6164"/>
      <c r="D3" s="6164"/>
      <c r="E3" s="6164"/>
      <c r="F3" s="6164"/>
      <c r="G3" s="6164"/>
      <c r="H3" s="6164"/>
      <c r="I3" s="6164"/>
      <c r="J3" s="6164"/>
      <c r="K3" s="6164"/>
      <c r="L3" s="6164"/>
      <c r="M3" s="6164"/>
      <c r="N3" s="6164"/>
      <c r="O3" s="6164"/>
      <c r="P3" s="6164"/>
      <c r="Q3" s="6165"/>
    </row>
    <row r="4" spans="2:17">
      <c r="B4" s="634"/>
      <c r="C4" s="634"/>
      <c r="D4" s="634"/>
      <c r="E4" s="634"/>
      <c r="F4" s="634"/>
      <c r="G4" s="634"/>
      <c r="H4" s="634"/>
      <c r="I4" s="634"/>
      <c r="J4" s="634"/>
      <c r="K4" s="634"/>
      <c r="L4" s="634"/>
      <c r="M4" s="634"/>
      <c r="N4" s="634"/>
      <c r="O4" s="634"/>
      <c r="P4" s="634"/>
      <c r="Q4" s="634"/>
    </row>
    <row r="5" spans="2:17" ht="23.25">
      <c r="B5" s="1441" t="s">
        <v>365</v>
      </c>
      <c r="C5" s="6135" t="s">
        <v>1081</v>
      </c>
      <c r="D5" s="6135"/>
      <c r="E5" s="6135"/>
      <c r="F5" s="6135"/>
      <c r="G5" s="1442"/>
      <c r="H5" s="1442"/>
      <c r="I5" s="634"/>
      <c r="J5" s="634"/>
      <c r="K5" s="634"/>
      <c r="L5" s="634"/>
      <c r="M5" s="634"/>
      <c r="N5" s="634"/>
      <c r="O5" s="634"/>
      <c r="P5" s="634"/>
      <c r="Q5" s="634"/>
    </row>
    <row r="6" spans="2:17">
      <c r="B6" s="634"/>
      <c r="C6" s="634"/>
      <c r="D6" s="634"/>
      <c r="E6" s="634"/>
      <c r="F6" s="634"/>
      <c r="G6" s="634"/>
      <c r="H6" s="634"/>
      <c r="I6" s="634"/>
      <c r="J6" s="634"/>
      <c r="K6" s="634"/>
      <c r="L6" s="634"/>
      <c r="M6" s="634"/>
      <c r="N6" s="634"/>
      <c r="O6" s="634"/>
      <c r="P6" s="634"/>
      <c r="Q6" s="634"/>
    </row>
    <row r="7" spans="2:17" ht="23.25">
      <c r="B7" s="1441" t="s">
        <v>365</v>
      </c>
      <c r="C7" s="6135" t="s">
        <v>1379</v>
      </c>
      <c r="D7" s="6135"/>
      <c r="E7" s="6135"/>
      <c r="F7" s="6135"/>
      <c r="G7" s="634"/>
      <c r="H7" s="634"/>
      <c r="I7" s="634"/>
      <c r="J7" s="634"/>
      <c r="K7" s="634"/>
      <c r="L7" s="634"/>
      <c r="M7" s="634"/>
      <c r="N7" s="634"/>
      <c r="O7" s="634"/>
      <c r="P7" s="634"/>
      <c r="Q7" s="634"/>
    </row>
    <row r="8" spans="2:17">
      <c r="B8" s="634"/>
      <c r="C8" s="634"/>
      <c r="D8" s="634"/>
      <c r="E8" s="634"/>
      <c r="F8" s="634"/>
      <c r="G8" s="634"/>
      <c r="H8" s="634"/>
      <c r="I8" s="634"/>
      <c r="J8" s="634"/>
      <c r="K8" s="634"/>
      <c r="L8" s="634"/>
      <c r="M8" s="634"/>
      <c r="N8" s="634"/>
      <c r="O8" s="634"/>
      <c r="P8" s="634"/>
      <c r="Q8" s="634"/>
    </row>
    <row r="9" spans="2:17">
      <c r="C9" s="634" t="s">
        <v>1082</v>
      </c>
      <c r="D9" s="634"/>
      <c r="E9" s="634"/>
      <c r="F9" s="634"/>
      <c r="G9" s="634"/>
      <c r="H9" s="634"/>
      <c r="I9" s="634"/>
      <c r="J9" s="634"/>
      <c r="K9" s="634"/>
      <c r="L9" s="634"/>
      <c r="M9" s="634"/>
      <c r="N9" s="634"/>
      <c r="O9" s="634"/>
      <c r="P9" s="634"/>
      <c r="Q9" s="634"/>
    </row>
    <row r="10" spans="2:17">
      <c r="B10" s="634"/>
      <c r="C10" s="634"/>
      <c r="D10" s="634"/>
      <c r="E10" s="634"/>
      <c r="F10" s="634"/>
      <c r="G10" s="634"/>
      <c r="H10" s="634"/>
      <c r="I10" s="634"/>
      <c r="J10" s="634"/>
      <c r="K10" s="634"/>
      <c r="L10" s="634"/>
      <c r="M10" s="634"/>
      <c r="N10" s="634"/>
      <c r="O10" s="634"/>
      <c r="P10" s="634"/>
      <c r="Q10" s="634"/>
    </row>
    <row r="11" spans="2:17" ht="18">
      <c r="B11" s="634"/>
      <c r="C11" s="1443" t="s">
        <v>1083</v>
      </c>
      <c r="D11" s="634"/>
      <c r="E11" s="634"/>
      <c r="F11" s="634"/>
      <c r="G11" s="634"/>
      <c r="H11" s="634"/>
      <c r="I11" s="634"/>
      <c r="J11" s="634"/>
      <c r="K11" s="634"/>
      <c r="L11" s="634"/>
      <c r="M11" s="634"/>
      <c r="N11" s="634"/>
      <c r="O11" s="634"/>
      <c r="P11" s="634"/>
      <c r="Q11" s="634"/>
    </row>
    <row r="12" spans="2:17">
      <c r="B12" s="634"/>
      <c r="C12" s="1444"/>
      <c r="D12" s="634"/>
      <c r="E12" s="634"/>
      <c r="F12" s="634"/>
      <c r="G12" s="634"/>
      <c r="H12" s="634"/>
      <c r="I12" s="634"/>
      <c r="J12" s="634"/>
      <c r="K12" s="634"/>
      <c r="L12" s="634"/>
      <c r="M12" s="634"/>
      <c r="N12" s="634"/>
      <c r="O12" s="634"/>
      <c r="P12" s="634"/>
      <c r="Q12" s="634"/>
    </row>
    <row r="13" spans="2:17" ht="18">
      <c r="B13" s="634"/>
      <c r="C13" s="1443" t="s">
        <v>1084</v>
      </c>
      <c r="D13" s="634"/>
      <c r="E13" s="634"/>
      <c r="F13" s="634"/>
      <c r="G13" s="634"/>
      <c r="H13" s="634"/>
      <c r="I13" s="634"/>
      <c r="J13" s="634"/>
      <c r="K13" s="634"/>
      <c r="L13" s="634"/>
      <c r="M13" s="634"/>
      <c r="N13" s="634"/>
      <c r="O13" s="634"/>
      <c r="P13" s="634"/>
      <c r="Q13" s="634"/>
    </row>
    <row r="14" spans="2:17" ht="18">
      <c r="B14" s="634"/>
      <c r="C14" s="1443" t="s">
        <v>1085</v>
      </c>
      <c r="D14" s="634"/>
      <c r="E14" s="634"/>
      <c r="F14" s="634"/>
      <c r="G14" s="634"/>
      <c r="H14" s="634"/>
      <c r="I14" s="634"/>
      <c r="J14" s="634"/>
      <c r="K14" s="634"/>
      <c r="L14" s="634"/>
      <c r="M14" s="634"/>
      <c r="N14" s="634"/>
      <c r="O14" s="634"/>
      <c r="P14" s="634"/>
      <c r="Q14" s="634"/>
    </row>
    <row r="15" spans="2:17" ht="18">
      <c r="B15" s="634"/>
      <c r="C15" s="1443" t="s">
        <v>1086</v>
      </c>
      <c r="D15" s="634"/>
      <c r="E15" s="634"/>
      <c r="F15" s="634"/>
      <c r="G15" s="634"/>
      <c r="H15" s="634"/>
      <c r="I15" s="634"/>
      <c r="J15" s="634"/>
      <c r="K15" s="634"/>
      <c r="L15" s="634"/>
      <c r="M15" s="634"/>
      <c r="N15" s="634"/>
      <c r="O15" s="634"/>
      <c r="P15" s="634"/>
      <c r="Q15" s="634"/>
    </row>
    <row r="16" spans="2:17">
      <c r="B16" s="634"/>
      <c r="C16" s="634"/>
      <c r="D16" s="634"/>
      <c r="E16" s="634"/>
      <c r="F16" s="634"/>
      <c r="G16" s="634"/>
      <c r="H16" s="634"/>
      <c r="I16" s="634"/>
      <c r="J16" s="634"/>
      <c r="K16" s="634"/>
      <c r="L16" s="634"/>
      <c r="M16" s="634"/>
      <c r="N16" s="634"/>
      <c r="O16" s="634"/>
      <c r="P16" s="634"/>
      <c r="Q16" s="634"/>
    </row>
    <row r="17" spans="2:18">
      <c r="B17" s="634"/>
      <c r="C17" s="634"/>
      <c r="D17" s="634"/>
      <c r="E17" s="634"/>
      <c r="F17" s="634"/>
      <c r="G17" s="634"/>
      <c r="H17" s="634"/>
      <c r="I17" s="634"/>
      <c r="J17" s="634"/>
      <c r="K17" s="634"/>
      <c r="L17" s="634"/>
      <c r="M17" s="634"/>
      <c r="N17" s="634"/>
      <c r="O17" s="634"/>
      <c r="P17" s="634"/>
      <c r="Q17" s="634"/>
    </row>
    <row r="18" spans="2:18" ht="20.25" customHeight="1">
      <c r="B18" s="1767" t="s">
        <v>70</v>
      </c>
      <c r="C18" s="6181" t="s">
        <v>975</v>
      </c>
      <c r="D18" s="6181"/>
      <c r="E18" s="6181"/>
      <c r="F18" s="6181"/>
      <c r="G18" s="6181"/>
      <c r="H18" s="6181"/>
      <c r="I18" s="6181"/>
      <c r="J18" s="6181"/>
      <c r="K18" s="6181"/>
      <c r="L18" s="6181"/>
      <c r="M18" s="6181"/>
      <c r="N18" s="6181"/>
      <c r="O18" s="6181"/>
      <c r="P18" s="6181"/>
      <c r="Q18" s="6181"/>
      <c r="R18" s="1766"/>
    </row>
    <row r="19" spans="2:18" ht="15.75" customHeight="1">
      <c r="B19" s="1191"/>
      <c r="C19" s="6181"/>
      <c r="D19" s="6181"/>
      <c r="E19" s="6181"/>
      <c r="F19" s="6181"/>
      <c r="G19" s="6181"/>
      <c r="H19" s="6181"/>
      <c r="I19" s="6181"/>
      <c r="J19" s="6181"/>
      <c r="K19" s="6181"/>
      <c r="L19" s="6181"/>
      <c r="M19" s="6181"/>
      <c r="N19" s="6181"/>
      <c r="O19" s="6181"/>
      <c r="P19" s="6181"/>
      <c r="Q19" s="6181"/>
      <c r="R19" s="1766"/>
    </row>
    <row r="20" spans="2:18">
      <c r="B20" s="634"/>
      <c r="C20" s="634"/>
      <c r="D20" s="634"/>
      <c r="E20" s="634"/>
      <c r="F20" s="634"/>
      <c r="G20" s="634"/>
      <c r="H20" s="634"/>
      <c r="I20" s="634"/>
      <c r="J20" s="634"/>
      <c r="K20" s="634"/>
      <c r="L20" s="634"/>
      <c r="M20" s="634"/>
      <c r="N20" s="634"/>
      <c r="O20" s="634"/>
      <c r="P20" s="634"/>
      <c r="Q20" s="634"/>
    </row>
    <row r="21" spans="2:18" ht="18">
      <c r="B21" s="634"/>
      <c r="C21" s="1443" t="s">
        <v>1087</v>
      </c>
      <c r="D21" s="634"/>
      <c r="E21" s="634"/>
      <c r="F21" s="634"/>
      <c r="G21" s="634"/>
      <c r="H21" s="634"/>
      <c r="I21" s="634"/>
      <c r="J21" s="634"/>
      <c r="K21" s="634"/>
      <c r="L21" s="634"/>
      <c r="M21" s="634"/>
      <c r="N21" s="634"/>
      <c r="O21" s="634"/>
      <c r="P21" s="634"/>
      <c r="Q21" s="634"/>
    </row>
    <row r="22" spans="2:18">
      <c r="B22" s="1010" t="s">
        <v>2225</v>
      </c>
      <c r="C22" s="634"/>
      <c r="D22" s="634"/>
      <c r="E22" s="634"/>
      <c r="F22" s="634"/>
      <c r="G22" s="634"/>
      <c r="H22" s="634"/>
      <c r="I22" s="634"/>
      <c r="J22" s="634"/>
      <c r="K22" s="634"/>
      <c r="L22" s="634"/>
      <c r="M22" s="634"/>
      <c r="N22" s="634"/>
      <c r="O22" s="634"/>
      <c r="P22" s="634"/>
      <c r="Q22" s="634"/>
    </row>
    <row r="23" spans="2:18" ht="23.25">
      <c r="B23" s="1445">
        <f>B734</f>
        <v>734</v>
      </c>
      <c r="C23" s="1446" t="str">
        <f>C735</f>
        <v>Utilisation d'un tableur</v>
      </c>
      <c r="D23" s="1446"/>
      <c r="E23" s="1446"/>
      <c r="F23" s="1446"/>
      <c r="G23" s="1446"/>
      <c r="H23" s="1446"/>
      <c r="I23" s="1446"/>
      <c r="J23" s="1446"/>
      <c r="K23" s="1446"/>
      <c r="L23" s="1446"/>
      <c r="M23" s="1446"/>
      <c r="N23" s="1446"/>
      <c r="O23" s="1446"/>
      <c r="P23" s="1446"/>
      <c r="Q23" s="1446"/>
    </row>
    <row r="24" spans="2:18">
      <c r="B24" s="634"/>
      <c r="C24" s="634"/>
      <c r="D24" s="634"/>
      <c r="E24" s="634"/>
      <c r="F24" s="634"/>
      <c r="G24" s="634"/>
      <c r="H24" s="634"/>
      <c r="I24" s="634"/>
      <c r="J24" s="634"/>
      <c r="K24" s="634"/>
      <c r="L24" s="634"/>
      <c r="M24" s="634"/>
      <c r="N24" s="634"/>
      <c r="O24" s="634"/>
      <c r="P24" s="634"/>
      <c r="Q24" s="634"/>
    </row>
    <row r="25" spans="2:18" ht="23.25">
      <c r="B25" s="1445">
        <f>B759</f>
        <v>759</v>
      </c>
      <c r="C25" s="2291" t="str">
        <f>C759</f>
        <v>Production d'une pâte par plusieurs rafraîchis</v>
      </c>
      <c r="D25" s="1446"/>
      <c r="E25" s="1446"/>
      <c r="F25" s="1446"/>
      <c r="G25" s="1446"/>
      <c r="H25" s="1446"/>
      <c r="I25" s="1446"/>
      <c r="J25" s="1446"/>
      <c r="K25" s="1446"/>
      <c r="L25" s="1446"/>
      <c r="M25" s="1446"/>
      <c r="N25" s="1446"/>
      <c r="O25" s="1446"/>
      <c r="P25" s="1446"/>
      <c r="Q25" s="1446"/>
    </row>
    <row r="26" spans="2:18">
      <c r="B26" s="634"/>
      <c r="C26" s="634"/>
      <c r="D26" s="634"/>
      <c r="E26" s="634"/>
      <c r="F26" s="634"/>
      <c r="G26" s="634"/>
      <c r="H26" s="634"/>
      <c r="I26" s="634"/>
      <c r="J26" s="634"/>
      <c r="K26" s="634"/>
      <c r="L26" s="634"/>
      <c r="M26" s="634"/>
      <c r="N26" s="634"/>
      <c r="O26" s="634"/>
      <c r="P26" s="634"/>
      <c r="Q26" s="634"/>
    </row>
    <row r="27" spans="2:18" ht="23.25">
      <c r="B27" s="1445">
        <f>B792</f>
        <v>792</v>
      </c>
      <c r="C27" s="1446" t="str">
        <f>C792</f>
        <v>Poids du levain imposé</v>
      </c>
      <c r="D27" s="1446"/>
      <c r="E27" s="1446"/>
      <c r="F27" s="1446"/>
      <c r="G27" s="1446"/>
      <c r="H27" s="1446"/>
      <c r="I27" s="1446"/>
      <c r="J27" s="1446"/>
      <c r="K27" s="1446"/>
      <c r="L27" s="1446"/>
      <c r="M27" s="1446"/>
      <c r="N27" s="1446"/>
      <c r="O27" s="1446"/>
      <c r="P27" s="1446"/>
      <c r="Q27" s="1446"/>
    </row>
    <row r="28" spans="2:18">
      <c r="B28" s="634"/>
      <c r="C28" s="634"/>
      <c r="D28" s="634"/>
      <c r="E28" s="634"/>
      <c r="F28" s="634"/>
      <c r="G28" s="634"/>
      <c r="H28" s="634"/>
      <c r="I28" s="634"/>
      <c r="J28" s="634"/>
      <c r="K28" s="634"/>
      <c r="L28" s="634"/>
      <c r="M28" s="634"/>
      <c r="N28" s="634"/>
      <c r="O28" s="634"/>
      <c r="P28" s="634"/>
      <c r="Q28" s="634"/>
    </row>
    <row r="29" spans="2:18" ht="23.25">
      <c r="B29" s="1445">
        <f>B920</f>
        <v>920</v>
      </c>
      <c r="C29" s="1446" t="str">
        <f>C920</f>
        <v>Les formulaires en ligne</v>
      </c>
      <c r="D29" s="1446"/>
      <c r="E29" s="1446"/>
      <c r="F29" s="1446"/>
      <c r="G29" s="1446"/>
      <c r="H29" s="1446"/>
      <c r="I29" s="1446"/>
      <c r="J29" s="1446"/>
      <c r="K29" s="1446"/>
      <c r="L29" s="1446"/>
      <c r="M29" s="1446"/>
      <c r="N29" s="1446"/>
      <c r="O29" s="1446"/>
      <c r="P29" s="1446"/>
      <c r="Q29" s="1446"/>
    </row>
    <row r="30" spans="2:18">
      <c r="B30" s="634"/>
      <c r="C30" s="634"/>
      <c r="D30" s="634"/>
      <c r="E30" s="634"/>
      <c r="F30" s="634"/>
      <c r="G30" s="634"/>
      <c r="H30" s="634"/>
      <c r="I30" s="634"/>
      <c r="J30" s="634"/>
      <c r="K30" s="634"/>
      <c r="L30" s="634"/>
      <c r="M30" s="634"/>
      <c r="N30" s="634"/>
      <c r="O30" s="634"/>
      <c r="P30" s="634"/>
      <c r="Q30" s="634"/>
    </row>
    <row r="31" spans="2:18" ht="18">
      <c r="B31" s="634"/>
      <c r="C31" s="1447" t="s">
        <v>1088</v>
      </c>
      <c r="D31" s="634"/>
      <c r="E31" s="634"/>
      <c r="F31" s="634"/>
      <c r="G31" s="634"/>
      <c r="H31" s="634"/>
      <c r="I31" s="634"/>
      <c r="J31" s="634"/>
      <c r="K31" s="634"/>
      <c r="L31" s="634"/>
      <c r="M31" s="634"/>
      <c r="N31" s="634"/>
      <c r="O31" s="634"/>
      <c r="P31" s="634"/>
      <c r="Q31" s="634"/>
    </row>
    <row r="32" spans="2:18">
      <c r="B32" s="634"/>
      <c r="C32" s="634"/>
      <c r="D32" s="634"/>
      <c r="E32" s="634"/>
      <c r="F32" s="634"/>
      <c r="G32" s="634"/>
      <c r="H32" s="634"/>
      <c r="I32" s="634"/>
      <c r="J32" s="634"/>
      <c r="K32" s="634"/>
      <c r="L32" s="634"/>
      <c r="M32" s="634"/>
      <c r="N32" s="634"/>
      <c r="O32" s="634"/>
      <c r="P32" s="634"/>
      <c r="Q32" s="634"/>
    </row>
    <row r="33" spans="1:21" ht="23.25">
      <c r="B33" s="634"/>
      <c r="C33" s="1448" t="s">
        <v>1089</v>
      </c>
      <c r="D33" s="634"/>
      <c r="E33" s="634"/>
      <c r="F33" s="634"/>
      <c r="G33" s="634"/>
      <c r="H33" s="634"/>
      <c r="I33" s="634"/>
      <c r="J33" s="634"/>
      <c r="K33" s="634"/>
      <c r="L33" s="634"/>
      <c r="M33" s="634"/>
      <c r="N33" s="634"/>
      <c r="O33" s="634"/>
      <c r="P33" s="634"/>
      <c r="Q33" s="634"/>
    </row>
    <row r="34" spans="1:21">
      <c r="B34" s="634"/>
      <c r="C34" s="634"/>
      <c r="D34" s="634"/>
      <c r="E34" s="634"/>
      <c r="F34" s="634"/>
      <c r="G34" s="634"/>
      <c r="H34" s="634"/>
      <c r="I34" s="634"/>
      <c r="J34" s="634"/>
      <c r="K34" s="634"/>
      <c r="L34" s="634"/>
      <c r="M34" s="634"/>
      <c r="N34" s="634"/>
      <c r="O34" s="634"/>
      <c r="P34" s="634"/>
      <c r="Q34" s="634"/>
    </row>
    <row r="35" spans="1:21" ht="18">
      <c r="B35" s="634"/>
      <c r="C35" s="1443" t="s">
        <v>1090</v>
      </c>
      <c r="D35" s="634"/>
      <c r="E35" s="634"/>
      <c r="F35" s="634"/>
      <c r="G35" s="634"/>
      <c r="H35" s="634"/>
      <c r="I35" s="634"/>
      <c r="J35" s="634"/>
      <c r="K35" s="634"/>
      <c r="L35" s="634"/>
      <c r="M35" s="634"/>
      <c r="N35" s="634"/>
      <c r="O35" s="634"/>
      <c r="P35" s="634"/>
      <c r="Q35" s="634"/>
    </row>
    <row r="36" spans="1:21" ht="16.5" thickBot="1">
      <c r="B36" s="634"/>
      <c r="C36" s="634"/>
      <c r="D36" s="634"/>
      <c r="E36" s="634"/>
      <c r="F36" s="634"/>
      <c r="G36" s="634"/>
      <c r="H36" s="634"/>
      <c r="I36" s="634"/>
      <c r="J36" s="634"/>
      <c r="K36" s="634"/>
      <c r="L36" s="634"/>
      <c r="M36" s="634"/>
      <c r="N36" s="634"/>
      <c r="O36" s="634"/>
      <c r="P36" s="634"/>
      <c r="Q36" s="634"/>
    </row>
    <row r="37" spans="1:21" ht="21">
      <c r="A37" s="1192" t="s">
        <v>70</v>
      </c>
      <c r="B37" s="5892" t="s">
        <v>1365</v>
      </c>
      <c r="C37" s="5893"/>
      <c r="D37" s="5893"/>
      <c r="E37" s="5893"/>
      <c r="F37" s="5893"/>
      <c r="G37" s="5893"/>
      <c r="H37" s="5893"/>
      <c r="I37" s="5893"/>
      <c r="J37" s="5893"/>
      <c r="K37" s="5893"/>
      <c r="L37" s="5893"/>
      <c r="M37" s="5893"/>
      <c r="N37" s="5893"/>
      <c r="O37" s="5893"/>
      <c r="P37" s="5893"/>
      <c r="Q37" s="5893"/>
      <c r="R37" s="5893"/>
      <c r="S37" s="5893"/>
      <c r="T37" s="5893"/>
      <c r="U37" s="5894"/>
    </row>
    <row r="38" spans="1:21">
      <c r="A38" s="1730"/>
      <c r="B38" s="533" t="str">
        <f>ADDRESS(ROW(),COLUMN(),4)</f>
        <v>B38</v>
      </c>
      <c r="C38" s="903"/>
      <c r="D38" s="1012"/>
      <c r="E38" s="1012"/>
      <c r="F38" s="1012"/>
      <c r="G38" s="1012"/>
      <c r="H38" s="1012"/>
      <c r="I38" s="1012"/>
      <c r="J38" s="1012"/>
      <c r="K38" s="1012"/>
      <c r="L38" s="1012"/>
      <c r="M38" s="1012"/>
      <c r="N38" s="1012"/>
      <c r="O38" s="1012"/>
      <c r="P38" s="1012"/>
      <c r="Q38" s="1012"/>
      <c r="R38" s="1012"/>
      <c r="S38" s="1012"/>
      <c r="T38" s="1225" t="str">
        <f ca="1">MID(CELL("filename",B38),SEARCH("[",CELL("filename",B38))+1,SEARCH("]",CELL("filename",B38))-SEARCH("[",CELL("filename",B38))-1)</f>
        <v>ff-22-formats-formules-pourcentages.xlsx</v>
      </c>
      <c r="U38" s="1226">
        <v>1</v>
      </c>
    </row>
    <row r="39" spans="1:21" ht="15.75" customHeight="1">
      <c r="A39" s="4717" t="str">
        <f>B37</f>
        <v>Calculs d'hydratation :  TH - Taux  et   % H  - pourcentage</v>
      </c>
      <c r="B39" s="633"/>
      <c r="C39" s="634"/>
      <c r="D39" s="634"/>
      <c r="E39" s="634"/>
      <c r="F39" s="634"/>
      <c r="G39" s="634"/>
      <c r="H39" s="634"/>
      <c r="I39" s="634"/>
      <c r="J39" s="634"/>
      <c r="K39" s="634"/>
      <c r="L39" s="634"/>
      <c r="M39" s="634"/>
      <c r="N39" s="634"/>
      <c r="O39" s="634"/>
      <c r="P39" s="634"/>
      <c r="Q39" s="634"/>
      <c r="R39" s="634"/>
      <c r="S39" s="634"/>
      <c r="T39" s="634"/>
      <c r="U39" s="517"/>
    </row>
    <row r="40" spans="1:21" ht="18">
      <c r="A40" s="4717"/>
      <c r="B40" s="633"/>
      <c r="C40" s="1443" t="s">
        <v>1091</v>
      </c>
      <c r="D40" s="634"/>
      <c r="E40" s="634"/>
      <c r="F40" s="634"/>
      <c r="G40" s="634"/>
      <c r="H40" s="634"/>
      <c r="I40" s="634"/>
      <c r="J40" s="634"/>
      <c r="K40" s="1443"/>
      <c r="L40" s="634"/>
      <c r="M40" s="634"/>
      <c r="N40" s="634"/>
      <c r="O40" s="634"/>
      <c r="P40" s="634"/>
      <c r="Q40" s="634"/>
      <c r="R40" s="634"/>
      <c r="S40" s="634"/>
      <c r="T40" s="634"/>
      <c r="U40" s="517"/>
    </row>
    <row r="41" spans="1:21" ht="15.75" customHeight="1">
      <c r="A41" s="4717"/>
      <c r="B41" s="633"/>
      <c r="C41" s="1444"/>
      <c r="D41" s="634"/>
      <c r="E41" s="634"/>
      <c r="F41" s="634"/>
      <c r="G41" s="634"/>
      <c r="H41" s="634"/>
      <c r="I41" s="634"/>
      <c r="J41" s="634"/>
      <c r="K41" s="1422"/>
      <c r="L41" s="1422"/>
      <c r="M41" s="1422"/>
      <c r="N41" s="1422"/>
      <c r="O41" s="1422"/>
      <c r="P41" s="1422"/>
      <c r="Q41" s="1422"/>
      <c r="R41" s="1422"/>
      <c r="S41" s="1422"/>
      <c r="T41" s="1422"/>
      <c r="U41" s="1562"/>
    </row>
    <row r="42" spans="1:21">
      <c r="A42" s="4717"/>
      <c r="B42" s="633"/>
      <c r="C42" s="1422" t="s">
        <v>1314</v>
      </c>
      <c r="D42" s="634"/>
      <c r="E42" s="634"/>
      <c r="F42" s="634"/>
      <c r="G42" s="634"/>
      <c r="H42" s="634"/>
      <c r="I42" s="634"/>
      <c r="J42" s="634"/>
      <c r="K42" s="1422"/>
      <c r="L42" s="1422"/>
      <c r="M42" s="1422"/>
      <c r="N42" s="1422"/>
      <c r="O42" s="1422"/>
      <c r="P42" s="1422"/>
      <c r="Q42" s="1422"/>
      <c r="R42" s="1422"/>
      <c r="S42" s="1422"/>
      <c r="T42" s="1422"/>
      <c r="U42" s="1562"/>
    </row>
    <row r="43" spans="1:21">
      <c r="A43" s="4717"/>
      <c r="B43" s="633"/>
      <c r="C43" s="1422" t="s">
        <v>1315</v>
      </c>
      <c r="D43" s="634"/>
      <c r="E43" s="634"/>
      <c r="F43" s="634"/>
      <c r="G43" s="634"/>
      <c r="H43" s="634"/>
      <c r="I43" s="634"/>
      <c r="J43" s="634"/>
      <c r="K43" s="1422"/>
      <c r="L43" s="1422"/>
      <c r="M43" s="1422"/>
      <c r="N43" s="1422"/>
      <c r="O43" s="1422"/>
      <c r="P43" s="1422"/>
      <c r="Q43" s="1422"/>
      <c r="R43" s="1422"/>
      <c r="S43" s="1422"/>
      <c r="T43" s="1422"/>
      <c r="U43" s="1562"/>
    </row>
    <row r="44" spans="1:21">
      <c r="A44" s="4717"/>
      <c r="B44" s="633"/>
      <c r="C44" s="1422" t="s">
        <v>1333</v>
      </c>
      <c r="D44" s="634"/>
      <c r="E44" s="634"/>
      <c r="F44" s="634"/>
      <c r="G44" s="634"/>
      <c r="H44" s="634"/>
      <c r="I44" s="634"/>
      <c r="J44" s="634"/>
      <c r="K44" s="634"/>
      <c r="L44" s="634"/>
      <c r="M44" s="634"/>
      <c r="N44" s="634"/>
      <c r="O44" s="634"/>
      <c r="P44" s="634"/>
      <c r="Q44" s="634"/>
      <c r="R44" s="634"/>
      <c r="S44" s="634"/>
      <c r="T44" s="634"/>
      <c r="U44" s="517"/>
    </row>
    <row r="45" spans="1:21">
      <c r="A45" s="4717"/>
      <c r="B45" s="633"/>
      <c r="C45" s="1422" t="s">
        <v>1332</v>
      </c>
      <c r="D45" s="634"/>
      <c r="E45" s="634"/>
      <c r="F45" s="634"/>
      <c r="G45" s="634"/>
      <c r="H45" s="634"/>
      <c r="I45" s="634"/>
      <c r="J45" s="634"/>
      <c r="K45" s="634"/>
      <c r="L45" s="634"/>
      <c r="M45" s="634"/>
      <c r="N45" s="634"/>
      <c r="O45" s="634"/>
      <c r="P45" s="634"/>
      <c r="Q45" s="634"/>
      <c r="R45" s="634"/>
      <c r="S45" s="634"/>
      <c r="T45" s="634"/>
      <c r="U45" s="517"/>
    </row>
    <row r="46" spans="1:21" ht="15.75" customHeight="1">
      <c r="A46" s="4717"/>
      <c r="B46" s="633"/>
      <c r="C46" s="1364" t="s">
        <v>1390</v>
      </c>
      <c r="D46" s="1868"/>
      <c r="E46" s="1868"/>
      <c r="F46" s="1868"/>
      <c r="G46" s="1868"/>
      <c r="H46" s="1868"/>
      <c r="I46" s="1868"/>
      <c r="J46" s="634"/>
      <c r="K46" s="634"/>
      <c r="L46" s="634"/>
      <c r="M46" s="634"/>
      <c r="N46" s="634"/>
      <c r="O46" s="634"/>
      <c r="P46" s="634"/>
      <c r="Q46" s="634"/>
      <c r="R46" s="634"/>
      <c r="S46" s="634"/>
      <c r="T46" s="634"/>
      <c r="U46" s="517"/>
    </row>
    <row r="47" spans="1:21" ht="15.75" customHeight="1">
      <c r="A47" s="4717"/>
      <c r="B47" s="633"/>
      <c r="C47" s="1364"/>
      <c r="D47" s="1868"/>
      <c r="E47" s="1868"/>
      <c r="F47" s="1868"/>
      <c r="G47" s="1868"/>
      <c r="H47" s="1868"/>
      <c r="I47" s="1868"/>
      <c r="J47" s="634"/>
      <c r="K47" s="634"/>
      <c r="L47" s="634"/>
      <c r="M47" s="634"/>
      <c r="N47" s="634"/>
      <c r="O47" s="634"/>
      <c r="P47" s="634"/>
      <c r="Q47" s="634"/>
      <c r="R47" s="634"/>
      <c r="S47" s="634"/>
      <c r="T47" s="634"/>
      <c r="U47" s="517"/>
    </row>
    <row r="48" spans="1:21" ht="15.75" customHeight="1">
      <c r="A48" s="4717"/>
      <c r="B48" s="5162" t="s">
        <v>1391</v>
      </c>
      <c r="C48" s="5163"/>
      <c r="D48" s="5163"/>
      <c r="E48" s="5163"/>
      <c r="F48" s="5163"/>
      <c r="G48" s="5163"/>
      <c r="H48" s="5163"/>
      <c r="I48" s="5163"/>
      <c r="J48" s="634"/>
      <c r="K48" s="6133" t="s">
        <v>1389</v>
      </c>
      <c r="L48" s="6133"/>
      <c r="M48" s="6133"/>
      <c r="N48" s="6133"/>
      <c r="O48" s="6133"/>
      <c r="P48" s="6133"/>
      <c r="Q48" s="6133"/>
      <c r="R48" s="6133"/>
      <c r="S48" s="6133"/>
      <c r="T48" s="6133"/>
      <c r="U48" s="6134"/>
    </row>
    <row r="49" spans="1:21">
      <c r="A49" s="4717"/>
      <c r="B49" s="5162"/>
      <c r="C49" s="5163"/>
      <c r="D49" s="5163"/>
      <c r="E49" s="5163"/>
      <c r="F49" s="5163"/>
      <c r="G49" s="5163"/>
      <c r="H49" s="5163"/>
      <c r="I49" s="5163"/>
      <c r="J49" s="634"/>
      <c r="K49" s="6133"/>
      <c r="L49" s="6133"/>
      <c r="M49" s="6133"/>
      <c r="N49" s="6133"/>
      <c r="O49" s="6133"/>
      <c r="P49" s="6133"/>
      <c r="Q49" s="6133"/>
      <c r="R49" s="6133"/>
      <c r="S49" s="6133"/>
      <c r="T49" s="6133"/>
      <c r="U49" s="6134"/>
    </row>
    <row r="50" spans="1:21">
      <c r="A50" s="4717"/>
      <c r="B50" s="656"/>
      <c r="C50" s="1422"/>
      <c r="D50" s="1422"/>
      <c r="E50" s="1422"/>
      <c r="F50" s="1422"/>
      <c r="G50" s="1422"/>
      <c r="H50" s="1422"/>
      <c r="I50" s="1422"/>
      <c r="J50" s="634"/>
      <c r="K50" s="1869"/>
      <c r="L50" s="1869"/>
      <c r="M50" s="1869"/>
      <c r="N50" s="1869"/>
      <c r="O50" s="1869"/>
      <c r="P50" s="1869"/>
      <c r="Q50" s="1869"/>
      <c r="R50" s="1869"/>
      <c r="S50" s="1869"/>
      <c r="T50" s="1869"/>
      <c r="U50" s="1870"/>
    </row>
    <row r="51" spans="1:21">
      <c r="A51" s="4717"/>
      <c r="B51" s="633"/>
      <c r="C51" s="634"/>
      <c r="D51" s="634"/>
      <c r="E51" s="634"/>
      <c r="F51" s="634"/>
      <c r="G51" s="634"/>
      <c r="H51" s="634"/>
      <c r="I51" s="634"/>
      <c r="J51" s="634"/>
      <c r="K51" s="634"/>
      <c r="L51" s="634"/>
      <c r="M51" s="634"/>
      <c r="N51" s="634"/>
      <c r="O51" s="634"/>
      <c r="P51" s="634"/>
      <c r="Q51" s="1770"/>
      <c r="R51" s="1771"/>
      <c r="S51" s="1771"/>
      <c r="T51" s="1771"/>
      <c r="U51" s="1772"/>
    </row>
    <row r="52" spans="1:21" ht="21">
      <c r="A52" s="4717"/>
      <c r="B52" s="633"/>
      <c r="C52" s="1443" t="s">
        <v>1094</v>
      </c>
      <c r="D52" s="634"/>
      <c r="E52" s="634"/>
      <c r="F52" s="634"/>
      <c r="G52" s="634"/>
      <c r="H52" s="634"/>
      <c r="I52" s="634"/>
      <c r="J52" s="1765"/>
      <c r="K52" s="1443" t="s">
        <v>1378</v>
      </c>
      <c r="L52" s="634"/>
      <c r="M52" s="634"/>
      <c r="N52" s="634"/>
      <c r="O52" s="634"/>
      <c r="P52" s="634"/>
      <c r="Q52" s="6038" t="s">
        <v>1392</v>
      </c>
      <c r="R52" s="6039"/>
      <c r="S52" s="6039"/>
      <c r="T52" s="6039"/>
      <c r="U52" s="6040"/>
    </row>
    <row r="53" spans="1:21">
      <c r="A53" s="4717"/>
      <c r="B53" s="1682" t="s">
        <v>55</v>
      </c>
      <c r="C53" s="1761" t="s">
        <v>1377</v>
      </c>
      <c r="D53" s="1761"/>
      <c r="E53" s="1761"/>
      <c r="F53" s="1761"/>
      <c r="G53" s="1761"/>
      <c r="H53" s="1761"/>
      <c r="I53" s="1761"/>
      <c r="J53" s="1760" t="s">
        <v>55</v>
      </c>
      <c r="K53" s="1422" t="s">
        <v>1374</v>
      </c>
      <c r="L53" s="1761"/>
      <c r="M53" s="1761"/>
      <c r="N53" s="1761"/>
      <c r="O53" s="1761"/>
      <c r="P53" s="1761"/>
      <c r="Q53" s="1773"/>
      <c r="R53" s="1774"/>
      <c r="S53" s="1774"/>
      <c r="T53" s="1774"/>
      <c r="U53" s="1775"/>
    </row>
    <row r="54" spans="1:21">
      <c r="A54" s="4717"/>
      <c r="B54" s="1682" t="s">
        <v>44</v>
      </c>
      <c r="C54" s="1761" t="s">
        <v>1376</v>
      </c>
      <c r="D54" s="1761"/>
      <c r="E54" s="1761"/>
      <c r="F54" s="1761"/>
      <c r="G54" s="1761"/>
      <c r="H54" s="1761"/>
      <c r="I54" s="1761"/>
      <c r="J54" s="1760" t="s">
        <v>44</v>
      </c>
      <c r="K54" s="1422" t="s">
        <v>1371</v>
      </c>
      <c r="L54" s="1761"/>
      <c r="M54" s="1761"/>
      <c r="N54" s="1761"/>
      <c r="O54" s="1761"/>
      <c r="P54" s="1761"/>
      <c r="Q54" s="634"/>
      <c r="R54" s="634"/>
      <c r="S54" s="634"/>
      <c r="T54" s="634"/>
      <c r="U54" s="517"/>
    </row>
    <row r="55" spans="1:21" ht="15.75" customHeight="1">
      <c r="A55" s="4717"/>
      <c r="B55" s="1682" t="s">
        <v>46</v>
      </c>
      <c r="C55" s="1761" t="s">
        <v>1375</v>
      </c>
      <c r="D55" s="1761"/>
      <c r="E55" s="1761"/>
      <c r="F55" s="1761"/>
      <c r="G55" s="1761"/>
      <c r="H55" s="1761"/>
      <c r="I55" s="1761"/>
      <c r="J55" s="1760" t="s">
        <v>46</v>
      </c>
      <c r="K55" s="1422" t="s">
        <v>1368</v>
      </c>
      <c r="L55" s="1761"/>
      <c r="M55" s="1761"/>
      <c r="N55" s="1761"/>
      <c r="O55" s="1761"/>
      <c r="P55" s="1761"/>
      <c r="Q55" s="634"/>
      <c r="R55" s="634"/>
      <c r="S55" s="634"/>
      <c r="T55" s="634"/>
      <c r="U55" s="517"/>
    </row>
    <row r="56" spans="1:21" ht="15.75" customHeight="1">
      <c r="A56" s="4717"/>
      <c r="B56" s="1351"/>
      <c r="C56" s="1762"/>
      <c r="D56" s="1762"/>
      <c r="E56" s="1762"/>
      <c r="F56" s="1762"/>
      <c r="G56" s="1762"/>
      <c r="H56" s="1762"/>
      <c r="I56" s="1764"/>
      <c r="J56" s="1763"/>
      <c r="K56" s="1762"/>
      <c r="L56" s="1762"/>
      <c r="M56" s="1762"/>
      <c r="N56" s="1762"/>
      <c r="O56" s="1762"/>
      <c r="P56" s="1762"/>
      <c r="Q56" s="1012"/>
      <c r="R56" s="1012"/>
      <c r="S56" s="1012"/>
      <c r="T56" s="1012"/>
      <c r="U56" s="517"/>
    </row>
    <row r="57" spans="1:21" ht="15.75" customHeight="1">
      <c r="A57" s="4717"/>
      <c r="B57" s="633"/>
      <c r="C57" s="1761"/>
      <c r="D57" s="1761"/>
      <c r="E57" s="1761"/>
      <c r="F57" s="1761"/>
      <c r="G57" s="1761"/>
      <c r="H57" s="1761"/>
      <c r="I57" s="1761"/>
      <c r="J57" s="1745"/>
      <c r="K57" s="1761"/>
      <c r="L57" s="1761"/>
      <c r="M57" s="1761"/>
      <c r="N57" s="1761"/>
      <c r="O57" s="1761"/>
      <c r="P57" s="1761"/>
      <c r="Q57" s="634"/>
      <c r="R57" s="634"/>
      <c r="S57" s="634"/>
      <c r="T57" s="634"/>
      <c r="U57" s="517"/>
    </row>
    <row r="58" spans="1:21" ht="15.75" customHeight="1">
      <c r="A58" s="4717"/>
      <c r="B58" s="633"/>
      <c r="C58" s="634"/>
      <c r="D58" s="634"/>
      <c r="E58" s="634"/>
      <c r="F58" s="634"/>
      <c r="G58" s="634"/>
      <c r="H58" s="634"/>
      <c r="I58" s="634"/>
      <c r="J58" s="1760" t="s">
        <v>55</v>
      </c>
      <c r="K58" s="688" t="s">
        <v>1374</v>
      </c>
      <c r="L58" s="634"/>
      <c r="M58" s="634"/>
      <c r="N58" s="634"/>
      <c r="O58" s="634"/>
      <c r="P58" s="634"/>
      <c r="Q58" s="634"/>
      <c r="R58" s="634"/>
      <c r="S58" s="634"/>
      <c r="T58" s="634"/>
      <c r="U58" s="517"/>
    </row>
    <row r="59" spans="1:21" ht="15.75" customHeight="1">
      <c r="A59" s="4717"/>
      <c r="B59" s="1682" t="s">
        <v>55</v>
      </c>
      <c r="C59" s="688" t="s">
        <v>1095</v>
      </c>
      <c r="D59" s="634"/>
      <c r="E59" s="634"/>
      <c r="F59" s="634"/>
      <c r="G59" s="1422" t="s">
        <v>1332</v>
      </c>
      <c r="H59" s="634"/>
      <c r="I59" s="634"/>
      <c r="J59" s="1760"/>
      <c r="K59" s="688"/>
      <c r="L59" s="634"/>
      <c r="N59" s="634"/>
      <c r="O59" s="634" t="s">
        <v>1315</v>
      </c>
      <c r="P59" s="634"/>
      <c r="R59" s="634"/>
      <c r="S59" s="634"/>
      <c r="T59" s="1320" t="s">
        <v>1373</v>
      </c>
      <c r="U59" s="517"/>
    </row>
    <row r="60" spans="1:21" ht="15.75" customHeight="1" thickBot="1">
      <c r="A60" s="4717"/>
      <c r="B60" s="633"/>
      <c r="C60" s="580" t="s">
        <v>1315</v>
      </c>
      <c r="D60" s="634"/>
      <c r="E60" s="1677">
        <v>10</v>
      </c>
      <c r="F60" s="6082" t="s">
        <v>997</v>
      </c>
      <c r="G60" s="6180">
        <f>E60/E61</f>
        <v>0.2</v>
      </c>
      <c r="H60" s="1675"/>
      <c r="I60" s="634"/>
      <c r="J60" s="1745"/>
      <c r="K60" s="580" t="s">
        <v>1315</v>
      </c>
      <c r="L60" s="580"/>
      <c r="M60" s="1750" t="s">
        <v>1367</v>
      </c>
      <c r="N60" s="634"/>
      <c r="O60" s="1677">
        <v>10</v>
      </c>
      <c r="P60" s="1263" t="s">
        <v>603</v>
      </c>
      <c r="Q60" s="1512">
        <v>100</v>
      </c>
      <c r="R60" s="1749"/>
      <c r="S60" s="6082" t="s">
        <v>997</v>
      </c>
      <c r="T60" s="6126">
        <f>(O60/O61)*Q60</f>
        <v>20</v>
      </c>
      <c r="U60" s="517"/>
    </row>
    <row r="61" spans="1:21" ht="15.75" customHeight="1">
      <c r="A61" s="4717"/>
      <c r="B61" s="633"/>
      <c r="C61" s="634" t="s">
        <v>1314</v>
      </c>
      <c r="D61" s="634"/>
      <c r="E61" s="1737">
        <v>50</v>
      </c>
      <c r="F61" s="6082"/>
      <c r="G61" s="6180"/>
      <c r="H61" s="634"/>
      <c r="I61" s="634"/>
      <c r="J61" s="1745"/>
      <c r="K61" s="6179" t="s">
        <v>1372</v>
      </c>
      <c r="L61" s="6179"/>
      <c r="M61" s="6179"/>
      <c r="N61" s="634"/>
      <c r="O61" s="6128">
        <v>50</v>
      </c>
      <c r="P61" s="6128"/>
      <c r="Q61" s="6128"/>
      <c r="R61" s="634"/>
      <c r="S61" s="6082"/>
      <c r="T61" s="6126"/>
      <c r="U61" s="517"/>
    </row>
    <row r="62" spans="1:21" ht="15.75" customHeight="1">
      <c r="A62" s="4717"/>
      <c r="B62" s="633"/>
      <c r="C62" s="634"/>
      <c r="D62" s="634"/>
      <c r="E62" s="1752"/>
      <c r="F62" s="1630"/>
      <c r="G62" s="1675" t="str">
        <f ca="1">_xlfn.FORMULATEXT(G60)</f>
        <v>=E60/E61</v>
      </c>
      <c r="H62" s="634"/>
      <c r="I62" s="634"/>
      <c r="J62" s="1745"/>
      <c r="K62" s="634"/>
      <c r="L62" s="634"/>
      <c r="N62" s="634"/>
      <c r="O62" s="5857" t="s">
        <v>1372</v>
      </c>
      <c r="P62" s="5857"/>
      <c r="Q62" s="5857"/>
      <c r="R62" s="634"/>
      <c r="S62" s="634"/>
      <c r="T62" s="1736" t="str">
        <f ca="1">_xlfn.FORMULATEXT(T60)</f>
        <v>=(O60/O61)*Q60</v>
      </c>
      <c r="U62" s="517"/>
    </row>
    <row r="63" spans="1:21" ht="15.75" customHeight="1">
      <c r="A63" s="4717"/>
      <c r="B63" s="633"/>
      <c r="C63" s="1759"/>
      <c r="D63" s="1012"/>
      <c r="E63" s="1012"/>
      <c r="F63" s="1012"/>
      <c r="G63" s="1732"/>
      <c r="H63" s="1012"/>
      <c r="I63" s="634"/>
      <c r="J63" s="1745"/>
      <c r="K63" s="1759"/>
      <c r="L63" s="1012"/>
      <c r="M63" s="1012"/>
      <c r="N63" s="1012"/>
      <c r="O63" s="1012"/>
      <c r="P63" s="1012"/>
      <c r="Q63" s="1012"/>
      <c r="R63" s="1012"/>
      <c r="S63" s="1012"/>
      <c r="T63" s="1012"/>
      <c r="U63" s="517"/>
    </row>
    <row r="64" spans="1:21" ht="15.75" customHeight="1">
      <c r="A64" s="4717"/>
      <c r="B64" s="633"/>
      <c r="C64" s="688"/>
      <c r="D64" s="634"/>
      <c r="E64" s="634"/>
      <c r="F64" s="634"/>
      <c r="G64" s="1675"/>
      <c r="H64" s="634"/>
      <c r="I64" s="634"/>
      <c r="J64" s="1745"/>
      <c r="K64" s="688"/>
      <c r="L64" s="634"/>
      <c r="M64" s="634"/>
      <c r="N64" s="634"/>
      <c r="O64" s="634"/>
      <c r="P64" s="634"/>
      <c r="Q64" s="634"/>
      <c r="R64" s="634"/>
      <c r="S64" s="634"/>
      <c r="T64" s="634"/>
      <c r="U64" s="517"/>
    </row>
    <row r="65" spans="1:21" ht="15.75" customHeight="1">
      <c r="A65" s="4717"/>
      <c r="B65" s="1682" t="s">
        <v>44</v>
      </c>
      <c r="C65" s="688" t="s">
        <v>1096</v>
      </c>
      <c r="D65" s="634"/>
      <c r="E65" s="634"/>
      <c r="F65" s="634"/>
      <c r="G65" s="634"/>
      <c r="H65" s="634"/>
      <c r="I65" s="634"/>
      <c r="J65" s="1753" t="s">
        <v>44</v>
      </c>
      <c r="K65" s="688" t="s">
        <v>1371</v>
      </c>
      <c r="L65" s="634"/>
      <c r="M65" s="634"/>
      <c r="N65" s="634"/>
      <c r="O65" s="634"/>
      <c r="P65" s="634"/>
      <c r="Q65" s="634"/>
      <c r="R65" s="634"/>
      <c r="S65" s="634"/>
      <c r="T65" s="634"/>
      <c r="U65" s="517"/>
    </row>
    <row r="66" spans="1:21" ht="15.75" customHeight="1">
      <c r="A66" s="4717"/>
      <c r="B66" s="633"/>
      <c r="C66" s="1362" t="s">
        <v>1314</v>
      </c>
      <c r="D66" s="634"/>
      <c r="E66" s="1362" t="s">
        <v>1332</v>
      </c>
      <c r="F66" s="634"/>
      <c r="G66" s="1444" t="s">
        <v>1315</v>
      </c>
      <c r="H66" s="634"/>
      <c r="I66" s="634"/>
      <c r="J66" s="1745"/>
      <c r="L66" s="634"/>
      <c r="N66" s="634"/>
      <c r="O66" s="1362" t="s">
        <v>1314</v>
      </c>
      <c r="P66" s="634"/>
      <c r="Q66" s="1362"/>
      <c r="R66" s="634"/>
      <c r="S66" s="1444" t="s">
        <v>1315</v>
      </c>
      <c r="T66" s="634"/>
      <c r="U66" s="517"/>
    </row>
    <row r="67" spans="1:21" ht="15.75" customHeight="1" thickBot="1">
      <c r="A67" s="4717"/>
      <c r="B67" s="633"/>
      <c r="C67" s="1633">
        <v>50</v>
      </c>
      <c r="D67" s="1270" t="s">
        <v>603</v>
      </c>
      <c r="E67" s="1748">
        <v>0.2</v>
      </c>
      <c r="F67" s="1630" t="s">
        <v>997</v>
      </c>
      <c r="G67" s="1636">
        <f>C67*E67</f>
        <v>10</v>
      </c>
      <c r="I67" s="634"/>
      <c r="J67" s="1745"/>
      <c r="K67" s="1758" t="s">
        <v>1370</v>
      </c>
      <c r="L67" s="780"/>
      <c r="M67" s="1750"/>
      <c r="N67" s="1270"/>
      <c r="O67" s="1728">
        <v>50</v>
      </c>
      <c r="P67" s="1263" t="s">
        <v>603</v>
      </c>
      <c r="Q67" s="1757">
        <v>20</v>
      </c>
      <c r="R67" s="1749"/>
      <c r="S67" s="6082" t="s">
        <v>997</v>
      </c>
      <c r="T67" s="6127">
        <f>(O67/O68)*Q67</f>
        <v>10</v>
      </c>
      <c r="U67" s="517"/>
    </row>
    <row r="68" spans="1:21" ht="15.75" customHeight="1">
      <c r="A68" s="4717"/>
      <c r="B68" s="633"/>
      <c r="C68" s="1752"/>
      <c r="D68" s="1270"/>
      <c r="E68" s="1747"/>
      <c r="F68" s="1630"/>
      <c r="G68" s="1675" t="str">
        <f ca="1">_xlfn.FORMULATEXT(G67)</f>
        <v>=C67*E67</v>
      </c>
      <c r="H68" s="634"/>
      <c r="I68" s="634"/>
      <c r="J68" s="1745"/>
      <c r="K68" s="6178" t="s">
        <v>1369</v>
      </c>
      <c r="L68" s="6178"/>
      <c r="M68" s="6178"/>
      <c r="N68" s="634"/>
      <c r="O68" s="5975">
        <v>100</v>
      </c>
      <c r="P68" s="5975"/>
      <c r="Q68" s="5975"/>
      <c r="R68" s="634"/>
      <c r="S68" s="6082"/>
      <c r="T68" s="6127"/>
      <c r="U68" s="517"/>
    </row>
    <row r="69" spans="1:21" ht="15.75" customHeight="1">
      <c r="A69" s="4717"/>
      <c r="B69" s="633"/>
      <c r="C69" s="1449"/>
      <c r="D69" s="634"/>
      <c r="E69" s="634"/>
      <c r="F69" s="634"/>
      <c r="G69" s="634"/>
      <c r="H69" s="634"/>
      <c r="I69" s="634"/>
      <c r="J69" s="1745"/>
      <c r="K69" s="1449"/>
      <c r="L69" s="634"/>
      <c r="M69" s="634"/>
      <c r="N69" s="634"/>
      <c r="O69" s="5857" t="s">
        <v>1369</v>
      </c>
      <c r="P69" s="5857"/>
      <c r="Q69" s="5857"/>
      <c r="R69" s="634"/>
      <c r="S69" s="634"/>
      <c r="T69" s="1736" t="str">
        <f ca="1">_xlfn.FORMULATEXT(T67)</f>
        <v>=(O67/O68)*Q67</v>
      </c>
      <c r="U69" s="517"/>
    </row>
    <row r="70" spans="1:21" ht="15.75" customHeight="1">
      <c r="A70" s="4717"/>
      <c r="B70" s="633"/>
      <c r="C70" s="1756"/>
      <c r="D70" s="1012"/>
      <c r="E70" s="1012"/>
      <c r="F70" s="1012"/>
      <c r="G70" s="1012"/>
      <c r="H70" s="1012"/>
      <c r="I70" s="634"/>
      <c r="J70" s="1745"/>
      <c r="K70" s="1756"/>
      <c r="L70" s="1012"/>
      <c r="M70" s="1012"/>
      <c r="N70" s="1012"/>
      <c r="O70" s="1755"/>
      <c r="P70" s="1755"/>
      <c r="Q70" s="1755"/>
      <c r="R70" s="1012"/>
      <c r="S70" s="1012"/>
      <c r="T70" s="1754"/>
      <c r="U70" s="517"/>
    </row>
    <row r="71" spans="1:21" ht="15.75" customHeight="1">
      <c r="A71" s="4717"/>
      <c r="B71" s="633"/>
      <c r="C71" s="1449"/>
      <c r="D71" s="634"/>
      <c r="E71" s="634"/>
      <c r="F71" s="634"/>
      <c r="G71" s="634"/>
      <c r="H71" s="634"/>
      <c r="I71" s="634"/>
      <c r="J71" s="1745"/>
      <c r="K71" s="1449"/>
      <c r="L71" s="634"/>
      <c r="M71" s="634"/>
      <c r="N71" s="634"/>
      <c r="O71" s="634"/>
      <c r="P71" s="634"/>
      <c r="Q71" s="634"/>
      <c r="R71" s="634"/>
      <c r="S71" s="634"/>
      <c r="T71" s="634"/>
      <c r="U71" s="517"/>
    </row>
    <row r="72" spans="1:21" ht="15.75" customHeight="1">
      <c r="A72" s="4717"/>
      <c r="B72" s="1682" t="s">
        <v>46</v>
      </c>
      <c r="C72" s="688" t="s">
        <v>1097</v>
      </c>
      <c r="D72" s="634"/>
      <c r="E72" s="1422"/>
      <c r="F72" s="1752"/>
      <c r="G72" s="1422" t="s">
        <v>1314</v>
      </c>
      <c r="H72" s="1407"/>
      <c r="I72" s="634"/>
      <c r="J72" s="1753" t="s">
        <v>46</v>
      </c>
      <c r="K72" s="688" t="s">
        <v>1368</v>
      </c>
      <c r="L72" s="634"/>
      <c r="M72" s="1422"/>
      <c r="N72" s="634"/>
      <c r="O72" s="634" t="s">
        <v>1315</v>
      </c>
      <c r="P72" s="1407"/>
      <c r="Q72" s="1752"/>
      <c r="S72" s="634"/>
      <c r="T72" s="1320" t="s">
        <v>1314</v>
      </c>
      <c r="U72" s="517"/>
    </row>
    <row r="73" spans="1:21" ht="15.75" customHeight="1" thickBot="1">
      <c r="A73" s="4717"/>
      <c r="B73" s="633"/>
      <c r="C73" s="1751" t="s">
        <v>1315</v>
      </c>
      <c r="D73" s="634"/>
      <c r="E73" s="1677">
        <v>10</v>
      </c>
      <c r="F73" s="6082" t="s">
        <v>997</v>
      </c>
      <c r="G73" s="6127">
        <f>E73/E74</f>
        <v>50</v>
      </c>
      <c r="H73" s="1407"/>
      <c r="I73" s="634"/>
      <c r="J73" s="1745"/>
      <c r="K73" s="1751" t="s">
        <v>1315</v>
      </c>
      <c r="L73" s="580"/>
      <c r="M73" s="1750" t="s">
        <v>1367</v>
      </c>
      <c r="N73" s="634"/>
      <c r="O73" s="1677">
        <v>10</v>
      </c>
      <c r="P73" s="1263" t="s">
        <v>603</v>
      </c>
      <c r="Q73" s="1512">
        <v>100</v>
      </c>
      <c r="R73" s="1749"/>
      <c r="S73" s="6082" t="s">
        <v>997</v>
      </c>
      <c r="T73" s="6127">
        <f>(O73/O74)*Q73</f>
        <v>50</v>
      </c>
      <c r="U73" s="517"/>
    </row>
    <row r="74" spans="1:21" ht="15.75" customHeight="1">
      <c r="A74" s="4717"/>
      <c r="B74" s="633"/>
      <c r="C74" s="1422" t="s">
        <v>1332</v>
      </c>
      <c r="D74" s="634"/>
      <c r="E74" s="1748">
        <v>0.2</v>
      </c>
      <c r="F74" s="6082"/>
      <c r="G74" s="6127"/>
      <c r="H74" s="1407"/>
      <c r="I74" s="634"/>
      <c r="J74" s="1745"/>
      <c r="K74" s="6132" t="s">
        <v>1366</v>
      </c>
      <c r="L74" s="6132"/>
      <c r="M74" s="6132"/>
      <c r="N74" s="634"/>
      <c r="O74" s="6125">
        <v>20</v>
      </c>
      <c r="P74" s="6125"/>
      <c r="Q74" s="6125"/>
      <c r="S74" s="6082"/>
      <c r="T74" s="6127"/>
      <c r="U74" s="517"/>
    </row>
    <row r="75" spans="1:21" ht="15.75" customHeight="1">
      <c r="A75" s="4717"/>
      <c r="B75" s="633"/>
      <c r="C75" s="1422"/>
      <c r="D75" s="634"/>
      <c r="E75" s="1747"/>
      <c r="F75" s="1630"/>
      <c r="G75" s="1675" t="str">
        <f ca="1">_xlfn.FORMULATEXT(G73)</f>
        <v>=E73/E74</v>
      </c>
      <c r="H75" s="1407"/>
      <c r="I75" s="634"/>
      <c r="J75" s="1745"/>
      <c r="K75" s="1422"/>
      <c r="L75" s="634"/>
      <c r="M75" s="1747"/>
      <c r="N75" s="634"/>
      <c r="O75" s="5857" t="s">
        <v>1366</v>
      </c>
      <c r="P75" s="5857"/>
      <c r="Q75" s="5857"/>
      <c r="R75" s="1746"/>
      <c r="S75" s="634"/>
      <c r="T75" s="1736" t="str">
        <f ca="1">_xlfn.FORMULATEXT(T73)</f>
        <v>=(O73/O74)*Q73</v>
      </c>
      <c r="U75" s="517"/>
    </row>
    <row r="76" spans="1:21" ht="15.75" customHeight="1">
      <c r="A76" s="4717"/>
      <c r="B76" s="633"/>
      <c r="C76" s="1449"/>
      <c r="D76" s="634"/>
      <c r="E76" s="634"/>
      <c r="F76" s="634"/>
      <c r="G76" s="634"/>
      <c r="H76" s="634"/>
      <c r="I76" s="634"/>
      <c r="J76" s="1745"/>
      <c r="K76" s="1449"/>
      <c r="L76" s="634"/>
      <c r="M76" s="634"/>
      <c r="N76" s="634"/>
      <c r="P76" s="634"/>
      <c r="Q76" s="634"/>
      <c r="R76" s="634"/>
      <c r="S76" s="634"/>
      <c r="T76" s="634"/>
      <c r="U76" s="517"/>
    </row>
    <row r="77" spans="1:21" ht="15.75" customHeight="1">
      <c r="A77" s="4717"/>
      <c r="B77" s="6129" t="s">
        <v>998</v>
      </c>
      <c r="C77" s="6130"/>
      <c r="D77" s="6130"/>
      <c r="E77" s="6130"/>
      <c r="F77" s="6130"/>
      <c r="G77" s="6130"/>
      <c r="H77" s="6130"/>
      <c r="I77" s="6130"/>
      <c r="J77" s="6130"/>
      <c r="K77" s="6130"/>
      <c r="L77" s="6130"/>
      <c r="M77" s="6130"/>
      <c r="N77" s="6130"/>
      <c r="O77" s="6130"/>
      <c r="P77" s="6130"/>
      <c r="Q77" s="6130"/>
      <c r="R77" s="6130"/>
      <c r="S77" s="6130"/>
      <c r="T77" s="6130"/>
      <c r="U77" s="6131"/>
    </row>
    <row r="78" spans="1:21" ht="15.75" customHeight="1">
      <c r="A78" s="4717"/>
      <c r="B78" s="1580" t="s">
        <v>1324</v>
      </c>
      <c r="C78" s="1267"/>
      <c r="D78" s="1267"/>
      <c r="E78" s="1267"/>
      <c r="F78" s="1267"/>
      <c r="G78" s="1267"/>
      <c r="H78" s="634"/>
      <c r="I78" s="634"/>
      <c r="J78" s="634"/>
      <c r="K78" s="634"/>
      <c r="L78" s="634"/>
      <c r="M78" s="634"/>
      <c r="N78" s="634"/>
      <c r="O78" s="634"/>
      <c r="P78" s="634"/>
      <c r="Q78" s="634"/>
      <c r="R78" s="634"/>
      <c r="S78" s="634"/>
      <c r="T78" s="634"/>
      <c r="U78" s="517"/>
    </row>
    <row r="79" spans="1:21" ht="15.75" customHeight="1">
      <c r="A79" s="4717"/>
      <c r="B79" s="1580" t="s">
        <v>1323</v>
      </c>
      <c r="C79" s="1267"/>
      <c r="D79" s="1267"/>
      <c r="E79" s="1267"/>
      <c r="F79" s="1267"/>
      <c r="G79" s="1267"/>
      <c r="H79" s="634"/>
      <c r="I79" s="634"/>
      <c r="J79" s="634"/>
      <c r="K79" s="634"/>
      <c r="L79" s="634"/>
      <c r="M79" s="634"/>
      <c r="N79" s="634"/>
      <c r="O79" s="634"/>
      <c r="P79" s="634"/>
      <c r="Q79" s="634"/>
      <c r="R79" s="634"/>
      <c r="S79" s="634"/>
      <c r="T79" s="634"/>
      <c r="U79" s="517"/>
    </row>
    <row r="80" spans="1:21" ht="15.75" customHeight="1">
      <c r="A80" s="4717"/>
      <c r="B80" s="1577" t="s">
        <v>1263</v>
      </c>
      <c r="C80" s="1576"/>
      <c r="D80" s="1576"/>
      <c r="E80" s="1576"/>
      <c r="F80" s="1576"/>
      <c r="G80" s="1576"/>
      <c r="H80" s="1012"/>
      <c r="I80" s="1012"/>
      <c r="J80" s="1012"/>
      <c r="K80" s="1012"/>
      <c r="L80" s="1012"/>
      <c r="M80" s="1012"/>
      <c r="N80" s="1012"/>
      <c r="O80" s="1012"/>
      <c r="P80" s="1012"/>
      <c r="Q80" s="1012"/>
      <c r="R80" s="1012"/>
      <c r="S80" s="1012"/>
      <c r="T80" s="1012"/>
      <c r="U80" s="1194"/>
    </row>
    <row r="81" spans="1:21" ht="15.75" customHeight="1">
      <c r="A81" s="4717"/>
      <c r="B81" s="1280" t="s">
        <v>1186</v>
      </c>
      <c r="C81" s="634"/>
      <c r="D81" s="634"/>
      <c r="E81" s="634"/>
      <c r="F81" s="634"/>
      <c r="G81" s="680"/>
      <c r="H81" s="634"/>
      <c r="I81" s="634"/>
      <c r="J81" s="634"/>
      <c r="K81" s="634"/>
      <c r="L81" s="634"/>
      <c r="M81" s="634"/>
      <c r="N81" s="634"/>
      <c r="O81" s="634"/>
      <c r="P81" s="634"/>
      <c r="Q81" s="634"/>
      <c r="R81" s="634"/>
      <c r="S81" s="634"/>
      <c r="T81" s="634"/>
      <c r="U81" s="517"/>
    </row>
    <row r="82" spans="1:21" ht="15.75" customHeight="1">
      <c r="A82" s="4717"/>
      <c r="B82" s="1574" t="s">
        <v>365</v>
      </c>
      <c r="C82" s="6086" t="s">
        <v>1080</v>
      </c>
      <c r="D82" s="6086"/>
      <c r="E82" s="6086"/>
      <c r="F82" s="6086"/>
      <c r="G82" s="1350"/>
      <c r="H82" s="634"/>
      <c r="I82" s="634"/>
      <c r="J82" s="634"/>
      <c r="K82" s="634"/>
      <c r="L82" s="634"/>
      <c r="M82" s="634"/>
      <c r="N82" s="634"/>
      <c r="O82" s="634"/>
      <c r="P82" s="634"/>
      <c r="Q82" s="634"/>
      <c r="R82" s="634"/>
      <c r="S82" s="634"/>
      <c r="T82" s="634"/>
      <c r="U82" s="517"/>
    </row>
    <row r="83" spans="1:21" ht="15.75" customHeight="1" thickBot="1">
      <c r="A83" s="4717"/>
      <c r="B83" s="1669" t="s">
        <v>1002</v>
      </c>
      <c r="C83" s="1668"/>
      <c r="D83" s="1668"/>
      <c r="E83" s="1666"/>
      <c r="F83" s="1666"/>
      <c r="G83" s="1667"/>
      <c r="H83" s="1666"/>
      <c r="I83" s="1666"/>
      <c r="J83" s="1666"/>
      <c r="K83" s="1666"/>
      <c r="L83" s="1666"/>
      <c r="M83" s="1666"/>
      <c r="N83" s="1666"/>
      <c r="O83" s="1666"/>
      <c r="P83" s="1666"/>
      <c r="Q83" s="1666"/>
      <c r="R83" s="1744"/>
      <c r="S83" s="1744"/>
      <c r="T83" s="1744"/>
      <c r="U83" s="1743"/>
    </row>
    <row r="84" spans="1:21" ht="15.75" customHeight="1" thickBot="1">
      <c r="B84" s="634"/>
      <c r="C84" s="1449"/>
      <c r="D84" s="634"/>
      <c r="E84" s="634"/>
      <c r="F84" s="634"/>
      <c r="G84" s="634"/>
      <c r="H84" s="634"/>
      <c r="I84" s="634"/>
      <c r="J84" s="634"/>
      <c r="K84" s="634"/>
      <c r="L84" s="634"/>
      <c r="M84" s="634"/>
      <c r="N84" s="634"/>
      <c r="O84" s="634"/>
      <c r="P84" s="634"/>
      <c r="Q84" s="634"/>
    </row>
    <row r="85" spans="1:21" ht="17.25" customHeight="1">
      <c r="A85" s="1192" t="s">
        <v>70</v>
      </c>
      <c r="B85" s="5892" t="s">
        <v>1365</v>
      </c>
      <c r="C85" s="5893"/>
      <c r="D85" s="5893"/>
      <c r="E85" s="5893"/>
      <c r="F85" s="5893"/>
      <c r="G85" s="5893"/>
      <c r="H85" s="5893"/>
      <c r="I85" s="5893"/>
      <c r="J85" s="5893"/>
      <c r="K85" s="5893"/>
      <c r="L85" s="5893"/>
      <c r="M85" s="5893"/>
      <c r="N85" s="5893"/>
      <c r="O85" s="5893"/>
      <c r="P85" s="5893"/>
      <c r="Q85" s="5894"/>
    </row>
    <row r="86" spans="1:21" ht="17.25" customHeight="1">
      <c r="A86" s="4717" t="str">
        <f>B85</f>
        <v>Calculs d'hydratation :  TH - Taux  et   % H  - pourcentage</v>
      </c>
      <c r="B86" s="533" t="str">
        <f>ADDRESS(ROW(),COLUMN(),4)</f>
        <v>B86</v>
      </c>
      <c r="C86" s="903"/>
      <c r="D86" s="1012"/>
      <c r="E86" s="1012"/>
      <c r="F86" s="1012"/>
      <c r="G86" s="1012"/>
      <c r="H86" s="1012"/>
      <c r="I86" s="1012"/>
      <c r="J86" s="1012"/>
      <c r="K86" s="1012"/>
      <c r="L86" s="1012"/>
      <c r="M86" s="1012"/>
      <c r="N86" s="1012"/>
      <c r="O86" s="1012"/>
      <c r="P86" s="1225" t="str">
        <f ca="1">MID(CELL("filename",J86),SEARCH("[",CELL("filename",J86))+1,SEARCH("]",CELL("filename",J86))-SEARCH("[",CELL("filename",J86))-1)</f>
        <v>ff-22-formats-formules-pourcentages.xlsx</v>
      </c>
      <c r="Q86" s="1226">
        <v>1</v>
      </c>
    </row>
    <row r="87" spans="1:21" ht="17.25" customHeight="1">
      <c r="A87" s="4717"/>
      <c r="B87" s="633"/>
      <c r="C87" s="634"/>
      <c r="D87" s="634"/>
      <c r="E87" s="634"/>
      <c r="F87" s="634"/>
      <c r="G87" s="634"/>
      <c r="H87" s="634"/>
      <c r="I87" s="517"/>
      <c r="J87" s="634"/>
      <c r="K87" s="634"/>
      <c r="L87" s="634"/>
      <c r="M87" s="634"/>
      <c r="N87" s="634"/>
      <c r="O87" s="634"/>
      <c r="P87" s="634"/>
      <c r="Q87" s="521"/>
    </row>
    <row r="88" spans="1:21" ht="17.25" customHeight="1">
      <c r="A88" s="4717"/>
      <c r="B88" s="633"/>
      <c r="C88" s="1623" t="s">
        <v>1364</v>
      </c>
      <c r="D88" s="634"/>
      <c r="E88" s="634"/>
      <c r="F88" s="634"/>
      <c r="G88" s="634"/>
      <c r="H88" s="634"/>
      <c r="I88" s="517"/>
      <c r="J88" s="633"/>
      <c r="K88" s="1623" t="s">
        <v>1363</v>
      </c>
      <c r="L88" s="634"/>
      <c r="M88" s="634"/>
      <c r="N88" s="634"/>
      <c r="O88" s="634"/>
      <c r="P88" s="634"/>
      <c r="Q88" s="517"/>
    </row>
    <row r="89" spans="1:21" ht="17.25" customHeight="1">
      <c r="A89" s="4717"/>
      <c r="B89" s="633"/>
      <c r="C89" s="1587"/>
      <c r="D89" s="634"/>
      <c r="E89" s="634"/>
      <c r="F89" s="634"/>
      <c r="G89" s="1608" t="s">
        <v>1362</v>
      </c>
      <c r="H89" s="634"/>
      <c r="I89" s="517"/>
      <c r="J89" s="633"/>
      <c r="K89" s="1742"/>
      <c r="L89" s="634"/>
      <c r="M89" s="634"/>
      <c r="N89" s="634"/>
      <c r="O89" s="634"/>
      <c r="P89" s="634"/>
      <c r="Q89" s="517"/>
    </row>
    <row r="90" spans="1:21" ht="17.25" customHeight="1">
      <c r="A90" s="4717"/>
      <c r="B90" s="633"/>
      <c r="C90" s="1587"/>
      <c r="D90" s="634"/>
      <c r="E90" s="1671" t="str">
        <f>ADDRESS(ROW(E91),COLUMN(E91),4)</f>
        <v>E91</v>
      </c>
      <c r="F90" s="634"/>
      <c r="G90" s="1608"/>
      <c r="H90" s="634"/>
      <c r="I90" s="517"/>
      <c r="J90" s="633"/>
      <c r="L90" s="1671" t="str">
        <f>ADDRESS(ROW(L91),COLUMN(L91),4)</f>
        <v>L91</v>
      </c>
      <c r="M90" s="1741"/>
      <c r="N90" s="1671" t="str">
        <f>ADDRESS(ROW(N91),COLUMN(N91),4)</f>
        <v>N91</v>
      </c>
      <c r="P90" s="1715" t="s">
        <v>1361</v>
      </c>
      <c r="Q90" s="517"/>
    </row>
    <row r="91" spans="1:21" ht="17.25" customHeight="1" thickBot="1">
      <c r="A91" s="4717"/>
      <c r="B91" s="1740"/>
      <c r="C91" s="1320"/>
      <c r="D91" s="1320" t="s">
        <v>1360</v>
      </c>
      <c r="E91" s="1677">
        <v>10</v>
      </c>
      <c r="F91" s="6082" t="s">
        <v>997</v>
      </c>
      <c r="G91" s="6123">
        <f>E91/E92</f>
        <v>0.2</v>
      </c>
      <c r="H91" s="6085" t="str">
        <f ca="1">_xlfn.FORMULATEXT(G91)</f>
        <v>=E91/E92</v>
      </c>
      <c r="I91" s="517"/>
      <c r="J91" s="633"/>
      <c r="K91" s="1320" t="s">
        <v>1360</v>
      </c>
      <c r="L91" s="1677">
        <v>10</v>
      </c>
      <c r="M91" s="1263" t="s">
        <v>603</v>
      </c>
      <c r="N91" s="1739">
        <v>100</v>
      </c>
      <c r="O91" s="1606" t="s">
        <v>997</v>
      </c>
      <c r="P91" s="1738">
        <f>(L91/L92)*N91</f>
        <v>20</v>
      </c>
      <c r="Q91" s="517"/>
    </row>
    <row r="92" spans="1:21" ht="17.25" customHeight="1">
      <c r="A92" s="4717"/>
      <c r="B92" s="1735"/>
      <c r="C92" s="1734"/>
      <c r="D92" s="1734" t="s">
        <v>1359</v>
      </c>
      <c r="E92" s="1737">
        <v>50</v>
      </c>
      <c r="F92" s="6082"/>
      <c r="G92" s="6123"/>
      <c r="H92" s="6085"/>
      <c r="I92" s="517"/>
      <c r="J92" s="633"/>
      <c r="K92" s="1734" t="s">
        <v>1359</v>
      </c>
      <c r="L92" s="6124">
        <v>50</v>
      </c>
      <c r="M92" s="6124"/>
      <c r="N92" s="6124"/>
      <c r="P92" s="1736" t="str">
        <f ca="1">_xlfn.FORMULATEXT(P91)</f>
        <v>=(L91/L92)*N91</v>
      </c>
      <c r="Q92" s="517"/>
    </row>
    <row r="93" spans="1:21" ht="17.25" customHeight="1">
      <c r="A93" s="4717"/>
      <c r="B93" s="1735"/>
      <c r="C93" s="1734"/>
      <c r="D93" s="1734"/>
      <c r="E93" s="1671" t="str">
        <f>ADDRESS(ROW(E92),COLUMN(E92),4)</f>
        <v>E92</v>
      </c>
      <c r="F93" s="1630"/>
      <c r="G93" s="1407"/>
      <c r="H93" s="680"/>
      <c r="I93" s="517"/>
      <c r="J93" s="633"/>
      <c r="K93" s="634"/>
      <c r="L93" s="634"/>
      <c r="M93" s="1671" t="str">
        <f>ADDRESS(ROW(L92),COLUMN(L92),4)</f>
        <v>L92</v>
      </c>
      <c r="N93" s="634"/>
      <c r="O93" s="634"/>
      <c r="P93" s="634"/>
      <c r="Q93" s="517"/>
    </row>
    <row r="94" spans="1:21" ht="17.25" customHeight="1">
      <c r="A94" s="4717"/>
      <c r="B94" s="1351"/>
      <c r="C94" s="1733"/>
      <c r="D94" s="1012"/>
      <c r="E94" s="1012"/>
      <c r="F94" s="1012"/>
      <c r="G94" s="1732"/>
      <c r="H94" s="1012"/>
      <c r="I94" s="1194"/>
      <c r="J94" s="634"/>
      <c r="K94" s="634"/>
      <c r="L94" s="634"/>
      <c r="M94" s="634"/>
      <c r="N94" s="634"/>
      <c r="O94" s="634"/>
      <c r="P94" s="634"/>
      <c r="Q94" s="521"/>
    </row>
    <row r="95" spans="1:21" ht="17.25" customHeight="1">
      <c r="A95" s="4717"/>
      <c r="B95" s="6078" t="s">
        <v>998</v>
      </c>
      <c r="C95" s="6079"/>
      <c r="D95" s="6079"/>
      <c r="E95" s="6079"/>
      <c r="F95" s="6079"/>
      <c r="G95" s="6079"/>
      <c r="H95" s="6079"/>
      <c r="I95" s="6079"/>
      <c r="J95" s="6079"/>
      <c r="K95" s="6079"/>
      <c r="L95" s="6079"/>
      <c r="M95" s="6079"/>
      <c r="N95" s="6079"/>
      <c r="O95" s="6079"/>
      <c r="P95" s="6079"/>
      <c r="Q95" s="6080"/>
    </row>
    <row r="96" spans="1:21" ht="17.25" customHeight="1">
      <c r="A96" s="4717"/>
      <c r="B96" s="1580" t="s">
        <v>1048</v>
      </c>
      <c r="C96" s="1267"/>
      <c r="D96" s="1267"/>
      <c r="E96" s="1267"/>
      <c r="F96" s="1267"/>
      <c r="G96" s="1267"/>
      <c r="H96" s="634"/>
      <c r="I96" s="1731"/>
      <c r="J96" s="634"/>
      <c r="K96" s="634"/>
      <c r="L96" s="634"/>
      <c r="M96" s="634"/>
      <c r="N96" s="634"/>
      <c r="O96" s="634"/>
      <c r="P96" s="634"/>
      <c r="Q96" s="517"/>
    </row>
    <row r="97" spans="1:21" ht="17.25" customHeight="1">
      <c r="A97" s="4717"/>
      <c r="B97" s="1579" t="s">
        <v>1068</v>
      </c>
      <c r="C97" s="1267"/>
      <c r="D97" s="1267"/>
      <c r="E97" s="1267"/>
      <c r="F97" s="1267"/>
      <c r="G97" s="1267"/>
      <c r="H97" s="634"/>
      <c r="I97" s="634"/>
      <c r="J97" s="634"/>
      <c r="K97" s="634"/>
      <c r="L97" s="634"/>
      <c r="M97" s="634"/>
      <c r="N97" s="634"/>
      <c r="O97" s="634"/>
      <c r="P97" s="634"/>
      <c r="Q97" s="517"/>
    </row>
    <row r="98" spans="1:21" ht="17.25" customHeight="1">
      <c r="A98" s="4717"/>
      <c r="B98" s="1577" t="s">
        <v>1263</v>
      </c>
      <c r="C98" s="1576"/>
      <c r="D98" s="1576"/>
      <c r="E98" s="1576"/>
      <c r="F98" s="1576"/>
      <c r="G98" s="1576"/>
      <c r="H98" s="1012"/>
      <c r="I98" s="1012"/>
      <c r="J98" s="1012"/>
      <c r="K98" s="1012"/>
      <c r="L98" s="1012"/>
      <c r="M98" s="1012"/>
      <c r="N98" s="1012"/>
      <c r="O98" s="1012"/>
      <c r="P98" s="1012"/>
      <c r="Q98" s="1194"/>
    </row>
    <row r="99" spans="1:21" ht="17.25" customHeight="1">
      <c r="A99" s="4717"/>
      <c r="B99" s="1280" t="s">
        <v>1186</v>
      </c>
      <c r="C99" s="634"/>
      <c r="D99" s="634"/>
      <c r="E99" s="634"/>
      <c r="F99" s="634"/>
      <c r="G99" s="680"/>
      <c r="H99" s="634"/>
      <c r="I99" s="634"/>
      <c r="J99" s="634"/>
      <c r="K99" s="634"/>
      <c r="L99" s="634"/>
      <c r="M99" s="634"/>
      <c r="N99" s="634"/>
      <c r="O99" s="634"/>
      <c r="P99" s="634"/>
      <c r="Q99" s="517"/>
    </row>
    <row r="100" spans="1:21" ht="17.25" customHeight="1">
      <c r="A100" s="4717"/>
      <c r="B100" s="1574" t="s">
        <v>365</v>
      </c>
      <c r="C100" s="1573" t="s">
        <v>1080</v>
      </c>
      <c r="D100" s="1573"/>
      <c r="E100" s="1573"/>
      <c r="F100" s="634"/>
      <c r="G100" s="680"/>
      <c r="H100" s="634"/>
      <c r="I100" s="634"/>
      <c r="J100" s="634"/>
      <c r="K100" s="634"/>
      <c r="L100" s="634"/>
      <c r="M100" s="634"/>
      <c r="N100" s="634"/>
      <c r="O100" s="634"/>
      <c r="P100" s="634"/>
      <c r="Q100" s="517"/>
    </row>
    <row r="101" spans="1:21" ht="17.25" customHeight="1" thickBot="1">
      <c r="A101" s="4717"/>
      <c r="B101" s="1571" t="s">
        <v>1002</v>
      </c>
      <c r="C101" s="1373"/>
      <c r="D101" s="1373"/>
      <c r="E101" s="580"/>
      <c r="F101" s="580"/>
      <c r="G101" s="1277"/>
      <c r="H101" s="580"/>
      <c r="I101" s="580"/>
      <c r="J101" s="580"/>
      <c r="K101" s="580"/>
      <c r="L101" s="580"/>
      <c r="M101" s="580"/>
      <c r="N101" s="580"/>
      <c r="O101" s="580"/>
      <c r="P101" s="580"/>
      <c r="Q101" s="581"/>
    </row>
    <row r="102" spans="1:21" ht="17.25" customHeight="1">
      <c r="B102" s="634"/>
      <c r="C102" s="634"/>
      <c r="D102" s="634"/>
      <c r="E102" s="634"/>
      <c r="F102" s="634"/>
      <c r="G102" s="634"/>
      <c r="H102" s="634"/>
      <c r="I102" s="634"/>
      <c r="J102" s="634"/>
      <c r="K102" s="634"/>
      <c r="L102" s="634"/>
      <c r="M102" s="634"/>
      <c r="N102" s="634"/>
      <c r="O102" s="634"/>
      <c r="P102" s="634"/>
      <c r="Q102" s="634"/>
    </row>
    <row r="103" spans="1:21">
      <c r="B103" s="634"/>
      <c r="C103" s="634"/>
      <c r="D103" s="634"/>
      <c r="E103" s="634"/>
      <c r="F103" s="634"/>
      <c r="G103" s="634"/>
      <c r="H103" s="634"/>
      <c r="I103" s="634"/>
      <c r="J103" s="634"/>
      <c r="K103" s="634"/>
      <c r="L103" s="634"/>
      <c r="M103" s="634"/>
      <c r="N103" s="634"/>
      <c r="O103" s="634"/>
      <c r="P103" s="634"/>
      <c r="Q103" s="634"/>
    </row>
    <row r="104" spans="1:21" ht="18">
      <c r="B104" s="634"/>
      <c r="C104" s="1443" t="s">
        <v>1098</v>
      </c>
      <c r="D104" s="634"/>
      <c r="E104" s="634"/>
      <c r="F104" s="634"/>
      <c r="G104" s="634"/>
      <c r="H104" s="634"/>
      <c r="I104" s="634"/>
      <c r="J104" s="634"/>
      <c r="K104" s="634"/>
      <c r="L104" s="634"/>
      <c r="M104" s="634"/>
      <c r="N104" s="634"/>
      <c r="O104" s="634"/>
      <c r="P104" s="634"/>
      <c r="Q104" s="634"/>
    </row>
    <row r="105" spans="1:21" ht="16.5" thickBot="1">
      <c r="B105" s="634"/>
      <c r="C105" s="634"/>
      <c r="D105" s="634"/>
      <c r="E105" s="634"/>
      <c r="F105" s="634"/>
      <c r="G105" s="634"/>
      <c r="H105" s="634"/>
      <c r="I105" s="634"/>
      <c r="J105" s="634"/>
      <c r="K105" s="634"/>
      <c r="L105" s="634"/>
      <c r="M105" s="634"/>
      <c r="N105" s="634"/>
      <c r="O105" s="634"/>
      <c r="P105" s="634"/>
      <c r="Q105" s="634"/>
    </row>
    <row r="106" spans="1:21" ht="21">
      <c r="A106" s="1192" t="s">
        <v>70</v>
      </c>
      <c r="B106" s="5892" t="s">
        <v>1358</v>
      </c>
      <c r="C106" s="5893"/>
      <c r="D106" s="5893"/>
      <c r="E106" s="5893"/>
      <c r="F106" s="5893"/>
      <c r="G106" s="5893"/>
      <c r="H106" s="5893"/>
      <c r="I106" s="5893"/>
      <c r="J106" s="5893"/>
      <c r="K106" s="5893"/>
      <c r="L106" s="5893"/>
      <c r="M106" s="5893"/>
      <c r="N106" s="5894"/>
      <c r="O106" s="634"/>
      <c r="P106" s="634"/>
      <c r="Q106" s="634"/>
      <c r="R106" s="634"/>
      <c r="S106" s="634"/>
      <c r="T106" s="634"/>
      <c r="U106" s="634"/>
    </row>
    <row r="107" spans="1:21">
      <c r="A107" s="1730"/>
      <c r="B107" s="533" t="str">
        <f>ADDRESS(ROW(),COLUMN(),4)</f>
        <v>B107</v>
      </c>
      <c r="C107" s="903"/>
      <c r="D107" s="1012"/>
      <c r="E107" s="1012"/>
      <c r="F107" s="1012"/>
      <c r="G107" s="1012"/>
      <c r="H107" s="1012"/>
      <c r="I107" s="1012"/>
      <c r="J107" s="1012"/>
      <c r="K107" s="1012"/>
      <c r="L107" s="1012"/>
      <c r="M107" s="1225" t="str">
        <f ca="1">MID(CELL("filename",B107),SEARCH("[",CELL("filename",B107))+1,SEARCH("]",CELL("filename",B107))-SEARCH("[",CELL("filename",B107))-1)</f>
        <v>ff-22-formats-formules-pourcentages.xlsx</v>
      </c>
      <c r="N107" s="1226">
        <v>1</v>
      </c>
      <c r="O107" s="634"/>
      <c r="P107" s="634"/>
      <c r="Q107" s="634"/>
      <c r="R107" s="634"/>
      <c r="S107" s="634"/>
      <c r="T107" s="634"/>
      <c r="U107" s="634"/>
    </row>
    <row r="108" spans="1:21">
      <c r="A108" s="4717" t="str">
        <f>B106</f>
        <v>le poids total de la pâte en fonction des poids de la farine et de l'eau</v>
      </c>
      <c r="B108" s="633"/>
      <c r="C108" s="634"/>
      <c r="D108" s="634"/>
      <c r="E108" s="634"/>
      <c r="F108" s="634"/>
      <c r="G108" s="634"/>
      <c r="H108" s="634"/>
      <c r="I108" s="634"/>
      <c r="J108" s="634"/>
      <c r="K108" s="634"/>
      <c r="L108" s="634"/>
      <c r="M108" s="634"/>
      <c r="N108" s="517"/>
      <c r="O108" s="634"/>
      <c r="P108" s="634"/>
      <c r="Q108" s="634"/>
      <c r="R108" s="634"/>
      <c r="S108" s="634"/>
      <c r="T108" s="634"/>
      <c r="U108" s="634"/>
    </row>
    <row r="109" spans="1:21" ht="18">
      <c r="A109" s="4717"/>
      <c r="B109" s="633"/>
      <c r="C109" s="1443" t="s">
        <v>1091</v>
      </c>
      <c r="D109" s="634"/>
      <c r="E109" s="634"/>
      <c r="F109" s="634"/>
      <c r="G109" s="634"/>
      <c r="H109" s="634"/>
      <c r="I109" s="634"/>
      <c r="J109" s="634"/>
      <c r="K109" s="1443"/>
      <c r="L109" s="634"/>
      <c r="M109" s="634"/>
      <c r="N109" s="517"/>
      <c r="O109" s="634"/>
      <c r="P109" s="634"/>
      <c r="Q109" s="634"/>
      <c r="R109" s="634"/>
      <c r="S109" s="634"/>
      <c r="T109" s="634"/>
      <c r="U109" s="634"/>
    </row>
    <row r="110" spans="1:21">
      <c r="A110" s="4717"/>
      <c r="B110" s="633"/>
      <c r="C110" s="1444"/>
      <c r="D110" s="634"/>
      <c r="E110" s="634"/>
      <c r="F110" s="634"/>
      <c r="G110" s="634"/>
      <c r="H110" s="634"/>
      <c r="I110" s="634"/>
      <c r="J110" s="634"/>
      <c r="K110" s="634"/>
      <c r="L110" s="634"/>
      <c r="M110" s="634"/>
      <c r="N110" s="517"/>
      <c r="O110" s="634"/>
      <c r="P110" s="634"/>
      <c r="Q110" s="634"/>
      <c r="R110" s="634"/>
      <c r="S110" s="634"/>
      <c r="T110" s="634"/>
      <c r="U110" s="634"/>
    </row>
    <row r="111" spans="1:21" ht="18.75">
      <c r="A111" s="4717"/>
      <c r="B111" s="1707"/>
      <c r="C111" s="1706" t="s">
        <v>1314</v>
      </c>
      <c r="D111" s="634"/>
      <c r="E111" s="634"/>
      <c r="F111" s="634"/>
      <c r="G111" s="634"/>
      <c r="H111" s="634"/>
      <c r="I111" s="634"/>
      <c r="J111" s="634"/>
      <c r="K111" s="634"/>
      <c r="L111" s="634"/>
      <c r="M111" s="634"/>
      <c r="N111" s="517"/>
      <c r="O111" s="634"/>
      <c r="P111" s="634"/>
      <c r="Q111" s="634"/>
      <c r="R111" s="634"/>
      <c r="S111" s="634"/>
      <c r="T111" s="634"/>
      <c r="U111" s="634"/>
    </row>
    <row r="112" spans="1:21" ht="18.75">
      <c r="A112" s="4717"/>
      <c r="B112" s="1707"/>
      <c r="C112" s="1706" t="s">
        <v>1315</v>
      </c>
      <c r="D112" s="634"/>
      <c r="E112" s="634"/>
      <c r="F112" s="634"/>
      <c r="G112" s="634"/>
      <c r="H112" s="634"/>
      <c r="I112" s="634"/>
      <c r="J112" s="634"/>
      <c r="K112" s="634"/>
      <c r="L112" s="634"/>
      <c r="M112" s="634"/>
      <c r="N112" s="517"/>
      <c r="O112" s="634"/>
      <c r="P112" s="634"/>
      <c r="Q112" s="634"/>
      <c r="R112" s="634"/>
      <c r="S112" s="634"/>
      <c r="T112" s="634"/>
      <c r="U112" s="634"/>
    </row>
    <row r="113" spans="1:21" ht="18.75">
      <c r="A113" s="4717"/>
      <c r="B113" s="1707"/>
      <c r="C113" s="1706" t="s">
        <v>1333</v>
      </c>
      <c r="D113" s="634"/>
      <c r="E113" s="634"/>
      <c r="F113" s="634"/>
      <c r="G113" s="634"/>
      <c r="H113" s="634"/>
      <c r="I113" s="634"/>
      <c r="J113" s="634"/>
      <c r="K113" s="634"/>
      <c r="L113" s="634"/>
      <c r="M113" s="634"/>
      <c r="N113" s="517"/>
      <c r="O113" s="634"/>
      <c r="P113" s="634"/>
      <c r="Q113" s="634"/>
      <c r="R113" s="634"/>
      <c r="S113" s="634"/>
      <c r="T113" s="634"/>
      <c r="U113" s="634"/>
    </row>
    <row r="114" spans="1:21" ht="18.75">
      <c r="A114" s="4717"/>
      <c r="B114" s="1707"/>
      <c r="C114" s="1706" t="s">
        <v>1332</v>
      </c>
      <c r="D114" s="634"/>
      <c r="E114" s="634"/>
      <c r="F114" s="634"/>
      <c r="G114" s="634"/>
      <c r="H114" s="634"/>
      <c r="I114" s="634"/>
      <c r="J114" s="634"/>
      <c r="K114" s="634"/>
      <c r="L114" s="634"/>
      <c r="M114" s="634"/>
      <c r="N114" s="517"/>
      <c r="O114" s="634"/>
      <c r="P114" s="634"/>
      <c r="Q114" s="634"/>
      <c r="R114" s="634"/>
      <c r="S114" s="634"/>
      <c r="T114" s="634"/>
      <c r="U114" s="634"/>
    </row>
    <row r="115" spans="1:21">
      <c r="A115" s="4717"/>
      <c r="B115" s="633"/>
      <c r="C115" s="1422"/>
      <c r="D115" s="634"/>
      <c r="E115" s="634"/>
      <c r="F115" s="634"/>
      <c r="G115" s="634"/>
      <c r="H115" s="634"/>
      <c r="I115" s="634"/>
      <c r="J115" s="634"/>
      <c r="K115" s="634"/>
      <c r="L115" s="634"/>
      <c r="M115" s="634"/>
      <c r="N115" s="517"/>
      <c r="O115" s="634"/>
      <c r="P115" s="634"/>
      <c r="Q115" s="634"/>
      <c r="R115" s="634"/>
      <c r="S115" s="634"/>
      <c r="T115" s="634"/>
      <c r="U115" s="634"/>
    </row>
    <row r="116" spans="1:21" ht="18">
      <c r="A116" s="4717"/>
      <c r="B116" s="633"/>
      <c r="C116" s="1443"/>
      <c r="D116" s="634"/>
      <c r="E116" s="634"/>
      <c r="F116" s="634"/>
      <c r="G116" s="634"/>
      <c r="H116" s="634"/>
      <c r="I116" s="634"/>
      <c r="J116" s="634"/>
      <c r="K116" s="634"/>
      <c r="L116" s="634"/>
      <c r="M116" s="634"/>
      <c r="N116" s="517"/>
      <c r="O116" s="634"/>
      <c r="P116" s="634"/>
      <c r="Q116" s="634"/>
      <c r="R116" s="634"/>
      <c r="S116" s="634"/>
      <c r="T116" s="634"/>
      <c r="U116" s="634"/>
    </row>
    <row r="117" spans="1:21">
      <c r="A117" s="4717"/>
      <c r="B117" s="633"/>
      <c r="C117" s="1422"/>
      <c r="D117" s="634"/>
      <c r="E117" s="634"/>
      <c r="F117" s="634"/>
      <c r="G117" s="634"/>
      <c r="H117" s="634"/>
      <c r="I117" s="634"/>
      <c r="J117" s="634"/>
      <c r="K117" s="634"/>
      <c r="L117" s="634"/>
      <c r="M117" s="634"/>
      <c r="N117" s="517"/>
      <c r="O117" s="634"/>
      <c r="P117" s="634"/>
      <c r="Q117" s="634"/>
      <c r="R117" s="634"/>
      <c r="S117" s="634"/>
      <c r="T117" s="634"/>
      <c r="U117" s="634"/>
    </row>
    <row r="118" spans="1:21">
      <c r="A118" s="4717"/>
      <c r="B118" s="633"/>
      <c r="C118" s="1422"/>
      <c r="D118" s="634"/>
      <c r="E118" s="634"/>
      <c r="F118" s="634"/>
      <c r="G118" s="634"/>
      <c r="H118" s="634"/>
      <c r="I118" s="634"/>
      <c r="J118" s="634"/>
      <c r="K118" s="634"/>
      <c r="L118" s="634"/>
      <c r="M118" s="634"/>
      <c r="N118" s="517"/>
      <c r="O118" s="634"/>
      <c r="P118" s="634"/>
      <c r="Q118" s="634"/>
      <c r="R118" s="634"/>
      <c r="S118" s="634"/>
      <c r="T118" s="634"/>
      <c r="U118" s="634"/>
    </row>
    <row r="119" spans="1:21">
      <c r="A119" s="4717"/>
      <c r="B119" s="633"/>
      <c r="C119" s="1422"/>
      <c r="D119" s="634"/>
      <c r="E119" s="634"/>
      <c r="F119" s="634"/>
      <c r="G119" s="634"/>
      <c r="H119" s="634"/>
      <c r="I119" s="634"/>
      <c r="J119" s="634"/>
      <c r="K119" s="634"/>
      <c r="L119" s="634"/>
      <c r="M119" s="634"/>
      <c r="N119" s="517"/>
      <c r="O119" s="634"/>
      <c r="P119" s="634"/>
      <c r="Q119" s="634"/>
      <c r="R119" s="634"/>
      <c r="S119" s="634"/>
      <c r="T119" s="634"/>
      <c r="U119" s="634"/>
    </row>
    <row r="120" spans="1:21">
      <c r="A120" s="4717"/>
      <c r="B120" s="633"/>
      <c r="C120" s="1422"/>
      <c r="D120" s="634"/>
      <c r="E120" s="634"/>
      <c r="F120" s="634"/>
      <c r="G120" s="634"/>
      <c r="H120" s="634"/>
      <c r="I120" s="634"/>
      <c r="J120" s="634"/>
      <c r="K120" s="634"/>
      <c r="L120" s="634"/>
      <c r="M120" s="634"/>
      <c r="N120" s="517"/>
      <c r="O120" s="634"/>
      <c r="P120" s="634"/>
      <c r="Q120" s="634"/>
      <c r="R120" s="634"/>
      <c r="S120" s="634"/>
      <c r="T120" s="634"/>
      <c r="U120" s="634"/>
    </row>
    <row r="121" spans="1:21">
      <c r="A121" s="4717"/>
      <c r="B121" s="633"/>
      <c r="C121" s="1422"/>
      <c r="D121" s="634"/>
      <c r="E121" s="634"/>
      <c r="F121" s="634"/>
      <c r="G121" s="634"/>
      <c r="H121" s="634"/>
      <c r="I121" s="634"/>
      <c r="J121" s="634"/>
      <c r="K121" s="634"/>
      <c r="L121" s="634"/>
      <c r="M121" s="634"/>
      <c r="N121" s="517"/>
      <c r="O121" s="634"/>
      <c r="P121" s="634"/>
      <c r="Q121" s="634"/>
      <c r="R121" s="634"/>
      <c r="S121" s="634"/>
      <c r="T121" s="634"/>
      <c r="U121" s="634"/>
    </row>
    <row r="122" spans="1:21">
      <c r="A122" s="4717"/>
      <c r="B122" s="633"/>
      <c r="C122" s="1422"/>
      <c r="D122" s="634"/>
      <c r="E122" s="634"/>
      <c r="F122" s="634"/>
      <c r="G122" s="634"/>
      <c r="H122" s="634"/>
      <c r="I122" s="634"/>
      <c r="J122" s="634"/>
      <c r="K122" s="634"/>
      <c r="L122" s="634"/>
      <c r="M122" s="634"/>
      <c r="N122" s="517"/>
      <c r="O122" s="634"/>
      <c r="P122" s="634"/>
      <c r="Q122" s="634"/>
      <c r="R122" s="634"/>
      <c r="S122" s="634"/>
      <c r="T122" s="634"/>
      <c r="U122" s="634"/>
    </row>
    <row r="123" spans="1:21">
      <c r="A123" s="4717"/>
      <c r="B123" s="633"/>
      <c r="C123" s="1422"/>
      <c r="D123" s="634"/>
      <c r="E123" s="634"/>
      <c r="F123" s="634"/>
      <c r="G123" s="634"/>
      <c r="H123" s="634"/>
      <c r="I123" s="634"/>
      <c r="J123" s="634"/>
      <c r="K123" s="634"/>
      <c r="L123" s="634"/>
      <c r="M123" s="634"/>
      <c r="N123" s="517"/>
      <c r="O123" s="634"/>
      <c r="P123" s="634"/>
      <c r="Q123" s="634"/>
      <c r="R123" s="634"/>
      <c r="S123" s="634"/>
      <c r="T123" s="634"/>
      <c r="U123" s="634"/>
    </row>
    <row r="124" spans="1:21">
      <c r="A124" s="4717"/>
      <c r="B124" s="633"/>
      <c r="C124" s="1422"/>
      <c r="D124" s="634"/>
      <c r="E124" s="634"/>
      <c r="F124" s="634"/>
      <c r="G124" s="634"/>
      <c r="H124" s="634"/>
      <c r="I124" s="634"/>
      <c r="J124" s="634"/>
      <c r="K124" s="634"/>
      <c r="L124" s="634"/>
      <c r="M124" s="634"/>
      <c r="N124" s="517"/>
      <c r="O124" s="634"/>
      <c r="P124" s="634"/>
      <c r="Q124" s="634"/>
      <c r="R124" s="634"/>
      <c r="S124" s="634"/>
      <c r="T124" s="634"/>
      <c r="U124" s="634"/>
    </row>
    <row r="125" spans="1:21">
      <c r="A125" s="4717"/>
      <c r="B125" s="633"/>
      <c r="C125" s="1422"/>
      <c r="D125" s="634"/>
      <c r="E125" s="634"/>
      <c r="F125" s="634"/>
      <c r="G125" s="634"/>
      <c r="H125" s="634"/>
      <c r="I125" s="634"/>
      <c r="J125" s="634"/>
      <c r="K125" s="634"/>
      <c r="L125" s="634"/>
      <c r="M125" s="634"/>
      <c r="N125" s="517"/>
      <c r="O125" s="634"/>
      <c r="P125" s="634"/>
      <c r="Q125" s="634"/>
      <c r="R125" s="634"/>
      <c r="S125" s="634"/>
      <c r="T125" s="634"/>
      <c r="U125" s="634"/>
    </row>
    <row r="126" spans="1:21">
      <c r="A126" s="4717"/>
      <c r="B126" s="633"/>
      <c r="C126" s="1422"/>
      <c r="D126" s="634"/>
      <c r="E126" s="634"/>
      <c r="F126" s="634"/>
      <c r="G126" s="634"/>
      <c r="H126" s="634"/>
      <c r="I126" s="634"/>
      <c r="J126" s="634"/>
      <c r="K126" s="634"/>
      <c r="L126" s="634"/>
      <c r="M126" s="634"/>
      <c r="N126" s="517"/>
      <c r="O126" s="634"/>
      <c r="P126" s="634"/>
      <c r="Q126" s="634"/>
      <c r="R126" s="634"/>
      <c r="S126" s="634"/>
      <c r="T126" s="634"/>
      <c r="U126" s="634"/>
    </row>
    <row r="127" spans="1:21">
      <c r="A127" s="4717"/>
      <c r="B127" s="633"/>
      <c r="C127" s="1422"/>
      <c r="D127" s="634"/>
      <c r="E127" s="634"/>
      <c r="F127" s="634"/>
      <c r="G127" s="634"/>
      <c r="H127" s="634"/>
      <c r="I127" s="634"/>
      <c r="J127" s="634"/>
      <c r="K127" s="634"/>
      <c r="L127" s="634"/>
      <c r="M127" s="634"/>
      <c r="N127" s="517"/>
      <c r="O127" s="634"/>
      <c r="P127" s="634"/>
      <c r="Q127" s="634"/>
      <c r="R127" s="634"/>
      <c r="S127" s="634"/>
      <c r="T127" s="634"/>
      <c r="U127" s="634"/>
    </row>
    <row r="128" spans="1:21" ht="18">
      <c r="A128" s="4717"/>
      <c r="B128" s="633"/>
      <c r="C128" s="1443" t="s">
        <v>1099</v>
      </c>
      <c r="D128" s="634"/>
      <c r="E128" s="634"/>
      <c r="F128" s="634"/>
      <c r="G128" s="634"/>
      <c r="H128" s="634"/>
      <c r="I128" s="634"/>
      <c r="J128" s="634"/>
      <c r="K128" s="634"/>
      <c r="L128" s="634"/>
      <c r="M128" s="634"/>
      <c r="N128" s="517"/>
      <c r="O128" s="634"/>
      <c r="P128" s="634"/>
      <c r="Q128" s="634"/>
      <c r="R128" s="634"/>
      <c r="S128" s="634"/>
      <c r="T128" s="634"/>
      <c r="U128" s="634"/>
    </row>
    <row r="129" spans="1:21" ht="18.75">
      <c r="A129" s="4717"/>
      <c r="B129" s="1682" t="s">
        <v>55</v>
      </c>
      <c r="C129" s="1628" t="s">
        <v>1100</v>
      </c>
      <c r="D129" s="1201"/>
      <c r="E129" s="634"/>
      <c r="F129" s="634"/>
      <c r="G129" s="634"/>
      <c r="H129" s="634"/>
      <c r="I129" s="634"/>
      <c r="J129" s="634"/>
      <c r="K129" s="634"/>
      <c r="L129" s="634"/>
      <c r="M129" s="634"/>
      <c r="N129" s="517"/>
      <c r="O129" s="634"/>
      <c r="P129" s="634"/>
      <c r="Q129" s="634"/>
      <c r="R129" s="634"/>
      <c r="S129" s="634"/>
      <c r="T129" s="634"/>
      <c r="U129" s="634"/>
    </row>
    <row r="130" spans="1:21" ht="18.75">
      <c r="A130" s="4717"/>
      <c r="B130" s="1682" t="s">
        <v>44</v>
      </c>
      <c r="C130" s="1628" t="s">
        <v>1101</v>
      </c>
      <c r="D130" s="1201"/>
      <c r="E130" s="634"/>
      <c r="F130" s="634"/>
      <c r="G130" s="634"/>
      <c r="H130" s="634"/>
      <c r="I130" s="634"/>
      <c r="J130" s="634"/>
      <c r="K130" s="634"/>
      <c r="L130" s="634"/>
      <c r="M130" s="634"/>
      <c r="N130" s="517"/>
      <c r="O130" s="634"/>
      <c r="P130" s="634"/>
      <c r="Q130" s="634"/>
      <c r="R130" s="634"/>
      <c r="S130" s="634"/>
      <c r="T130" s="634"/>
      <c r="U130" s="634"/>
    </row>
    <row r="131" spans="1:21" ht="18.75">
      <c r="A131" s="4717"/>
      <c r="B131" s="1682" t="s">
        <v>46</v>
      </c>
      <c r="C131" s="1628" t="s">
        <v>1102</v>
      </c>
      <c r="D131" s="1201"/>
      <c r="E131" s="634"/>
      <c r="F131" s="634"/>
      <c r="G131" s="634"/>
      <c r="H131" s="634"/>
      <c r="I131" s="634"/>
      <c r="J131" s="634"/>
      <c r="K131" s="634"/>
      <c r="L131" s="634"/>
      <c r="M131" s="634"/>
      <c r="N131" s="517"/>
      <c r="O131" s="634"/>
      <c r="P131" s="634"/>
      <c r="Q131" s="634"/>
      <c r="R131" s="634"/>
      <c r="S131" s="634"/>
      <c r="T131" s="634"/>
      <c r="U131" s="634"/>
    </row>
    <row r="132" spans="1:21" ht="18.75">
      <c r="A132" s="4717"/>
      <c r="B132" s="1682"/>
      <c r="C132" s="1628"/>
      <c r="D132" s="1201"/>
      <c r="E132" s="634"/>
      <c r="F132" s="634"/>
      <c r="G132" s="634"/>
      <c r="H132" s="634"/>
      <c r="I132" s="634"/>
      <c r="J132" s="634"/>
      <c r="K132" s="634"/>
      <c r="L132" s="634"/>
      <c r="M132" s="634"/>
      <c r="N132" s="517"/>
      <c r="O132" s="634"/>
      <c r="P132" s="634"/>
      <c r="Q132" s="634"/>
      <c r="R132" s="634"/>
      <c r="S132" s="634"/>
      <c r="T132" s="634"/>
      <c r="U132" s="634"/>
    </row>
    <row r="133" spans="1:21" ht="18.75">
      <c r="A133" s="4717"/>
      <c r="B133" s="1682" t="s">
        <v>457</v>
      </c>
      <c r="C133" s="1628" t="s">
        <v>1103</v>
      </c>
      <c r="D133" s="1201"/>
      <c r="E133" s="634"/>
      <c r="F133" s="634"/>
      <c r="G133" s="634"/>
      <c r="H133" s="634"/>
      <c r="I133" s="634"/>
      <c r="J133" s="634"/>
      <c r="K133" s="634"/>
      <c r="L133" s="634"/>
      <c r="M133" s="634"/>
      <c r="N133" s="517"/>
      <c r="O133" s="634"/>
      <c r="P133" s="634"/>
      <c r="Q133" s="634"/>
      <c r="R133" s="634"/>
      <c r="S133" s="634"/>
      <c r="T133" s="634"/>
      <c r="U133" s="634"/>
    </row>
    <row r="134" spans="1:21" ht="18.75">
      <c r="A134" s="4717"/>
      <c r="B134" s="1682" t="s">
        <v>469</v>
      </c>
      <c r="C134" s="1628" t="s">
        <v>1104</v>
      </c>
      <c r="D134" s="1201"/>
      <c r="E134" s="634"/>
      <c r="F134" s="634"/>
      <c r="G134" s="634"/>
      <c r="H134" s="634"/>
      <c r="I134" s="634"/>
      <c r="J134" s="634"/>
      <c r="K134" s="634"/>
      <c r="L134" s="634"/>
      <c r="M134" s="634"/>
      <c r="N134" s="517"/>
      <c r="O134" s="634"/>
      <c r="P134" s="634"/>
      <c r="Q134" s="634"/>
      <c r="R134" s="634"/>
      <c r="S134" s="634"/>
      <c r="T134" s="634"/>
      <c r="U134" s="634"/>
    </row>
    <row r="135" spans="1:21" ht="18.75">
      <c r="A135" s="4717"/>
      <c r="B135" s="1682" t="s">
        <v>464</v>
      </c>
      <c r="C135" s="1628" t="s">
        <v>1105</v>
      </c>
      <c r="D135" s="1201"/>
      <c r="E135" s="634"/>
      <c r="F135" s="634"/>
      <c r="G135" s="634"/>
      <c r="H135" s="634"/>
      <c r="I135" s="634"/>
      <c r="J135" s="634"/>
      <c r="K135" s="634"/>
      <c r="L135" s="634"/>
      <c r="M135" s="634"/>
      <c r="N135" s="517"/>
      <c r="O135" s="634"/>
      <c r="P135" s="634"/>
      <c r="Q135" s="634"/>
      <c r="R135" s="634"/>
      <c r="S135" s="634"/>
      <c r="T135" s="634"/>
      <c r="U135" s="634"/>
    </row>
    <row r="136" spans="1:21" ht="16.5" thickBot="1">
      <c r="A136" s="4717"/>
      <c r="B136" s="1687"/>
      <c r="C136" s="1686"/>
      <c r="D136" s="1684"/>
      <c r="E136" s="1684"/>
      <c r="F136" s="1684"/>
      <c r="G136" s="1684"/>
      <c r="H136" s="1684"/>
      <c r="I136" s="1684"/>
      <c r="J136" s="1684"/>
      <c r="K136" s="1684"/>
      <c r="L136" s="1684"/>
      <c r="M136" s="1684"/>
      <c r="N136" s="1683"/>
      <c r="O136" s="634"/>
      <c r="P136" s="634"/>
      <c r="Q136" s="634"/>
      <c r="R136" s="634"/>
      <c r="S136" s="634"/>
      <c r="T136" s="634"/>
      <c r="U136" s="634"/>
    </row>
    <row r="137" spans="1:21">
      <c r="A137" s="4717"/>
      <c r="B137" s="633"/>
      <c r="C137" s="1422"/>
      <c r="D137" s="634"/>
      <c r="E137" s="634"/>
      <c r="F137" s="634"/>
      <c r="G137" s="634"/>
      <c r="H137" s="634"/>
      <c r="I137" s="634"/>
      <c r="J137" s="634"/>
      <c r="K137" s="634"/>
      <c r="L137" s="634"/>
      <c r="M137" s="634"/>
      <c r="N137" s="517"/>
      <c r="O137" s="634"/>
      <c r="P137" s="634"/>
      <c r="Q137" s="634"/>
      <c r="R137" s="634"/>
      <c r="S137" s="634"/>
      <c r="T137" s="634"/>
      <c r="U137" s="634"/>
    </row>
    <row r="138" spans="1:21" ht="18.75">
      <c r="A138" s="4717"/>
      <c r="B138" s="1702" t="s">
        <v>55</v>
      </c>
      <c r="C138" s="1628" t="s">
        <v>1100</v>
      </c>
      <c r="D138" s="1201"/>
      <c r="E138" s="634"/>
      <c r="F138" s="634"/>
      <c r="G138" s="634"/>
      <c r="H138" s="1206"/>
      <c r="I138" s="634"/>
      <c r="J138" s="1206"/>
      <c r="K138" s="634"/>
      <c r="L138" s="1362"/>
      <c r="M138" s="1680" t="s">
        <v>1333</v>
      </c>
      <c r="N138" s="517"/>
      <c r="O138" s="634"/>
      <c r="P138" s="634"/>
      <c r="Q138" s="634"/>
      <c r="R138" s="634"/>
      <c r="S138" s="634"/>
      <c r="T138" s="634"/>
      <c r="U138" s="634"/>
    </row>
    <row r="139" spans="1:21" ht="18.75">
      <c r="A139" s="4717"/>
      <c r="B139" s="1702"/>
      <c r="C139" s="1422" t="s">
        <v>1333</v>
      </c>
      <c r="D139" s="1201"/>
      <c r="E139" s="634"/>
      <c r="F139" s="634"/>
      <c r="G139" s="634"/>
      <c r="H139" s="1206"/>
      <c r="I139" s="634"/>
      <c r="J139" s="1206"/>
      <c r="K139" s="634"/>
      <c r="L139" s="1362"/>
      <c r="M139" s="634"/>
      <c r="N139" s="517"/>
      <c r="O139" s="634"/>
      <c r="P139" s="634"/>
      <c r="Q139" s="634"/>
      <c r="R139" s="634"/>
      <c r="S139" s="634"/>
      <c r="T139" s="634"/>
      <c r="U139" s="634"/>
    </row>
    <row r="140" spans="1:21" ht="18.75">
      <c r="A140" s="4717"/>
      <c r="B140" s="1702"/>
      <c r="C140" s="1422" t="s">
        <v>1314</v>
      </c>
      <c r="D140" s="1201"/>
      <c r="E140" s="634"/>
      <c r="F140" s="634"/>
      <c r="G140" s="634"/>
      <c r="H140" s="1206"/>
      <c r="I140" s="634"/>
      <c r="J140" s="1206"/>
      <c r="K140" s="634"/>
      <c r="L140" s="1362"/>
      <c r="M140" s="634"/>
      <c r="N140" s="517"/>
      <c r="O140" s="634"/>
      <c r="P140" s="634"/>
      <c r="Q140" s="634"/>
      <c r="R140" s="634"/>
      <c r="S140" s="634"/>
      <c r="T140" s="634"/>
      <c r="U140" s="634"/>
    </row>
    <row r="141" spans="1:21" ht="18.75">
      <c r="A141" s="4717"/>
      <c r="B141" s="1702"/>
      <c r="C141" s="1422" t="s">
        <v>1315</v>
      </c>
      <c r="D141" s="1201"/>
      <c r="E141" s="634"/>
      <c r="F141" s="634"/>
      <c r="G141" s="634"/>
      <c r="H141" s="1206"/>
      <c r="I141" s="634"/>
      <c r="J141" s="1206"/>
      <c r="K141" s="634"/>
      <c r="L141" s="1362"/>
      <c r="M141" s="634"/>
      <c r="N141" s="517"/>
      <c r="O141" s="634"/>
      <c r="P141" s="634"/>
      <c r="Q141" s="634"/>
      <c r="R141" s="634"/>
      <c r="S141" s="634"/>
      <c r="T141" s="634"/>
      <c r="U141" s="634"/>
    </row>
    <row r="142" spans="1:21" ht="18.75">
      <c r="A142" s="4717"/>
      <c r="B142" s="1702"/>
      <c r="C142" s="1679"/>
      <c r="D142" s="1201"/>
      <c r="E142" s="634"/>
      <c r="F142" s="634"/>
      <c r="G142" s="634"/>
      <c r="H142" s="1206"/>
      <c r="I142" s="634"/>
      <c r="J142" s="1206"/>
      <c r="K142" s="634"/>
      <c r="L142" s="1362"/>
      <c r="M142" s="634"/>
      <c r="N142" s="517"/>
      <c r="O142" s="634"/>
      <c r="P142" s="634"/>
      <c r="Q142" s="634"/>
      <c r="R142" s="634"/>
      <c r="S142" s="634"/>
      <c r="T142" s="634"/>
      <c r="U142" s="634"/>
    </row>
    <row r="143" spans="1:21">
      <c r="A143" s="4717"/>
      <c r="B143" s="633"/>
      <c r="C143" s="1362" t="s">
        <v>1314</v>
      </c>
      <c r="D143" s="634"/>
      <c r="E143" s="1362" t="s">
        <v>1315</v>
      </c>
      <c r="F143" s="634"/>
      <c r="G143" s="1364" t="s">
        <v>1327</v>
      </c>
      <c r="H143" s="634"/>
      <c r="I143" s="634"/>
      <c r="J143" s="634"/>
      <c r="K143" s="634"/>
      <c r="L143" s="634"/>
      <c r="M143" s="634"/>
      <c r="N143" s="517"/>
      <c r="O143" s="634"/>
      <c r="P143" s="634"/>
      <c r="Q143" s="634"/>
      <c r="R143" s="634"/>
      <c r="S143" s="634"/>
      <c r="T143" s="634"/>
      <c r="U143" s="634"/>
    </row>
    <row r="144" spans="1:21" ht="18.75">
      <c r="A144" s="4717"/>
      <c r="B144" s="633"/>
      <c r="C144" s="1633">
        <v>50</v>
      </c>
      <c r="D144" s="1638" t="s">
        <v>1289</v>
      </c>
      <c r="E144" s="1637">
        <v>10</v>
      </c>
      <c r="F144" s="1630" t="s">
        <v>997</v>
      </c>
      <c r="G144" s="1636">
        <f>C144+E144</f>
        <v>60</v>
      </c>
      <c r="H144" s="1675" t="str">
        <f ca="1">_xlfn.FORMULATEXT(G144)</f>
        <v>=C144+E144</v>
      </c>
      <c r="I144" s="634"/>
      <c r="J144" s="634"/>
      <c r="K144" s="634"/>
      <c r="L144" s="634"/>
      <c r="M144" s="634"/>
      <c r="N144" s="517"/>
      <c r="O144" s="634"/>
      <c r="P144" s="634"/>
      <c r="Q144" s="634"/>
      <c r="R144" s="634"/>
      <c r="S144" s="634"/>
      <c r="T144" s="634"/>
      <c r="U144" s="634"/>
    </row>
    <row r="145" spans="1:21">
      <c r="A145" s="4717"/>
      <c r="B145" s="633"/>
      <c r="C145" s="1671" t="str">
        <f>ADDRESS(ROW(C144),COLUMN(C144),4)</f>
        <v>C144</v>
      </c>
      <c r="D145" s="1270"/>
      <c r="E145" s="1671" t="str">
        <f>ADDRESS(ROW(E144),COLUMN(E144),4)</f>
        <v>E144</v>
      </c>
      <c r="G145" s="1671" t="str">
        <f>ADDRESS(ROW(G144),COLUMN(G144),4)</f>
        <v>G144</v>
      </c>
      <c r="H145" s="634"/>
      <c r="I145" s="634"/>
      <c r="J145" s="634"/>
      <c r="K145" s="634"/>
      <c r="L145" s="634"/>
      <c r="M145" s="634"/>
      <c r="N145" s="517"/>
      <c r="O145" s="634"/>
      <c r="P145" s="634"/>
      <c r="Q145" s="634"/>
      <c r="R145" s="634"/>
      <c r="S145" s="634"/>
      <c r="T145" s="634"/>
      <c r="U145" s="634"/>
    </row>
    <row r="146" spans="1:21" ht="16.5" thickBot="1">
      <c r="A146" s="4717"/>
      <c r="B146" s="1687"/>
      <c r="C146" s="1686"/>
      <c r="D146" s="1684"/>
      <c r="E146" s="1684"/>
      <c r="F146" s="1684"/>
      <c r="G146" s="1684"/>
      <c r="H146" s="1684"/>
      <c r="I146" s="1684"/>
      <c r="J146" s="1684"/>
      <c r="K146" s="1684"/>
      <c r="L146" s="1684"/>
      <c r="M146" s="1684"/>
      <c r="N146" s="1683"/>
      <c r="O146" s="634"/>
      <c r="P146" s="634"/>
      <c r="Q146" s="634"/>
      <c r="R146" s="634"/>
      <c r="S146" s="634"/>
      <c r="T146" s="634"/>
      <c r="U146" s="634"/>
    </row>
    <row r="147" spans="1:21">
      <c r="A147" s="4717"/>
      <c r="B147" s="633"/>
      <c r="C147" s="1422"/>
      <c r="D147" s="634"/>
      <c r="E147" s="634"/>
      <c r="F147" s="634"/>
      <c r="G147" s="634"/>
      <c r="H147" s="634"/>
      <c r="I147" s="634"/>
      <c r="J147" s="634"/>
      <c r="K147" s="634"/>
      <c r="L147" s="634"/>
      <c r="M147" s="634"/>
      <c r="N147" s="517"/>
      <c r="O147" s="634"/>
      <c r="P147" s="634"/>
      <c r="Q147" s="634"/>
      <c r="R147" s="634"/>
      <c r="S147" s="634"/>
      <c r="T147" s="634"/>
      <c r="U147" s="634"/>
    </row>
    <row r="148" spans="1:21" ht="18.75">
      <c r="A148" s="4717"/>
      <c r="B148" s="1702" t="s">
        <v>44</v>
      </c>
      <c r="C148" s="1628" t="s">
        <v>1357</v>
      </c>
      <c r="D148" s="1201"/>
      <c r="E148" s="634"/>
      <c r="F148" s="634"/>
      <c r="G148" s="634"/>
      <c r="H148" s="634"/>
      <c r="I148" s="634"/>
      <c r="J148" s="634"/>
      <c r="K148" s="634"/>
      <c r="L148" s="634"/>
      <c r="M148" s="1680" t="s">
        <v>1333</v>
      </c>
      <c r="N148" s="517"/>
      <c r="O148" s="634"/>
      <c r="P148" s="634"/>
      <c r="Q148" s="634"/>
      <c r="R148" s="634"/>
      <c r="S148" s="634"/>
      <c r="T148" s="634"/>
      <c r="U148" s="634"/>
    </row>
    <row r="149" spans="1:21" ht="18.75">
      <c r="A149" s="4717"/>
      <c r="B149" s="1702"/>
      <c r="C149" s="1422" t="s">
        <v>1314</v>
      </c>
      <c r="D149" s="1201"/>
      <c r="E149" s="634"/>
      <c r="F149" s="634"/>
      <c r="G149" s="634"/>
      <c r="H149" s="634"/>
      <c r="I149" s="634"/>
      <c r="J149" s="634"/>
      <c r="K149" s="634"/>
      <c r="L149" s="634"/>
      <c r="M149" s="634"/>
      <c r="N149" s="517"/>
      <c r="O149" s="634"/>
      <c r="P149" s="634"/>
      <c r="Q149" s="634"/>
      <c r="R149" s="634"/>
      <c r="S149" s="634"/>
      <c r="T149" s="634"/>
      <c r="U149" s="634"/>
    </row>
    <row r="150" spans="1:21" ht="18.75">
      <c r="A150" s="4717"/>
      <c r="B150" s="1702"/>
      <c r="C150" s="1422" t="s">
        <v>1332</v>
      </c>
      <c r="D150" s="1201"/>
      <c r="E150" s="634"/>
      <c r="F150" s="634"/>
      <c r="G150" s="634"/>
      <c r="H150" s="634"/>
      <c r="I150" s="634"/>
      <c r="J150" s="634"/>
      <c r="K150" s="634"/>
      <c r="L150" s="634"/>
      <c r="M150" s="634"/>
      <c r="N150" s="517"/>
      <c r="O150" s="634"/>
      <c r="P150" s="634"/>
      <c r="Q150" s="634"/>
      <c r="R150" s="634"/>
      <c r="S150" s="634"/>
      <c r="T150" s="634"/>
      <c r="U150" s="634"/>
    </row>
    <row r="151" spans="1:21" ht="18.75">
      <c r="A151" s="4717"/>
      <c r="B151" s="1702"/>
      <c r="C151" s="1628"/>
      <c r="D151" s="1201"/>
      <c r="E151" s="634"/>
      <c r="F151" s="634"/>
      <c r="G151" s="634"/>
      <c r="H151" s="634"/>
      <c r="I151" s="634"/>
      <c r="J151" s="634"/>
      <c r="K151" s="634"/>
      <c r="L151" s="634"/>
      <c r="M151" s="634"/>
      <c r="N151" s="517"/>
      <c r="O151" s="634"/>
      <c r="P151" s="634"/>
      <c r="Q151" s="634"/>
      <c r="R151" s="634"/>
      <c r="S151" s="634"/>
      <c r="T151" s="634"/>
      <c r="U151" s="634"/>
    </row>
    <row r="152" spans="1:21">
      <c r="A152" s="4717"/>
      <c r="B152" s="633"/>
      <c r="C152" s="1362" t="s">
        <v>1314</v>
      </c>
      <c r="D152" s="634"/>
      <c r="E152" s="1362" t="s">
        <v>1314</v>
      </c>
      <c r="F152" s="634"/>
      <c r="G152" s="1362" t="s">
        <v>1332</v>
      </c>
      <c r="H152" s="634"/>
      <c r="I152" s="1364" t="s">
        <v>1327</v>
      </c>
      <c r="J152" s="634"/>
      <c r="K152" s="634"/>
      <c r="L152" s="634"/>
      <c r="M152" s="634"/>
      <c r="N152" s="517"/>
      <c r="O152" s="634"/>
      <c r="P152" s="634"/>
      <c r="Q152" s="634"/>
      <c r="R152" s="634"/>
      <c r="S152" s="634"/>
      <c r="T152" s="634"/>
      <c r="U152" s="634"/>
    </row>
    <row r="153" spans="1:21" ht="18.75">
      <c r="A153" s="4717"/>
      <c r="B153" s="1681" t="s">
        <v>1331</v>
      </c>
      <c r="C153" s="1633">
        <v>50</v>
      </c>
      <c r="D153" s="1638" t="s">
        <v>1289</v>
      </c>
      <c r="E153" s="1636">
        <f>C153</f>
        <v>50</v>
      </c>
      <c r="F153" s="1674" t="s">
        <v>1343</v>
      </c>
      <c r="G153" s="1688">
        <v>0.2</v>
      </c>
      <c r="H153" s="1630" t="s">
        <v>997</v>
      </c>
      <c r="I153" s="1636">
        <f>(C153+E153)*G153</f>
        <v>20</v>
      </c>
      <c r="J153" s="1675" t="str">
        <f ca="1">_xlfn.FORMULATEXT(I153)</f>
        <v>=(C153+E153)*G153</v>
      </c>
      <c r="K153" s="1422"/>
      <c r="L153" s="1422"/>
      <c r="M153" s="634"/>
      <c r="N153" s="517"/>
      <c r="O153" s="634"/>
      <c r="P153" s="634"/>
      <c r="Q153" s="634"/>
      <c r="R153" s="634"/>
      <c r="S153" s="634"/>
      <c r="T153" s="634"/>
      <c r="U153" s="634"/>
    </row>
    <row r="154" spans="1:21" ht="18.75">
      <c r="A154" s="4717"/>
      <c r="B154" s="633"/>
      <c r="C154" s="1671" t="str">
        <f>ADDRESS(ROW(C153),COLUMN(C153),4)</f>
        <v>C153</v>
      </c>
      <c r="D154" s="1270"/>
      <c r="E154" s="1671" t="str">
        <f>ADDRESS(ROW(E153),COLUMN(E153),4)</f>
        <v>E153</v>
      </c>
      <c r="G154" s="1671" t="str">
        <f>ADDRESS(ROW(G153),COLUMN(G153),4)</f>
        <v>G153</v>
      </c>
      <c r="H154" s="634"/>
      <c r="J154" s="634"/>
      <c r="K154" s="1630"/>
      <c r="L154" s="634"/>
      <c r="M154" s="634"/>
      <c r="N154" s="517"/>
      <c r="O154" s="634"/>
      <c r="P154" s="634"/>
      <c r="Q154" s="634"/>
      <c r="R154" s="634"/>
      <c r="S154" s="634"/>
      <c r="T154" s="634"/>
      <c r="U154" s="634"/>
    </row>
    <row r="155" spans="1:21">
      <c r="A155" s="4717"/>
      <c r="B155" s="633"/>
      <c r="C155" s="1422"/>
      <c r="D155" s="634"/>
      <c r="E155" s="634"/>
      <c r="F155" s="634"/>
      <c r="G155" s="634"/>
      <c r="H155" s="634"/>
      <c r="I155" s="634"/>
      <c r="J155" s="634"/>
      <c r="K155" s="634"/>
      <c r="L155" s="634"/>
      <c r="M155" s="634"/>
      <c r="N155" s="517"/>
      <c r="O155" s="634"/>
      <c r="P155" s="634"/>
      <c r="Q155" s="634"/>
      <c r="R155" s="634"/>
      <c r="S155" s="634"/>
      <c r="T155" s="634"/>
      <c r="U155" s="634"/>
    </row>
    <row r="156" spans="1:21">
      <c r="A156" s="4717"/>
      <c r="B156" s="633"/>
      <c r="C156" s="6060" t="s">
        <v>1329</v>
      </c>
      <c r="D156" s="6060"/>
      <c r="E156" s="6060"/>
      <c r="F156" s="6060"/>
      <c r="G156" s="6060"/>
      <c r="H156" s="6060"/>
      <c r="I156" s="6060"/>
      <c r="J156" s="6060"/>
      <c r="K156" s="6060"/>
      <c r="L156" s="6060"/>
      <c r="M156" s="6060"/>
      <c r="N156" s="517"/>
      <c r="O156" s="634"/>
      <c r="P156" s="634"/>
      <c r="Q156" s="634"/>
      <c r="R156" s="634"/>
      <c r="S156" s="634"/>
      <c r="T156" s="634"/>
      <c r="U156" s="634"/>
    </row>
    <row r="157" spans="1:21">
      <c r="A157" s="4717"/>
      <c r="B157" s="633"/>
      <c r="C157" s="1010"/>
      <c r="D157" s="1010"/>
      <c r="E157" s="1010"/>
      <c r="F157" s="1010"/>
      <c r="G157" s="1010"/>
      <c r="H157" s="1010"/>
      <c r="I157" s="1010"/>
      <c r="J157" s="1010"/>
      <c r="K157" s="1010"/>
      <c r="L157" s="1010"/>
      <c r="M157" s="1010"/>
      <c r="N157" s="517"/>
      <c r="O157" s="634"/>
      <c r="P157" s="634"/>
      <c r="Q157" s="634"/>
      <c r="R157" s="634"/>
      <c r="S157" s="634"/>
      <c r="T157" s="634"/>
      <c r="U157" s="634"/>
    </row>
    <row r="158" spans="1:21" ht="19.5" thickBot="1">
      <c r="A158" s="4717"/>
      <c r="B158" s="1702" t="s">
        <v>44</v>
      </c>
      <c r="C158" s="6088" t="s">
        <v>1356</v>
      </c>
      <c r="D158" s="6088"/>
      <c r="E158" s="634"/>
      <c r="F158" s="634"/>
      <c r="G158" s="634"/>
      <c r="H158" s="634"/>
      <c r="I158" s="634"/>
      <c r="J158" s="634"/>
      <c r="K158" s="634"/>
      <c r="L158" s="634"/>
      <c r="M158" s="634"/>
      <c r="N158" s="517"/>
      <c r="O158" s="634"/>
      <c r="P158" s="634"/>
      <c r="Q158" s="634"/>
      <c r="R158" s="634"/>
      <c r="S158" s="634"/>
      <c r="T158" s="634"/>
      <c r="U158" s="634"/>
    </row>
    <row r="159" spans="1:21" ht="18.75">
      <c r="A159" s="4717"/>
      <c r="B159" s="1707"/>
      <c r="C159" s="6089">
        <v>100</v>
      </c>
      <c r="D159" s="6089"/>
      <c r="E159" s="634"/>
      <c r="F159" s="634"/>
      <c r="G159" s="634"/>
      <c r="H159" s="634"/>
      <c r="I159" s="634"/>
      <c r="J159" s="634"/>
      <c r="K159" s="634"/>
      <c r="L159" s="634"/>
      <c r="M159" s="1680" t="s">
        <v>1333</v>
      </c>
      <c r="N159" s="517"/>
      <c r="O159" s="634"/>
      <c r="P159" s="634"/>
      <c r="Q159" s="634"/>
      <c r="R159" s="634"/>
      <c r="S159" s="634"/>
      <c r="T159" s="634"/>
      <c r="U159" s="634"/>
    </row>
    <row r="160" spans="1:21" ht="18.75">
      <c r="A160" s="4717"/>
      <c r="B160" s="1707"/>
      <c r="C160" s="1726"/>
      <c r="D160" s="1726"/>
      <c r="E160" s="634"/>
      <c r="F160" s="634"/>
      <c r="G160" s="634"/>
      <c r="H160" s="634"/>
      <c r="I160" s="634"/>
      <c r="J160" s="634"/>
      <c r="K160" s="634"/>
      <c r="L160" s="634"/>
      <c r="M160" s="1729"/>
      <c r="N160" s="517"/>
      <c r="O160" s="634"/>
      <c r="P160" s="634"/>
      <c r="Q160" s="634"/>
      <c r="R160" s="634"/>
      <c r="S160" s="634"/>
      <c r="T160" s="634"/>
      <c r="U160" s="634"/>
    </row>
    <row r="161" spans="1:21">
      <c r="A161" s="4717"/>
      <c r="B161" s="633"/>
      <c r="C161" s="1362" t="s">
        <v>1314</v>
      </c>
      <c r="D161" s="634"/>
      <c r="E161" s="1362" t="s">
        <v>1314</v>
      </c>
      <c r="F161" s="634"/>
      <c r="G161" s="1362" t="s">
        <v>1325</v>
      </c>
      <c r="H161" s="634"/>
      <c r="I161" s="1364"/>
      <c r="J161" s="634"/>
      <c r="K161" s="634"/>
      <c r="L161" s="634"/>
      <c r="M161" s="634"/>
      <c r="N161" s="517"/>
      <c r="O161" s="634"/>
      <c r="P161" s="634"/>
      <c r="Q161" s="634"/>
      <c r="R161" s="634"/>
      <c r="S161" s="634"/>
      <c r="T161" s="634"/>
      <c r="U161" s="634"/>
    </row>
    <row r="162" spans="1:21">
      <c r="A162" s="4717"/>
      <c r="B162" s="633"/>
      <c r="C162" s="1671" t="str">
        <f>ADDRESS(ROW(C163),COLUMN(C163),4)</f>
        <v>C163</v>
      </c>
      <c r="D162" s="1270"/>
      <c r="E162" s="1671" t="str">
        <f>ADDRESS(ROW(E163),COLUMN(E163),4)</f>
        <v>E163</v>
      </c>
      <c r="G162" s="1671" t="str">
        <f>ADDRESS(ROW(G163),COLUMN(G163),4)</f>
        <v>G163</v>
      </c>
      <c r="H162" s="634"/>
      <c r="I162" s="1364" t="s">
        <v>1327</v>
      </c>
      <c r="J162" s="634"/>
      <c r="K162" s="634"/>
      <c r="L162" s="634"/>
      <c r="M162" s="634"/>
      <c r="N162" s="517"/>
      <c r="O162" s="634"/>
      <c r="P162" s="634"/>
      <c r="Q162" s="634"/>
      <c r="R162" s="634"/>
      <c r="S162" s="634"/>
      <c r="T162" s="634"/>
      <c r="U162" s="634"/>
    </row>
    <row r="163" spans="1:21" ht="19.5" thickBot="1">
      <c r="A163" s="4717"/>
      <c r="B163" s="1681" t="s">
        <v>1331</v>
      </c>
      <c r="C163" s="1728">
        <v>50</v>
      </c>
      <c r="D163" s="1721" t="s">
        <v>1289</v>
      </c>
      <c r="E163" s="1723">
        <f>C163</f>
        <v>50</v>
      </c>
      <c r="F163" s="1719" t="s">
        <v>1343</v>
      </c>
      <c r="G163" s="1676">
        <v>20</v>
      </c>
      <c r="H163" s="1630" t="s">
        <v>997</v>
      </c>
      <c r="I163" s="1636">
        <f>(C163+E163)*G163/100</f>
        <v>20</v>
      </c>
      <c r="J163" s="1675" t="str">
        <f ca="1">_xlfn.FORMULATEXT(I163)</f>
        <v>=(C163+E163)*G163/100</v>
      </c>
      <c r="K163" s="634"/>
      <c r="L163" s="634"/>
      <c r="M163" s="634"/>
      <c r="N163" s="517"/>
      <c r="O163" s="634"/>
      <c r="P163" s="634"/>
      <c r="Q163" s="634"/>
      <c r="R163" s="634"/>
      <c r="S163" s="634"/>
      <c r="T163" s="634"/>
      <c r="U163" s="634"/>
    </row>
    <row r="164" spans="1:21">
      <c r="A164" s="4717"/>
      <c r="B164" s="633"/>
      <c r="C164" s="5906">
        <v>100</v>
      </c>
      <c r="D164" s="5906"/>
      <c r="E164" s="5906"/>
      <c r="F164" s="5906"/>
      <c r="G164" s="5906"/>
      <c r="H164" s="634"/>
      <c r="J164" s="634"/>
      <c r="K164" s="634"/>
      <c r="L164" s="634"/>
      <c r="M164" s="634"/>
      <c r="N164" s="517"/>
      <c r="O164" s="634"/>
      <c r="P164" s="634"/>
      <c r="Q164" s="634"/>
      <c r="R164" s="634"/>
      <c r="S164" s="634"/>
      <c r="T164" s="634"/>
      <c r="U164" s="634"/>
    </row>
    <row r="165" spans="1:21">
      <c r="A165" s="4717"/>
      <c r="B165" s="633"/>
      <c r="C165" s="1422"/>
      <c r="D165" s="634"/>
      <c r="E165" s="1671" t="str">
        <f>ADDRESS(ROW(C164),COLUMN(C164),4)</f>
        <v>C164</v>
      </c>
      <c r="F165" s="634"/>
      <c r="G165" s="634"/>
      <c r="H165" s="634"/>
      <c r="I165" s="634"/>
      <c r="J165" s="634"/>
      <c r="K165" s="634"/>
      <c r="L165" s="634"/>
      <c r="M165" s="634"/>
      <c r="N165" s="517"/>
      <c r="O165" s="634"/>
      <c r="P165" s="634"/>
      <c r="Q165" s="634"/>
      <c r="R165" s="634"/>
      <c r="S165" s="634"/>
      <c r="T165" s="634"/>
      <c r="U165" s="634"/>
    </row>
    <row r="166" spans="1:21" ht="16.5" thickBot="1">
      <c r="A166" s="4717"/>
      <c r="B166" s="1687"/>
      <c r="C166" s="1686"/>
      <c r="D166" s="1684"/>
      <c r="E166" s="1684"/>
      <c r="F166" s="1684"/>
      <c r="G166" s="1684"/>
      <c r="H166" s="1684"/>
      <c r="I166" s="1684"/>
      <c r="J166" s="1684"/>
      <c r="K166" s="1684"/>
      <c r="L166" s="1684"/>
      <c r="M166" s="1684"/>
      <c r="N166" s="1683"/>
      <c r="O166" s="634"/>
      <c r="P166" s="634"/>
      <c r="Q166" s="634"/>
      <c r="R166" s="634"/>
      <c r="S166" s="634"/>
      <c r="T166" s="634"/>
      <c r="U166" s="634"/>
    </row>
    <row r="167" spans="1:21">
      <c r="A167" s="4717"/>
      <c r="B167" s="633"/>
      <c r="C167" s="1422"/>
      <c r="D167" s="634"/>
      <c r="E167" s="634"/>
      <c r="F167" s="634"/>
      <c r="G167" s="634"/>
      <c r="H167" s="634"/>
      <c r="I167" s="634"/>
      <c r="J167" s="634"/>
      <c r="K167" s="634"/>
      <c r="L167" s="634"/>
      <c r="M167" s="634"/>
      <c r="N167" s="517"/>
      <c r="O167" s="634"/>
      <c r="P167" s="634"/>
      <c r="Q167" s="634"/>
      <c r="R167" s="634"/>
      <c r="S167" s="634"/>
      <c r="T167" s="634"/>
      <c r="U167" s="634"/>
    </row>
    <row r="168" spans="1:21">
      <c r="A168" s="4717"/>
      <c r="B168" s="633"/>
      <c r="C168" s="1422"/>
      <c r="D168" s="634"/>
      <c r="E168" s="634"/>
      <c r="F168" s="634"/>
      <c r="G168" s="634"/>
      <c r="H168" s="634"/>
      <c r="I168" s="634"/>
      <c r="J168" s="634"/>
      <c r="K168" s="634"/>
      <c r="L168" s="634"/>
      <c r="M168" s="634"/>
      <c r="N168" s="517"/>
      <c r="O168" s="634"/>
      <c r="P168" s="634"/>
      <c r="Q168" s="634"/>
      <c r="R168" s="634"/>
      <c r="S168" s="634"/>
      <c r="T168" s="634"/>
      <c r="U168" s="634"/>
    </row>
    <row r="169" spans="1:21" ht="18.75">
      <c r="A169" s="4717"/>
      <c r="B169" s="1702" t="s">
        <v>46</v>
      </c>
      <c r="C169" s="1628" t="s">
        <v>1355</v>
      </c>
      <c r="D169" s="1201"/>
      <c r="E169" s="634"/>
      <c r="F169" s="634"/>
      <c r="G169" s="634"/>
      <c r="H169" s="634"/>
      <c r="I169" s="634"/>
      <c r="J169" s="634"/>
      <c r="K169" s="634"/>
      <c r="L169" s="634"/>
      <c r="M169" s="1680" t="s">
        <v>1333</v>
      </c>
      <c r="N169" s="517"/>
      <c r="O169" s="634"/>
      <c r="P169" s="634"/>
      <c r="Q169" s="634"/>
      <c r="R169" s="634"/>
      <c r="S169" s="634"/>
      <c r="T169" s="634"/>
      <c r="U169" s="634"/>
    </row>
    <row r="170" spans="1:21">
      <c r="A170" s="4717"/>
      <c r="B170" s="633"/>
      <c r="C170" s="1422"/>
      <c r="D170" s="634"/>
      <c r="E170" s="1362" t="s">
        <v>1332</v>
      </c>
      <c r="F170" s="634"/>
      <c r="G170" s="1362" t="s">
        <v>1314</v>
      </c>
      <c r="H170" s="634"/>
      <c r="I170" s="1364" t="s">
        <v>1327</v>
      </c>
      <c r="J170" s="634"/>
      <c r="K170" s="634"/>
      <c r="L170" s="634"/>
      <c r="M170" s="634"/>
      <c r="N170" s="517"/>
      <c r="O170" s="634"/>
      <c r="P170" s="634"/>
      <c r="Q170" s="634"/>
      <c r="R170" s="634"/>
      <c r="S170" s="634"/>
      <c r="T170" s="634"/>
      <c r="U170" s="634"/>
    </row>
    <row r="171" spans="1:21" ht="18.75">
      <c r="A171" s="4717"/>
      <c r="B171" s="1681" t="s">
        <v>1331</v>
      </c>
      <c r="C171" s="679">
        <v>1</v>
      </c>
      <c r="D171" s="1638" t="s">
        <v>1289</v>
      </c>
      <c r="E171" s="1688">
        <v>0.2</v>
      </c>
      <c r="F171" s="1674" t="s">
        <v>1343</v>
      </c>
      <c r="G171" s="1633">
        <v>50</v>
      </c>
      <c r="H171" s="1630" t="s">
        <v>997</v>
      </c>
      <c r="I171" s="1636">
        <f>(C171+E171)*G171</f>
        <v>60</v>
      </c>
      <c r="J171" s="1675" t="str">
        <f ca="1">_xlfn.FORMULATEXT(I171)</f>
        <v>=(C171+E171)*G171</v>
      </c>
      <c r="K171" s="1422"/>
      <c r="L171" s="634"/>
      <c r="M171" s="634"/>
      <c r="N171" s="517"/>
      <c r="O171" s="634"/>
      <c r="P171" s="634"/>
      <c r="Q171" s="634"/>
      <c r="R171" s="634"/>
      <c r="S171" s="634"/>
      <c r="T171" s="634"/>
      <c r="U171" s="634"/>
    </row>
    <row r="172" spans="1:21">
      <c r="A172" s="4717"/>
      <c r="B172" s="633"/>
      <c r="C172" s="1422"/>
      <c r="D172" s="634"/>
      <c r="E172" s="634"/>
      <c r="F172" s="634"/>
      <c r="G172" s="634"/>
      <c r="H172" s="634"/>
      <c r="I172" s="634"/>
      <c r="J172" s="634"/>
      <c r="K172" s="634"/>
      <c r="L172" s="634"/>
      <c r="M172" s="634"/>
      <c r="N172" s="517"/>
      <c r="O172" s="634"/>
      <c r="P172" s="634"/>
      <c r="Q172" s="634"/>
      <c r="R172" s="634"/>
      <c r="S172" s="634"/>
      <c r="T172" s="634"/>
      <c r="U172" s="634"/>
    </row>
    <row r="173" spans="1:21">
      <c r="A173" s="4717"/>
      <c r="B173" s="633"/>
      <c r="C173" s="6060" t="s">
        <v>1329</v>
      </c>
      <c r="D173" s="6060"/>
      <c r="E173" s="6060"/>
      <c r="F173" s="6060"/>
      <c r="G173" s="6060"/>
      <c r="H173" s="6060"/>
      <c r="I173" s="6060"/>
      <c r="J173" s="6060"/>
      <c r="K173" s="6060"/>
      <c r="L173" s="6060"/>
      <c r="M173" s="6060"/>
      <c r="N173" s="517"/>
      <c r="O173" s="634"/>
      <c r="P173" s="634"/>
      <c r="Q173" s="634"/>
      <c r="R173" s="634"/>
      <c r="S173" s="634"/>
      <c r="T173" s="634"/>
      <c r="U173" s="634"/>
    </row>
    <row r="174" spans="1:21">
      <c r="A174" s="4717"/>
      <c r="B174" s="633"/>
      <c r="C174" s="1010"/>
      <c r="D174" s="1010"/>
      <c r="E174" s="1010"/>
      <c r="F174" s="1010"/>
      <c r="G174" s="1010"/>
      <c r="H174" s="1010"/>
      <c r="I174" s="1010"/>
      <c r="J174" s="1010"/>
      <c r="K174" s="1010"/>
      <c r="L174" s="1010"/>
      <c r="M174" s="1010"/>
      <c r="N174" s="517"/>
      <c r="O174" s="634"/>
      <c r="P174" s="634"/>
      <c r="Q174" s="634"/>
      <c r="R174" s="634"/>
      <c r="S174" s="634"/>
      <c r="T174" s="634"/>
      <c r="U174" s="634"/>
    </row>
    <row r="175" spans="1:21" ht="19.5" thickBot="1">
      <c r="A175" s="4717"/>
      <c r="B175" s="1702" t="s">
        <v>46</v>
      </c>
      <c r="C175" s="6088" t="s">
        <v>1354</v>
      </c>
      <c r="D175" s="6088"/>
      <c r="E175" s="634"/>
      <c r="F175" s="634"/>
      <c r="G175" s="634"/>
      <c r="H175" s="634"/>
      <c r="I175" s="634"/>
      <c r="J175" s="634"/>
      <c r="K175" s="634"/>
      <c r="L175" s="634"/>
      <c r="M175" s="1680" t="s">
        <v>1333</v>
      </c>
      <c r="N175" s="517"/>
      <c r="O175" s="634"/>
      <c r="P175" s="634"/>
      <c r="Q175" s="634"/>
      <c r="R175" s="634"/>
      <c r="S175" s="634"/>
      <c r="T175" s="634"/>
      <c r="U175" s="634"/>
    </row>
    <row r="176" spans="1:21" ht="18.75">
      <c r="A176" s="4717"/>
      <c r="B176" s="1702"/>
      <c r="C176" s="6089">
        <v>100</v>
      </c>
      <c r="D176" s="6089"/>
      <c r="E176" s="634"/>
      <c r="F176" s="634"/>
      <c r="G176" s="634"/>
      <c r="H176" s="634"/>
      <c r="I176" s="634"/>
      <c r="J176" s="634"/>
      <c r="K176" s="634"/>
      <c r="L176" s="634"/>
      <c r="M176" s="1727"/>
      <c r="N176" s="517"/>
      <c r="O176" s="634"/>
      <c r="P176" s="634"/>
      <c r="Q176" s="634"/>
      <c r="R176" s="634"/>
      <c r="S176" s="634"/>
      <c r="T176" s="634"/>
      <c r="U176" s="634"/>
    </row>
    <row r="177" spans="1:21">
      <c r="A177" s="4717"/>
      <c r="B177" s="633"/>
      <c r="C177" s="1422" t="s">
        <v>1314</v>
      </c>
      <c r="D177" s="634"/>
      <c r="E177" s="634"/>
      <c r="F177" s="634"/>
      <c r="G177" s="634"/>
      <c r="H177" s="634"/>
      <c r="I177" s="634"/>
      <c r="J177" s="634"/>
      <c r="K177" s="634"/>
      <c r="L177" s="634"/>
      <c r="M177" s="634"/>
      <c r="N177" s="517"/>
      <c r="O177" s="634"/>
      <c r="P177" s="634"/>
      <c r="Q177" s="634"/>
      <c r="R177" s="634"/>
      <c r="S177" s="634"/>
      <c r="T177" s="634"/>
      <c r="U177" s="634"/>
    </row>
    <row r="178" spans="1:21">
      <c r="A178" s="4717"/>
      <c r="B178" s="633"/>
      <c r="C178" s="1422" t="s">
        <v>1325</v>
      </c>
      <c r="D178" s="634"/>
      <c r="E178" s="634"/>
      <c r="F178" s="634"/>
      <c r="G178" s="634"/>
      <c r="H178" s="634"/>
      <c r="I178" s="634"/>
      <c r="J178" s="634"/>
      <c r="K178" s="634"/>
      <c r="L178" s="634"/>
      <c r="M178" s="634"/>
      <c r="N178" s="517"/>
      <c r="O178" s="634"/>
      <c r="P178" s="634"/>
      <c r="Q178" s="634"/>
      <c r="R178" s="634"/>
      <c r="S178" s="634"/>
      <c r="T178" s="634"/>
      <c r="U178" s="634"/>
    </row>
    <row r="179" spans="1:21">
      <c r="A179" s="4717"/>
      <c r="B179" s="633"/>
      <c r="C179" s="1422"/>
      <c r="D179" s="634"/>
      <c r="E179" s="634"/>
      <c r="F179" s="634"/>
      <c r="G179" s="634"/>
      <c r="H179" s="634"/>
      <c r="I179" s="634"/>
      <c r="J179" s="634"/>
      <c r="K179" s="634"/>
      <c r="L179" s="634"/>
      <c r="M179" s="634"/>
      <c r="N179" s="517"/>
      <c r="O179" s="634"/>
      <c r="P179" s="634"/>
      <c r="Q179" s="634"/>
      <c r="R179" s="634"/>
      <c r="S179" s="634"/>
      <c r="T179" s="634"/>
      <c r="U179" s="634"/>
    </row>
    <row r="180" spans="1:21">
      <c r="A180" s="4717"/>
      <c r="B180" s="633"/>
      <c r="C180" s="1362" t="s">
        <v>1314</v>
      </c>
      <c r="D180" s="1671"/>
      <c r="E180" s="1362" t="s">
        <v>1325</v>
      </c>
      <c r="F180" s="634"/>
      <c r="G180" s="1362" t="s">
        <v>1314</v>
      </c>
      <c r="H180" s="634"/>
      <c r="I180" s="1364"/>
      <c r="J180" s="634"/>
      <c r="K180" s="634"/>
      <c r="L180" s="634"/>
      <c r="M180" s="634"/>
      <c r="N180" s="517"/>
      <c r="O180" s="634"/>
      <c r="P180" s="634"/>
      <c r="Q180" s="634"/>
      <c r="R180" s="634"/>
      <c r="S180" s="634"/>
      <c r="T180" s="634"/>
      <c r="U180" s="634"/>
    </row>
    <row r="181" spans="1:21">
      <c r="A181" s="4717"/>
      <c r="B181" s="633"/>
      <c r="C181" s="1671" t="str">
        <f>ADDRESS(ROW(C182),COLUMN(C182),4)</f>
        <v>C182</v>
      </c>
      <c r="D181" s="1670"/>
      <c r="E181" s="1671" t="str">
        <f>ADDRESS(ROW(E182),COLUMN(E182),4)</f>
        <v>E182</v>
      </c>
      <c r="F181" s="634"/>
      <c r="G181" s="1671" t="str">
        <f>ADDRESS(ROW(G182),COLUMN(G182),4)</f>
        <v>G182</v>
      </c>
      <c r="H181" s="634"/>
      <c r="I181" s="1364" t="s">
        <v>1327</v>
      </c>
      <c r="J181" s="634"/>
      <c r="K181" s="634"/>
      <c r="L181" s="634"/>
      <c r="M181" s="634"/>
      <c r="N181" s="517"/>
      <c r="O181" s="634"/>
      <c r="P181" s="634"/>
      <c r="Q181" s="634"/>
      <c r="R181" s="634"/>
      <c r="S181" s="634"/>
      <c r="T181" s="634"/>
      <c r="U181" s="634"/>
    </row>
    <row r="182" spans="1:21" ht="19.5" thickBot="1">
      <c r="A182" s="4717"/>
      <c r="B182" s="1681" t="s">
        <v>1331</v>
      </c>
      <c r="C182" s="1633">
        <v>50</v>
      </c>
      <c r="D182" s="1270" t="s">
        <v>1353</v>
      </c>
      <c r="E182" s="1676">
        <v>20</v>
      </c>
      <c r="F182" s="1674" t="s">
        <v>1352</v>
      </c>
      <c r="G182" s="1636">
        <f>C182</f>
        <v>50</v>
      </c>
      <c r="H182" s="1630" t="s">
        <v>997</v>
      </c>
      <c r="I182" s="1636">
        <f>(C182*E182)/C183+G182</f>
        <v>60</v>
      </c>
      <c r="J182" s="1675" t="str">
        <f ca="1">_xlfn.FORMULATEXT(I182)</f>
        <v>=(C182*E182)/C183+G182</v>
      </c>
      <c r="K182" s="634"/>
      <c r="L182" s="634"/>
      <c r="M182" s="634"/>
      <c r="N182" s="517"/>
      <c r="O182" s="634"/>
      <c r="P182" s="634"/>
      <c r="Q182" s="634"/>
      <c r="R182" s="634"/>
      <c r="S182" s="634"/>
      <c r="T182" s="634"/>
      <c r="U182" s="634"/>
    </row>
    <row r="183" spans="1:21">
      <c r="A183" s="4717"/>
      <c r="B183" s="633"/>
      <c r="C183" s="5906">
        <v>100</v>
      </c>
      <c r="D183" s="5906"/>
      <c r="E183" s="5906"/>
      <c r="F183" s="634"/>
      <c r="G183" s="634"/>
      <c r="H183" s="634"/>
      <c r="I183" s="634"/>
      <c r="J183" s="634"/>
      <c r="K183" s="634"/>
      <c r="L183" s="634"/>
      <c r="M183" s="634"/>
      <c r="N183" s="517"/>
      <c r="O183" s="634"/>
      <c r="P183" s="634"/>
      <c r="Q183" s="634"/>
      <c r="R183" s="634"/>
      <c r="S183" s="634"/>
      <c r="T183" s="634"/>
      <c r="U183" s="634"/>
    </row>
    <row r="184" spans="1:21">
      <c r="A184" s="4717"/>
      <c r="B184" s="633"/>
      <c r="C184" s="1422"/>
      <c r="D184" s="1671" t="str">
        <f>ADDRESS(ROW(C183),COLUMN(C183),4)</f>
        <v>C183</v>
      </c>
      <c r="E184" s="634"/>
      <c r="F184" s="634"/>
      <c r="G184" s="634"/>
      <c r="H184" s="634"/>
      <c r="I184" s="634"/>
      <c r="J184" s="634"/>
      <c r="K184" s="634"/>
      <c r="L184" s="634"/>
      <c r="M184" s="634"/>
      <c r="N184" s="517"/>
      <c r="O184" s="634"/>
      <c r="P184" s="634"/>
      <c r="Q184" s="634"/>
      <c r="R184" s="634"/>
      <c r="S184" s="634"/>
      <c r="T184" s="634"/>
      <c r="U184" s="634"/>
    </row>
    <row r="185" spans="1:21">
      <c r="A185" s="4717"/>
      <c r="B185" s="633"/>
      <c r="C185" s="1422"/>
      <c r="D185" s="634"/>
      <c r="E185" s="634"/>
      <c r="F185" s="634"/>
      <c r="G185" s="634"/>
      <c r="H185" s="634"/>
      <c r="I185" s="634"/>
      <c r="J185" s="634"/>
      <c r="K185" s="634"/>
      <c r="L185" s="634"/>
      <c r="M185" s="634"/>
      <c r="N185" s="517"/>
      <c r="O185" s="634"/>
      <c r="P185" s="634"/>
      <c r="Q185" s="634"/>
      <c r="R185" s="634"/>
      <c r="S185" s="634"/>
      <c r="T185" s="634"/>
      <c r="U185" s="634"/>
    </row>
    <row r="186" spans="1:21" ht="16.5" thickBot="1">
      <c r="A186" s="4717"/>
      <c r="B186" s="1687"/>
      <c r="C186" s="1686"/>
      <c r="D186" s="1684"/>
      <c r="E186" s="1684"/>
      <c r="F186" s="1684"/>
      <c r="G186" s="1684"/>
      <c r="H186" s="1684"/>
      <c r="I186" s="1684"/>
      <c r="J186" s="1684"/>
      <c r="K186" s="1684"/>
      <c r="L186" s="1684"/>
      <c r="M186" s="1684"/>
      <c r="N186" s="1683"/>
      <c r="O186" s="634"/>
      <c r="P186" s="634"/>
      <c r="Q186" s="634"/>
      <c r="R186" s="634"/>
      <c r="S186" s="634"/>
      <c r="T186" s="634"/>
      <c r="U186" s="634"/>
    </row>
    <row r="187" spans="1:21">
      <c r="A187" s="4717"/>
      <c r="B187" s="633"/>
      <c r="C187" s="1422"/>
      <c r="D187" s="634"/>
      <c r="E187" s="634"/>
      <c r="F187" s="634"/>
      <c r="G187" s="634"/>
      <c r="H187" s="634"/>
      <c r="I187" s="634"/>
      <c r="J187" s="634"/>
      <c r="K187" s="634"/>
      <c r="L187" s="634"/>
      <c r="M187" s="634"/>
      <c r="N187" s="517"/>
      <c r="O187" s="634"/>
      <c r="P187" s="634"/>
      <c r="Q187" s="634"/>
      <c r="R187" s="634"/>
      <c r="S187" s="634"/>
      <c r="T187" s="634"/>
      <c r="U187" s="634"/>
    </row>
    <row r="188" spans="1:21" ht="18.75">
      <c r="A188" s="4717"/>
      <c r="B188" s="1702" t="s">
        <v>457</v>
      </c>
      <c r="C188" s="1628" t="s">
        <v>1103</v>
      </c>
      <c r="D188" s="634"/>
      <c r="E188" s="634"/>
      <c r="F188" s="634"/>
      <c r="G188" s="634"/>
      <c r="H188" s="634"/>
      <c r="I188" s="634"/>
      <c r="J188" s="634"/>
      <c r="K188" s="634"/>
      <c r="L188" s="634"/>
      <c r="M188" s="1680" t="s">
        <v>1333</v>
      </c>
      <c r="N188" s="517"/>
      <c r="O188" s="634"/>
      <c r="P188" s="634"/>
      <c r="Q188" s="634"/>
      <c r="R188" s="634"/>
      <c r="S188" s="634"/>
      <c r="T188" s="634"/>
      <c r="U188" s="634"/>
    </row>
    <row r="189" spans="1:21" ht="18.75">
      <c r="A189" s="4717"/>
      <c r="B189" s="1702"/>
      <c r="C189" s="1422" t="s">
        <v>1333</v>
      </c>
      <c r="D189" s="634"/>
      <c r="E189" s="634"/>
      <c r="F189" s="634"/>
      <c r="G189" s="634"/>
      <c r="H189" s="634"/>
      <c r="I189" s="634"/>
      <c r="J189" s="634"/>
      <c r="K189" s="634"/>
      <c r="L189" s="634"/>
      <c r="M189" s="634"/>
      <c r="N189" s="517"/>
      <c r="O189" s="634"/>
      <c r="P189" s="634"/>
      <c r="Q189" s="634"/>
      <c r="R189" s="634"/>
      <c r="S189" s="634"/>
      <c r="T189" s="634"/>
      <c r="U189" s="634"/>
    </row>
    <row r="190" spans="1:21" ht="18.75">
      <c r="A190" s="4717"/>
      <c r="B190" s="1702"/>
      <c r="C190" s="1422" t="s">
        <v>1315</v>
      </c>
      <c r="D190" s="634"/>
      <c r="E190" s="634"/>
      <c r="F190" s="634"/>
      <c r="G190" s="634"/>
      <c r="H190" s="634"/>
      <c r="I190" s="634"/>
      <c r="J190" s="634"/>
      <c r="K190" s="634"/>
      <c r="L190" s="634"/>
      <c r="M190" s="634"/>
      <c r="N190" s="517"/>
      <c r="O190" s="634"/>
      <c r="P190" s="634"/>
      <c r="Q190" s="634"/>
      <c r="R190" s="634"/>
      <c r="S190" s="634"/>
      <c r="T190" s="634"/>
      <c r="U190" s="634"/>
    </row>
    <row r="191" spans="1:21" ht="18.75">
      <c r="A191" s="4717"/>
      <c r="B191" s="1702"/>
      <c r="C191" s="1422" t="s">
        <v>1314</v>
      </c>
      <c r="D191" s="634"/>
      <c r="E191" s="634"/>
      <c r="F191" s="634"/>
      <c r="G191" s="634"/>
      <c r="H191" s="634"/>
      <c r="I191" s="634"/>
      <c r="J191" s="634"/>
      <c r="K191" s="634"/>
      <c r="L191" s="634"/>
      <c r="M191" s="634"/>
      <c r="N191" s="517"/>
      <c r="O191" s="634"/>
      <c r="P191" s="634"/>
      <c r="Q191" s="634"/>
      <c r="R191" s="634"/>
      <c r="S191" s="634"/>
      <c r="T191" s="634"/>
      <c r="U191" s="634"/>
    </row>
    <row r="192" spans="1:21" ht="18.75">
      <c r="A192" s="4717"/>
      <c r="B192" s="1702"/>
      <c r="C192" s="1628"/>
      <c r="D192" s="634"/>
      <c r="E192" s="634"/>
      <c r="F192" s="634"/>
      <c r="G192" s="634"/>
      <c r="H192" s="634"/>
      <c r="I192" s="634"/>
      <c r="J192" s="634"/>
      <c r="K192" s="634"/>
      <c r="L192" s="634"/>
      <c r="M192" s="634"/>
      <c r="N192" s="517"/>
      <c r="O192" s="634"/>
      <c r="P192" s="634"/>
      <c r="Q192" s="634"/>
      <c r="R192" s="634"/>
      <c r="S192" s="634"/>
      <c r="T192" s="634"/>
      <c r="U192" s="634"/>
    </row>
    <row r="193" spans="1:21">
      <c r="A193" s="4717"/>
      <c r="B193" s="633"/>
      <c r="C193" s="1362" t="s">
        <v>1315</v>
      </c>
      <c r="D193" s="634"/>
      <c r="E193" s="1362" t="s">
        <v>1314</v>
      </c>
      <c r="F193" s="634"/>
      <c r="G193" s="1364" t="s">
        <v>1327</v>
      </c>
      <c r="H193" s="634"/>
      <c r="I193" s="634"/>
      <c r="J193" s="634"/>
      <c r="K193" s="634"/>
      <c r="L193" s="634"/>
      <c r="M193" s="634"/>
      <c r="N193" s="517"/>
      <c r="O193" s="634"/>
      <c r="P193" s="634"/>
      <c r="Q193" s="634"/>
      <c r="R193" s="634"/>
      <c r="S193" s="634"/>
      <c r="T193" s="634"/>
      <c r="U193" s="634"/>
    </row>
    <row r="194" spans="1:21" ht="18.75">
      <c r="A194" s="4717"/>
      <c r="B194" s="633"/>
      <c r="C194" s="1637">
        <v>10</v>
      </c>
      <c r="D194" s="1638" t="s">
        <v>1289</v>
      </c>
      <c r="E194" s="1633">
        <v>50</v>
      </c>
      <c r="F194" s="1630" t="s">
        <v>997</v>
      </c>
      <c r="G194" s="1636">
        <f>C194+E194</f>
        <v>60</v>
      </c>
      <c r="H194" s="1675" t="str">
        <f ca="1">_xlfn.FORMULATEXT(G194)</f>
        <v>=C194+E194</v>
      </c>
      <c r="I194" s="634"/>
      <c r="J194" s="634"/>
      <c r="K194" s="634"/>
      <c r="L194" s="634"/>
      <c r="M194" s="634"/>
      <c r="N194" s="517"/>
      <c r="O194" s="634"/>
      <c r="P194" s="634"/>
      <c r="Q194" s="634"/>
      <c r="R194" s="634"/>
      <c r="S194" s="634"/>
      <c r="T194" s="634"/>
      <c r="U194" s="634"/>
    </row>
    <row r="195" spans="1:21">
      <c r="A195" s="4717"/>
      <c r="B195" s="633"/>
      <c r="C195" s="1671" t="str">
        <f>ADDRESS(ROW(C194),COLUMN(C194),4)</f>
        <v>C194</v>
      </c>
      <c r="D195" s="634"/>
      <c r="E195" s="1671" t="str">
        <f>ADDRESS(ROW(E194),COLUMN(E194),4)</f>
        <v>E194</v>
      </c>
      <c r="F195" s="634"/>
      <c r="G195" s="634"/>
      <c r="H195" s="634"/>
      <c r="I195" s="634"/>
      <c r="J195" s="634"/>
      <c r="K195" s="634"/>
      <c r="L195" s="634"/>
      <c r="M195" s="634"/>
      <c r="N195" s="517"/>
      <c r="O195" s="634"/>
      <c r="P195" s="634"/>
      <c r="Q195" s="634"/>
      <c r="R195" s="634"/>
      <c r="S195" s="634"/>
      <c r="T195" s="634"/>
      <c r="U195" s="634"/>
    </row>
    <row r="196" spans="1:21">
      <c r="A196" s="4717"/>
      <c r="B196" s="633"/>
      <c r="C196" s="634"/>
      <c r="D196" s="634"/>
      <c r="E196" s="634"/>
      <c r="F196" s="634"/>
      <c r="G196" s="634"/>
      <c r="H196" s="634"/>
      <c r="I196" s="634"/>
      <c r="J196" s="634"/>
      <c r="K196" s="634"/>
      <c r="L196" s="634"/>
      <c r="M196" s="634"/>
      <c r="N196" s="517"/>
      <c r="O196" s="634"/>
      <c r="P196" s="634"/>
      <c r="Q196" s="634"/>
      <c r="R196" s="634"/>
      <c r="S196" s="634"/>
      <c r="T196" s="634"/>
      <c r="U196" s="634"/>
    </row>
    <row r="197" spans="1:21" ht="16.5" thickBot="1">
      <c r="A197" s="4717"/>
      <c r="B197" s="1687"/>
      <c r="C197" s="1686"/>
      <c r="D197" s="1684"/>
      <c r="E197" s="1684"/>
      <c r="F197" s="1684"/>
      <c r="G197" s="1684"/>
      <c r="H197" s="1684"/>
      <c r="I197" s="1684"/>
      <c r="J197" s="1684"/>
      <c r="K197" s="1684"/>
      <c r="L197" s="1684"/>
      <c r="M197" s="1684"/>
      <c r="N197" s="1683"/>
      <c r="O197" s="634"/>
      <c r="P197" s="634"/>
      <c r="Q197" s="634"/>
      <c r="R197" s="634"/>
      <c r="S197" s="634"/>
      <c r="T197" s="634"/>
      <c r="U197" s="634"/>
    </row>
    <row r="198" spans="1:21">
      <c r="A198" s="4717"/>
      <c r="B198" s="633"/>
      <c r="C198" s="1422"/>
      <c r="D198" s="634"/>
      <c r="E198" s="634"/>
      <c r="F198" s="634"/>
      <c r="G198" s="634"/>
      <c r="H198" s="634"/>
      <c r="I198" s="634"/>
      <c r="J198" s="634"/>
      <c r="K198" s="634"/>
      <c r="L198" s="634"/>
      <c r="M198" s="634"/>
      <c r="N198" s="517"/>
      <c r="O198" s="634"/>
      <c r="P198" s="634"/>
      <c r="Q198" s="634"/>
      <c r="R198" s="634"/>
      <c r="S198" s="634"/>
      <c r="T198" s="634"/>
      <c r="U198" s="634"/>
    </row>
    <row r="199" spans="1:21" ht="18.75">
      <c r="A199" s="4717"/>
      <c r="B199" s="1702" t="s">
        <v>469</v>
      </c>
      <c r="C199" s="1628" t="s">
        <v>1351</v>
      </c>
      <c r="D199" s="1201"/>
      <c r="E199" s="634"/>
      <c r="F199" s="634"/>
      <c r="G199" s="634"/>
      <c r="H199" s="634"/>
      <c r="I199" s="634"/>
      <c r="J199" s="634"/>
      <c r="K199" s="634"/>
      <c r="L199" s="634"/>
      <c r="M199" s="1680" t="s">
        <v>1333</v>
      </c>
      <c r="N199" s="517"/>
      <c r="O199" s="634"/>
      <c r="P199" s="634"/>
      <c r="Q199" s="634"/>
      <c r="R199" s="634"/>
      <c r="S199" s="634"/>
      <c r="T199" s="634"/>
      <c r="U199" s="634"/>
    </row>
    <row r="200" spans="1:21" ht="18.75">
      <c r="A200" s="4717"/>
      <c r="B200" s="1702"/>
      <c r="C200" s="1422" t="s">
        <v>1315</v>
      </c>
      <c r="D200" s="1201"/>
      <c r="E200" s="634"/>
      <c r="F200" s="634"/>
      <c r="G200" s="634"/>
      <c r="H200" s="634"/>
      <c r="I200" s="634"/>
      <c r="J200" s="634"/>
      <c r="K200" s="634"/>
      <c r="L200" s="634"/>
      <c r="M200" s="634"/>
      <c r="N200" s="517"/>
      <c r="O200" s="634"/>
      <c r="P200" s="634"/>
      <c r="Q200" s="634"/>
      <c r="R200" s="634"/>
      <c r="S200" s="634"/>
      <c r="T200" s="634"/>
      <c r="U200" s="634"/>
    </row>
    <row r="201" spans="1:21" ht="18.75">
      <c r="A201" s="4717"/>
      <c r="B201" s="1702"/>
      <c r="C201" s="1422" t="s">
        <v>1332</v>
      </c>
      <c r="D201" s="1201"/>
      <c r="E201" s="634"/>
      <c r="F201" s="634"/>
      <c r="G201" s="634"/>
      <c r="H201" s="634"/>
      <c r="I201" s="634"/>
      <c r="J201" s="634"/>
      <c r="K201" s="634"/>
      <c r="L201" s="634"/>
      <c r="M201" s="634"/>
      <c r="N201" s="517"/>
      <c r="O201" s="634"/>
      <c r="P201" s="634"/>
      <c r="Q201" s="634"/>
      <c r="R201" s="634"/>
      <c r="S201" s="634"/>
      <c r="T201" s="634"/>
      <c r="U201" s="634"/>
    </row>
    <row r="202" spans="1:21" ht="18.75">
      <c r="A202" s="4717"/>
      <c r="B202" s="1702"/>
      <c r="C202" s="1628"/>
      <c r="D202" s="1201"/>
      <c r="E202" s="634"/>
      <c r="F202" s="634"/>
      <c r="G202" s="634"/>
      <c r="H202" s="634"/>
      <c r="I202" s="634"/>
      <c r="J202" s="634"/>
      <c r="K202" s="634"/>
      <c r="L202" s="634"/>
      <c r="M202" s="634"/>
      <c r="N202" s="517"/>
      <c r="O202" s="634"/>
      <c r="P202" s="634"/>
      <c r="Q202" s="634"/>
      <c r="R202" s="634"/>
      <c r="S202" s="634"/>
      <c r="T202" s="634"/>
      <c r="U202" s="634"/>
    </row>
    <row r="203" spans="1:21">
      <c r="A203" s="4717"/>
      <c r="B203" s="633"/>
      <c r="C203" s="1671" t="str">
        <f>ADDRESS(ROW(C205),COLUMN(C205),4)</f>
        <v>C205</v>
      </c>
      <c r="D203" s="634"/>
      <c r="E203" s="1671" t="str">
        <f>ADDRESS(ROW(E205),COLUMN(E205),4)</f>
        <v>E205</v>
      </c>
      <c r="F203" s="634"/>
      <c r="G203" s="634"/>
      <c r="H203" s="634"/>
      <c r="I203" s="634"/>
      <c r="J203" s="634"/>
      <c r="K203" s="634"/>
      <c r="L203" s="634"/>
      <c r="M203" s="634"/>
      <c r="N203" s="517"/>
      <c r="O203" s="634"/>
      <c r="P203" s="634"/>
      <c r="Q203" s="634"/>
      <c r="R203" s="634"/>
      <c r="S203" s="634"/>
      <c r="T203" s="634"/>
      <c r="U203" s="634"/>
    </row>
    <row r="204" spans="1:21">
      <c r="A204" s="4717"/>
      <c r="B204" s="633"/>
      <c r="C204" s="1362" t="s">
        <v>1315</v>
      </c>
      <c r="D204" s="634"/>
      <c r="E204" s="1362" t="s">
        <v>1315</v>
      </c>
      <c r="F204" s="634"/>
      <c r="G204" s="1364" t="s">
        <v>1327</v>
      </c>
      <c r="H204" s="634"/>
      <c r="I204" s="634"/>
      <c r="J204" s="634"/>
      <c r="K204" s="634"/>
      <c r="L204" s="634"/>
      <c r="M204" s="634"/>
      <c r="N204" s="517"/>
      <c r="O204" s="634"/>
      <c r="P204" s="634"/>
      <c r="Q204" s="634"/>
      <c r="R204" s="634"/>
      <c r="S204" s="634"/>
      <c r="T204" s="634"/>
      <c r="U204" s="634"/>
    </row>
    <row r="205" spans="1:21" ht="16.5" thickBot="1">
      <c r="A205" s="4717"/>
      <c r="B205" s="1725" t="s">
        <v>1331</v>
      </c>
      <c r="C205" s="1677">
        <v>10</v>
      </c>
      <c r="D205" s="1721" t="s">
        <v>1289</v>
      </c>
      <c r="E205" s="1723">
        <f>C205</f>
        <v>10</v>
      </c>
      <c r="F205" s="1674" t="s">
        <v>1334</v>
      </c>
      <c r="G205" s="1636">
        <f>(C205+E205)/C206</f>
        <v>100</v>
      </c>
      <c r="H205" s="1675" t="str">
        <f ca="1">_xlfn.FORMULATEXT(G205)</f>
        <v>=(C205+E205)/C206</v>
      </c>
      <c r="I205" s="634"/>
      <c r="J205" s="634">
        <f>(C205*2)/C206</f>
        <v>100</v>
      </c>
      <c r="K205" s="634"/>
      <c r="L205" s="634"/>
      <c r="M205" s="634"/>
      <c r="N205" s="517"/>
      <c r="O205" s="634"/>
      <c r="P205" s="634"/>
      <c r="Q205" s="634"/>
      <c r="R205" s="634"/>
      <c r="S205" s="634"/>
      <c r="T205" s="634"/>
      <c r="U205" s="634"/>
    </row>
    <row r="206" spans="1:21">
      <c r="A206" s="4717"/>
      <c r="B206" s="633"/>
      <c r="C206" s="6125">
        <v>0.2</v>
      </c>
      <c r="D206" s="6125"/>
      <c r="E206" s="6125"/>
      <c r="F206" s="634"/>
      <c r="G206" s="634"/>
      <c r="H206" s="634"/>
      <c r="I206" s="634"/>
      <c r="J206" s="634"/>
      <c r="K206" s="634"/>
      <c r="L206" s="634"/>
      <c r="M206" s="634"/>
      <c r="N206" s="517"/>
      <c r="O206" s="634"/>
      <c r="P206" s="634"/>
      <c r="Q206" s="634"/>
      <c r="R206" s="634"/>
      <c r="S206" s="634"/>
      <c r="T206" s="634"/>
      <c r="U206" s="634"/>
    </row>
    <row r="207" spans="1:21">
      <c r="A207" s="4717"/>
      <c r="B207" s="633"/>
      <c r="D207" s="1671" t="str">
        <f>ADDRESS(ROW(C206),COLUMN(C206),4)</f>
        <v>C206</v>
      </c>
      <c r="E207" s="1362" t="s">
        <v>1332</v>
      </c>
      <c r="F207" s="634"/>
      <c r="G207" s="634"/>
      <c r="H207" s="634"/>
      <c r="I207" s="634"/>
      <c r="J207" s="634"/>
      <c r="K207" s="634"/>
      <c r="L207" s="634"/>
      <c r="M207" s="634"/>
      <c r="N207" s="517"/>
      <c r="O207" s="634"/>
      <c r="P207" s="634"/>
      <c r="Q207" s="634"/>
      <c r="R207" s="634"/>
      <c r="S207" s="634"/>
      <c r="T207" s="634"/>
      <c r="U207" s="634"/>
    </row>
    <row r="208" spans="1:21">
      <c r="A208" s="4717"/>
      <c r="B208" s="633"/>
      <c r="C208" s="634"/>
      <c r="D208" s="634"/>
      <c r="E208" s="634"/>
      <c r="F208" s="634"/>
      <c r="G208" s="634"/>
      <c r="H208" s="634"/>
      <c r="I208" s="634"/>
      <c r="J208" s="634"/>
      <c r="K208" s="634"/>
      <c r="L208" s="634"/>
      <c r="M208" s="634"/>
      <c r="N208" s="517"/>
      <c r="O208" s="634"/>
      <c r="P208" s="634"/>
      <c r="Q208" s="634"/>
      <c r="R208" s="634"/>
      <c r="S208" s="634"/>
      <c r="T208" s="634"/>
      <c r="U208" s="634"/>
    </row>
    <row r="209" spans="1:21">
      <c r="A209" s="4717"/>
      <c r="B209" s="633"/>
      <c r="C209" s="6090" t="s">
        <v>1329</v>
      </c>
      <c r="D209" s="6091"/>
      <c r="E209" s="6091"/>
      <c r="F209" s="6091"/>
      <c r="G209" s="6091"/>
      <c r="H209" s="6091"/>
      <c r="I209" s="6091"/>
      <c r="J209" s="6091"/>
      <c r="K209" s="6091"/>
      <c r="L209" s="6091"/>
      <c r="M209" s="6092"/>
      <c r="N209" s="517"/>
      <c r="O209" s="634"/>
      <c r="P209" s="634"/>
      <c r="Q209" s="634"/>
      <c r="R209" s="634"/>
      <c r="S209" s="634"/>
      <c r="T209" s="634"/>
      <c r="U209" s="634"/>
    </row>
    <row r="210" spans="1:21">
      <c r="A210" s="4717"/>
      <c r="B210" s="633"/>
      <c r="C210" s="1010"/>
      <c r="D210" s="1010"/>
      <c r="E210" s="1010"/>
      <c r="F210" s="1010"/>
      <c r="G210" s="1010"/>
      <c r="H210" s="1010"/>
      <c r="I210" s="1010"/>
      <c r="J210" s="1010"/>
      <c r="K210" s="1010"/>
      <c r="L210" s="1010"/>
      <c r="M210" s="1010"/>
      <c r="N210" s="517"/>
      <c r="O210" s="634"/>
      <c r="P210" s="634"/>
      <c r="Q210" s="634"/>
      <c r="R210" s="634"/>
      <c r="S210" s="634"/>
      <c r="T210" s="634"/>
      <c r="U210" s="634"/>
    </row>
    <row r="211" spans="1:21" ht="19.5" thickBot="1">
      <c r="A211" s="4717"/>
      <c r="B211" s="1702" t="s">
        <v>469</v>
      </c>
      <c r="C211" s="6088" t="s">
        <v>1350</v>
      </c>
      <c r="D211" s="6088"/>
      <c r="E211" s="634"/>
      <c r="F211" s="634"/>
      <c r="G211" s="634"/>
      <c r="H211" s="634"/>
      <c r="I211" s="634"/>
      <c r="J211" s="634"/>
      <c r="K211" s="634"/>
      <c r="L211" s="634"/>
      <c r="M211" s="1680" t="s">
        <v>1333</v>
      </c>
      <c r="N211" s="517"/>
      <c r="O211" s="634"/>
      <c r="P211" s="634"/>
      <c r="Q211" s="634"/>
      <c r="R211" s="634"/>
      <c r="S211" s="634"/>
      <c r="T211" s="634"/>
      <c r="U211" s="634"/>
    </row>
    <row r="212" spans="1:21" ht="18.75">
      <c r="A212" s="4717"/>
      <c r="B212" s="1702"/>
      <c r="C212" s="6089" t="s">
        <v>1348</v>
      </c>
      <c r="D212" s="6089"/>
      <c r="E212" s="634"/>
      <c r="F212" s="634"/>
      <c r="G212" s="634"/>
      <c r="H212" s="634"/>
      <c r="I212" s="634"/>
      <c r="J212" s="634"/>
      <c r="K212" s="634"/>
      <c r="L212" s="634"/>
      <c r="M212" s="634"/>
      <c r="N212" s="517"/>
      <c r="O212" s="634"/>
      <c r="P212" s="634"/>
      <c r="Q212" s="634"/>
      <c r="R212" s="634"/>
      <c r="S212" s="634"/>
      <c r="T212" s="634"/>
      <c r="U212" s="634"/>
    </row>
    <row r="213" spans="1:21" ht="18.75">
      <c r="A213" s="4717"/>
      <c r="B213" s="1702"/>
      <c r="C213" s="1422" t="s">
        <v>1315</v>
      </c>
      <c r="D213" s="1726"/>
      <c r="E213" s="634"/>
      <c r="F213" s="634"/>
      <c r="G213" s="634"/>
      <c r="H213" s="634"/>
      <c r="I213" s="634"/>
      <c r="J213" s="634"/>
      <c r="K213" s="634"/>
      <c r="L213" s="634"/>
      <c r="M213" s="634"/>
      <c r="N213" s="517"/>
      <c r="O213" s="634"/>
      <c r="P213" s="634"/>
      <c r="Q213" s="634"/>
      <c r="R213" s="634"/>
      <c r="S213" s="634"/>
      <c r="T213" s="634"/>
      <c r="U213" s="634"/>
    </row>
    <row r="214" spans="1:21" ht="18.75">
      <c r="A214" s="4717"/>
      <c r="B214" s="1702"/>
      <c r="C214" s="1422" t="s">
        <v>1325</v>
      </c>
      <c r="D214" s="1726"/>
      <c r="E214" s="634"/>
      <c r="F214" s="634"/>
      <c r="G214" s="634"/>
      <c r="H214" s="634"/>
      <c r="I214" s="634"/>
      <c r="J214" s="634"/>
      <c r="K214" s="634"/>
      <c r="L214" s="634"/>
      <c r="M214" s="634"/>
      <c r="N214" s="517"/>
      <c r="O214" s="634"/>
      <c r="P214" s="634"/>
      <c r="Q214" s="634"/>
      <c r="R214" s="634"/>
      <c r="S214" s="634"/>
      <c r="T214" s="634"/>
      <c r="U214" s="634"/>
    </row>
    <row r="215" spans="1:21">
      <c r="A215" s="4717"/>
      <c r="B215" s="633"/>
      <c r="C215" s="1422"/>
      <c r="D215" s="634"/>
      <c r="E215" s="634"/>
      <c r="F215" s="634"/>
      <c r="G215" s="634"/>
      <c r="H215" s="634"/>
      <c r="I215" s="634"/>
      <c r="J215" s="634"/>
      <c r="K215" s="634"/>
      <c r="L215" s="634"/>
      <c r="M215" s="634"/>
      <c r="N215" s="517"/>
      <c r="O215" s="634"/>
      <c r="P215" s="634"/>
      <c r="Q215" s="634"/>
      <c r="R215" s="634"/>
      <c r="S215" s="634"/>
      <c r="T215" s="634"/>
      <c r="U215" s="634"/>
    </row>
    <row r="216" spans="1:21">
      <c r="A216" s="4717"/>
      <c r="B216" s="633"/>
      <c r="C216" s="1362" t="s">
        <v>1315</v>
      </c>
      <c r="D216" s="1670"/>
      <c r="E216" s="1362" t="s">
        <v>1315</v>
      </c>
      <c r="F216" s="634"/>
      <c r="G216" s="1362"/>
      <c r="H216" s="634"/>
      <c r="I216" s="1364"/>
      <c r="J216" s="634"/>
      <c r="K216" s="634"/>
      <c r="L216" s="634"/>
      <c r="M216" s="634"/>
      <c r="N216" s="517"/>
      <c r="O216" s="634"/>
      <c r="P216" s="634"/>
      <c r="Q216" s="634"/>
      <c r="R216" s="634"/>
      <c r="S216" s="634"/>
      <c r="T216" s="634"/>
      <c r="U216" s="634"/>
    </row>
    <row r="217" spans="1:21">
      <c r="A217" s="4717"/>
      <c r="B217" s="633"/>
      <c r="C217" s="1671" t="str">
        <f>ADDRESS(ROW(C218),COLUMN(C218),4)</f>
        <v>C218</v>
      </c>
      <c r="D217" s="1670"/>
      <c r="E217" s="1671" t="str">
        <f>ADDRESS(ROW(E218),COLUMN(E218),4)</f>
        <v>E218</v>
      </c>
      <c r="G217" s="1671" t="str">
        <f>ADDRESS(ROW(G218),COLUMN(G218),4)</f>
        <v>G218</v>
      </c>
      <c r="H217" s="634"/>
      <c r="I217" s="1364" t="s">
        <v>1327</v>
      </c>
      <c r="J217" s="634"/>
      <c r="K217" s="634"/>
      <c r="L217" s="634"/>
      <c r="M217" s="634"/>
      <c r="N217" s="517"/>
      <c r="O217" s="634"/>
      <c r="P217" s="634"/>
      <c r="Q217" s="634"/>
      <c r="R217" s="634"/>
      <c r="S217" s="634"/>
      <c r="T217" s="634"/>
      <c r="U217" s="634"/>
    </row>
    <row r="218" spans="1:21" ht="19.5" thickBot="1">
      <c r="A218" s="4717"/>
      <c r="B218" s="1681" t="s">
        <v>1331</v>
      </c>
      <c r="C218" s="1677">
        <v>10</v>
      </c>
      <c r="D218" s="1721" t="s">
        <v>1289</v>
      </c>
      <c r="E218" s="1723">
        <f>C218</f>
        <v>10</v>
      </c>
      <c r="F218" s="1719" t="s">
        <v>1343</v>
      </c>
      <c r="G218" s="1700">
        <v>100</v>
      </c>
      <c r="H218" s="1630" t="s">
        <v>997</v>
      </c>
      <c r="I218" s="1636">
        <f>(C218+E218)/C219*G218</f>
        <v>100</v>
      </c>
      <c r="J218" s="1675" t="str">
        <f ca="1">_xlfn.FORMULATEXT(I218)</f>
        <v>=(C218+E218)/C219*G218</v>
      </c>
      <c r="K218" s="634"/>
      <c r="L218" s="634"/>
      <c r="M218" s="634"/>
      <c r="N218" s="517"/>
      <c r="O218" s="634"/>
      <c r="P218" s="634"/>
      <c r="Q218" s="634"/>
      <c r="R218" s="634"/>
      <c r="S218" s="634"/>
      <c r="T218" s="634"/>
      <c r="U218" s="634"/>
    </row>
    <row r="219" spans="1:21">
      <c r="A219" s="4717"/>
      <c r="B219" s="633"/>
      <c r="C219" s="6087">
        <v>20</v>
      </c>
      <c r="D219" s="6087"/>
      <c r="E219" s="6087"/>
      <c r="F219" s="6087"/>
      <c r="G219" s="6087"/>
      <c r="H219" s="634"/>
      <c r="I219" s="634"/>
      <c r="J219" s="634"/>
      <c r="K219" s="634"/>
      <c r="L219" s="634"/>
      <c r="M219" s="634"/>
      <c r="N219" s="517"/>
      <c r="O219" s="634"/>
      <c r="P219" s="634"/>
      <c r="Q219" s="634"/>
      <c r="R219" s="634"/>
      <c r="S219" s="634"/>
      <c r="T219" s="634"/>
      <c r="U219" s="634"/>
    </row>
    <row r="220" spans="1:21">
      <c r="A220" s="4717"/>
      <c r="B220" s="633"/>
      <c r="C220" s="1422"/>
      <c r="D220" s="1346" t="s">
        <v>1325</v>
      </c>
      <c r="E220" s="1671" t="str">
        <f>ADDRESS(ROW(C219),COLUMN(C219),4)</f>
        <v>C219</v>
      </c>
      <c r="F220" s="634"/>
      <c r="G220" s="634"/>
      <c r="H220" s="634"/>
      <c r="I220" s="634"/>
      <c r="J220" s="634"/>
      <c r="K220" s="634"/>
      <c r="L220" s="634"/>
      <c r="M220" s="634"/>
      <c r="N220" s="517"/>
      <c r="O220" s="634"/>
      <c r="P220" s="634"/>
      <c r="Q220" s="634"/>
      <c r="R220" s="634"/>
      <c r="S220" s="634"/>
      <c r="T220" s="634"/>
      <c r="U220" s="634"/>
    </row>
    <row r="221" spans="1:21">
      <c r="A221" s="4717"/>
      <c r="B221" s="633"/>
      <c r="C221" s="1422"/>
      <c r="D221" s="634"/>
      <c r="E221" s="634"/>
      <c r="F221" s="634"/>
      <c r="G221" s="634"/>
      <c r="H221" s="634"/>
      <c r="I221" s="634"/>
      <c r="J221" s="634"/>
      <c r="K221" s="634"/>
      <c r="L221" s="634"/>
      <c r="M221" s="634"/>
      <c r="N221" s="517"/>
      <c r="O221" s="634"/>
      <c r="P221" s="634"/>
      <c r="Q221" s="634"/>
      <c r="R221" s="634"/>
      <c r="S221" s="634"/>
      <c r="T221" s="634"/>
      <c r="U221" s="634"/>
    </row>
    <row r="222" spans="1:21">
      <c r="A222" s="4717"/>
      <c r="B222" s="633"/>
      <c r="C222" s="6061" t="s">
        <v>1345</v>
      </c>
      <c r="D222" s="6062"/>
      <c r="E222" s="6062"/>
      <c r="F222" s="6062"/>
      <c r="G222" s="6062"/>
      <c r="H222" s="6062"/>
      <c r="I222" s="6062"/>
      <c r="J222" s="6062"/>
      <c r="K222" s="6062"/>
      <c r="L222" s="6062"/>
      <c r="M222" s="6063"/>
      <c r="N222" s="517"/>
      <c r="O222" s="634"/>
      <c r="P222" s="634"/>
      <c r="Q222" s="634"/>
      <c r="R222" s="634"/>
      <c r="S222" s="634"/>
      <c r="T222" s="634"/>
      <c r="U222" s="634"/>
    </row>
    <row r="223" spans="1:21">
      <c r="A223" s="4717"/>
      <c r="B223" s="633"/>
      <c r="C223" s="1010"/>
      <c r="D223" s="1010"/>
      <c r="E223" s="1010"/>
      <c r="F223" s="1010"/>
      <c r="G223" s="1010"/>
      <c r="H223" s="1010"/>
      <c r="I223" s="1010"/>
      <c r="J223" s="1010"/>
      <c r="K223" s="1010"/>
      <c r="L223" s="1010"/>
      <c r="M223" s="1010"/>
      <c r="N223" s="517"/>
      <c r="O223" s="634"/>
      <c r="P223" s="634"/>
      <c r="Q223" s="634"/>
      <c r="R223" s="634"/>
      <c r="S223" s="634"/>
      <c r="T223" s="634"/>
      <c r="U223" s="634"/>
    </row>
    <row r="224" spans="1:21" ht="19.5" thickBot="1">
      <c r="A224" s="4717"/>
      <c r="B224" s="1702" t="s">
        <v>469</v>
      </c>
      <c r="C224" s="6088" t="s">
        <v>1349</v>
      </c>
      <c r="D224" s="6088"/>
      <c r="E224" s="1010"/>
      <c r="F224" s="1010"/>
      <c r="G224" s="1010"/>
      <c r="H224" s="1010"/>
      <c r="I224" s="1010"/>
      <c r="J224" s="1010"/>
      <c r="K224" s="1010"/>
      <c r="L224" s="1010"/>
      <c r="M224" s="1680" t="s">
        <v>1333</v>
      </c>
      <c r="N224" s="517"/>
      <c r="O224" s="634"/>
      <c r="P224" s="634"/>
      <c r="Q224" s="634"/>
      <c r="R224" s="634"/>
      <c r="S224" s="634"/>
      <c r="T224" s="634"/>
      <c r="U224" s="634"/>
    </row>
    <row r="225" spans="1:22" ht="18.75">
      <c r="A225" s="4717"/>
      <c r="B225" s="1702"/>
      <c r="C225" s="6089" t="s">
        <v>1348</v>
      </c>
      <c r="D225" s="6089"/>
      <c r="E225" s="1010"/>
      <c r="F225" s="1010"/>
      <c r="G225" s="1010"/>
      <c r="H225" s="1010"/>
      <c r="I225" s="1010"/>
      <c r="J225" s="1010"/>
      <c r="K225" s="1010"/>
      <c r="L225" s="1010"/>
      <c r="M225" s="1010"/>
      <c r="N225" s="517"/>
      <c r="O225" s="634"/>
      <c r="P225" s="634"/>
      <c r="Q225" s="634"/>
      <c r="R225" s="634"/>
      <c r="S225" s="634"/>
      <c r="T225" s="634"/>
      <c r="U225" s="634"/>
    </row>
    <row r="226" spans="1:22" ht="18.75">
      <c r="A226" s="4717"/>
      <c r="B226" s="1702"/>
      <c r="C226" s="1422" t="s">
        <v>1315</v>
      </c>
      <c r="D226" s="1726"/>
      <c r="E226" s="1010"/>
      <c r="F226" s="1010"/>
      <c r="G226" s="1010"/>
      <c r="H226" s="1010"/>
      <c r="I226" s="1010"/>
      <c r="J226" s="1010"/>
      <c r="K226" s="1010"/>
      <c r="L226" s="1010"/>
      <c r="M226" s="1010"/>
      <c r="N226" s="517"/>
      <c r="O226" s="634"/>
      <c r="P226" s="634"/>
      <c r="Q226" s="634"/>
      <c r="R226" s="634"/>
      <c r="S226" s="634"/>
      <c r="T226" s="634"/>
      <c r="U226" s="634"/>
    </row>
    <row r="227" spans="1:22" ht="18.75">
      <c r="A227" s="4717"/>
      <c r="B227" s="1702"/>
      <c r="C227" s="1422" t="s">
        <v>1325</v>
      </c>
      <c r="D227" s="1726"/>
      <c r="E227" s="1010"/>
      <c r="F227" s="1010"/>
      <c r="G227" s="1010"/>
      <c r="H227" s="1010"/>
      <c r="I227" s="1010"/>
      <c r="J227" s="1010"/>
      <c r="K227" s="1010"/>
      <c r="L227" s="1010"/>
      <c r="M227" s="1010"/>
      <c r="N227" s="517"/>
      <c r="O227" s="634"/>
      <c r="P227" s="634"/>
      <c r="Q227" s="634"/>
      <c r="R227" s="634"/>
      <c r="S227" s="634"/>
      <c r="T227" s="634"/>
      <c r="U227" s="634"/>
    </row>
    <row r="228" spans="1:22">
      <c r="A228" s="4717"/>
      <c r="B228" s="633"/>
      <c r="C228" s="1422"/>
      <c r="D228" s="634"/>
      <c r="E228" s="634"/>
      <c r="F228" s="634"/>
      <c r="G228" s="634"/>
      <c r="H228" s="634"/>
      <c r="I228" s="634"/>
      <c r="J228" s="634"/>
      <c r="K228" s="634"/>
      <c r="L228" s="634"/>
      <c r="M228" s="634"/>
      <c r="N228" s="517"/>
      <c r="O228" s="634"/>
      <c r="P228" s="634"/>
      <c r="Q228" s="634"/>
      <c r="R228" s="634"/>
      <c r="S228" s="634"/>
      <c r="T228" s="634"/>
      <c r="U228" s="634"/>
    </row>
    <row r="229" spans="1:22">
      <c r="A229" s="4717"/>
      <c r="B229" s="633"/>
      <c r="C229" s="1362" t="s">
        <v>1315</v>
      </c>
      <c r="D229" s="1670"/>
      <c r="E229" s="634"/>
      <c r="F229" s="634"/>
      <c r="G229" s="1362"/>
      <c r="H229" s="634"/>
      <c r="I229" s="1364"/>
      <c r="J229" s="634"/>
      <c r="K229" s="634"/>
      <c r="L229" s="634"/>
      <c r="M229" s="634"/>
      <c r="N229" s="517"/>
      <c r="O229" s="634"/>
      <c r="P229" s="634"/>
      <c r="Q229" s="634"/>
      <c r="R229" s="634"/>
      <c r="S229" s="634"/>
      <c r="T229" s="634"/>
      <c r="U229" s="634"/>
    </row>
    <row r="230" spans="1:22">
      <c r="A230" s="4717"/>
      <c r="B230" s="633"/>
      <c r="C230" s="1671" t="str">
        <f>ADDRESS(ROW(C231),COLUMN(C231),4)</f>
        <v>C231</v>
      </c>
      <c r="D230" s="1670"/>
      <c r="E230" s="1671" t="str">
        <f>ADDRESS(ROW(E231),COLUMN(E231),4)</f>
        <v>E231</v>
      </c>
      <c r="G230" s="1671" t="str">
        <f>ADDRESS(ROW(G231),COLUMN(G231),4)</f>
        <v>G231</v>
      </c>
      <c r="H230" s="634"/>
      <c r="I230" s="1364" t="s">
        <v>1327</v>
      </c>
      <c r="J230" s="634"/>
      <c r="K230" s="634"/>
      <c r="L230" s="634"/>
      <c r="M230" s="634"/>
      <c r="N230" s="517"/>
      <c r="O230" s="634"/>
      <c r="P230" s="634"/>
      <c r="Q230" s="634"/>
      <c r="R230" s="634"/>
      <c r="S230" s="634"/>
      <c r="T230" s="634"/>
      <c r="U230" s="634"/>
      <c r="V230" s="634"/>
    </row>
    <row r="231" spans="1:22" ht="19.5" thickBot="1">
      <c r="A231" s="4717"/>
      <c r="B231" s="1681" t="s">
        <v>1331</v>
      </c>
      <c r="C231" s="1677">
        <v>10</v>
      </c>
      <c r="D231" s="1721" t="s">
        <v>603</v>
      </c>
      <c r="E231" s="1720">
        <v>2</v>
      </c>
      <c r="F231" s="1719" t="s">
        <v>1343</v>
      </c>
      <c r="G231" s="1700">
        <v>100</v>
      </c>
      <c r="H231" s="1630" t="s">
        <v>997</v>
      </c>
      <c r="I231" s="1636">
        <f>(C231*E231)/C232*G231</f>
        <v>100</v>
      </c>
      <c r="J231" s="1675" t="str">
        <f ca="1">_xlfn.FORMULATEXT(I231)</f>
        <v>=(C231*E231)/C232*G231</v>
      </c>
      <c r="L231" s="634"/>
      <c r="M231" s="634"/>
      <c r="N231" s="517"/>
      <c r="O231" s="634"/>
      <c r="P231" s="634"/>
      <c r="Q231" s="634"/>
      <c r="R231" s="634"/>
      <c r="S231" s="634"/>
      <c r="T231" s="634"/>
      <c r="U231" s="634"/>
      <c r="V231" s="634"/>
    </row>
    <row r="232" spans="1:22">
      <c r="A232" s="4717"/>
      <c r="B232" s="633"/>
      <c r="C232" s="6087">
        <v>20</v>
      </c>
      <c r="D232" s="6087"/>
      <c r="E232" s="6087"/>
      <c r="F232" s="6087"/>
      <c r="G232" s="6087"/>
      <c r="H232" s="634"/>
      <c r="I232" s="634"/>
      <c r="J232" s="634"/>
      <c r="K232" s="634"/>
      <c r="L232" s="634"/>
      <c r="M232" s="634"/>
      <c r="N232" s="517"/>
      <c r="O232" s="634"/>
      <c r="P232" s="634"/>
      <c r="Q232" s="634"/>
      <c r="R232" s="634"/>
      <c r="S232" s="634"/>
      <c r="T232" s="634"/>
      <c r="U232" s="634"/>
    </row>
    <row r="233" spans="1:22">
      <c r="A233" s="4717"/>
      <c r="B233" s="633"/>
      <c r="C233" s="1422"/>
      <c r="D233" s="1346" t="s">
        <v>1325</v>
      </c>
      <c r="E233" s="1671" t="str">
        <f>ADDRESS(ROW(C232),COLUMN(C232),4)</f>
        <v>C232</v>
      </c>
      <c r="F233" s="634"/>
      <c r="G233" s="634"/>
      <c r="H233" s="634"/>
      <c r="I233" s="634"/>
      <c r="J233" s="634"/>
      <c r="K233" s="634"/>
      <c r="L233" s="634"/>
      <c r="M233" s="634"/>
      <c r="N233" s="517"/>
      <c r="O233" s="634"/>
      <c r="P233" s="634"/>
      <c r="Q233" s="634"/>
      <c r="R233" s="634"/>
      <c r="S233" s="634"/>
      <c r="T233" s="634"/>
      <c r="U233" s="634"/>
    </row>
    <row r="234" spans="1:22">
      <c r="A234" s="4717"/>
      <c r="B234" s="633"/>
      <c r="C234" s="634"/>
      <c r="D234" s="634"/>
      <c r="E234" s="634"/>
      <c r="F234" s="634"/>
      <c r="G234" s="634"/>
      <c r="H234" s="634"/>
      <c r="I234" s="634"/>
      <c r="J234" s="634"/>
      <c r="K234" s="634"/>
      <c r="L234" s="634"/>
      <c r="M234" s="634"/>
      <c r="N234" s="517"/>
      <c r="O234" s="634"/>
      <c r="P234" s="634"/>
      <c r="Q234" s="634"/>
      <c r="R234" s="634"/>
      <c r="S234" s="634"/>
      <c r="T234" s="634"/>
      <c r="U234" s="634"/>
    </row>
    <row r="235" spans="1:22" ht="16.5" thickBot="1">
      <c r="A235" s="4717"/>
      <c r="B235" s="1687"/>
      <c r="C235" s="1686"/>
      <c r="D235" s="1684"/>
      <c r="E235" s="1684"/>
      <c r="F235" s="1684"/>
      <c r="G235" s="1684"/>
      <c r="H235" s="1684"/>
      <c r="I235" s="1684"/>
      <c r="J235" s="1684"/>
      <c r="K235" s="1684"/>
      <c r="L235" s="1684"/>
      <c r="M235" s="1684"/>
      <c r="N235" s="1683"/>
      <c r="O235" s="634"/>
      <c r="P235" s="634"/>
      <c r="Q235" s="634"/>
      <c r="R235" s="634"/>
      <c r="S235" s="634"/>
      <c r="T235" s="634"/>
      <c r="U235" s="634"/>
    </row>
    <row r="236" spans="1:22">
      <c r="A236" s="4717"/>
      <c r="B236" s="633"/>
      <c r="C236" s="1422"/>
      <c r="D236" s="634"/>
      <c r="E236" s="634"/>
      <c r="F236" s="634"/>
      <c r="G236" s="634"/>
      <c r="H236" s="634"/>
      <c r="I236" s="634"/>
      <c r="J236" s="634"/>
      <c r="K236" s="634"/>
      <c r="L236" s="634"/>
      <c r="M236" s="634"/>
      <c r="N236" s="517"/>
      <c r="O236" s="634"/>
      <c r="P236" s="634"/>
      <c r="Q236" s="634"/>
      <c r="R236" s="634"/>
      <c r="S236" s="634"/>
      <c r="T236" s="634"/>
      <c r="U236" s="634"/>
    </row>
    <row r="237" spans="1:22">
      <c r="A237" s="4717"/>
      <c r="B237" s="633"/>
      <c r="C237" s="634"/>
      <c r="D237" s="634"/>
      <c r="E237" s="634"/>
      <c r="F237" s="634"/>
      <c r="G237" s="634"/>
      <c r="H237" s="634"/>
      <c r="I237" s="634"/>
      <c r="J237" s="634"/>
      <c r="K237" s="634"/>
      <c r="L237" s="634"/>
      <c r="M237" s="634"/>
      <c r="N237" s="517"/>
      <c r="O237" s="634"/>
      <c r="P237" s="634"/>
      <c r="Q237" s="634"/>
      <c r="R237" s="634"/>
      <c r="S237" s="634"/>
      <c r="T237" s="634"/>
      <c r="U237" s="634"/>
    </row>
    <row r="238" spans="1:22" ht="18.75">
      <c r="A238" s="4717"/>
      <c r="B238" s="1702" t="s">
        <v>464</v>
      </c>
      <c r="C238" s="1628" t="s">
        <v>1347</v>
      </c>
      <c r="D238" s="1201"/>
      <c r="E238" s="634"/>
      <c r="F238" s="634"/>
      <c r="G238" s="634"/>
      <c r="H238" s="634"/>
      <c r="I238" s="634"/>
      <c r="J238" s="634"/>
      <c r="K238" s="634"/>
      <c r="L238" s="634"/>
      <c r="M238" s="1680" t="s">
        <v>1333</v>
      </c>
      <c r="N238" s="517"/>
      <c r="O238" s="634"/>
      <c r="P238" s="634"/>
      <c r="Q238" s="634"/>
      <c r="R238" s="634"/>
      <c r="S238" s="634"/>
      <c r="T238" s="634"/>
      <c r="U238" s="634"/>
    </row>
    <row r="239" spans="1:22">
      <c r="A239" s="4717"/>
      <c r="B239" s="1678"/>
      <c r="C239" s="1422" t="s">
        <v>1332</v>
      </c>
      <c r="D239" s="634"/>
      <c r="E239" s="634"/>
      <c r="F239" s="634"/>
      <c r="G239" s="634"/>
      <c r="H239" s="634"/>
      <c r="I239" s="634"/>
      <c r="J239" s="634"/>
      <c r="K239" s="634"/>
      <c r="L239" s="634"/>
      <c r="M239" s="634"/>
      <c r="N239" s="517"/>
      <c r="O239" s="634"/>
      <c r="P239" s="634"/>
      <c r="Q239" s="634"/>
      <c r="R239" s="634"/>
      <c r="S239" s="634"/>
      <c r="T239" s="634"/>
      <c r="U239" s="634"/>
    </row>
    <row r="240" spans="1:22">
      <c r="A240" s="4717"/>
      <c r="B240" s="1678"/>
      <c r="C240" s="1422" t="s">
        <v>1315</v>
      </c>
      <c r="D240" s="634"/>
      <c r="E240" s="634"/>
      <c r="F240" s="634"/>
      <c r="G240" s="634"/>
      <c r="H240" s="634"/>
      <c r="I240" s="634"/>
      <c r="J240" s="634"/>
      <c r="K240" s="634"/>
      <c r="L240" s="634"/>
      <c r="M240" s="634"/>
      <c r="N240" s="517"/>
      <c r="O240" s="634"/>
      <c r="P240" s="634"/>
      <c r="Q240" s="634"/>
      <c r="R240" s="634"/>
      <c r="S240" s="634"/>
      <c r="T240" s="634"/>
      <c r="U240" s="634"/>
    </row>
    <row r="241" spans="1:21">
      <c r="A241" s="4717"/>
      <c r="B241" s="1678"/>
      <c r="C241" s="1428"/>
      <c r="D241" s="634"/>
      <c r="E241" s="634"/>
      <c r="F241" s="634"/>
      <c r="G241" s="634"/>
      <c r="H241" s="634"/>
      <c r="I241" s="634"/>
      <c r="J241" s="634"/>
      <c r="K241" s="634"/>
      <c r="L241" s="634"/>
      <c r="M241" s="634"/>
      <c r="N241" s="517"/>
      <c r="O241" s="634"/>
      <c r="P241" s="634"/>
      <c r="Q241" s="634"/>
      <c r="R241" s="634"/>
      <c r="S241" s="634"/>
      <c r="T241" s="634"/>
      <c r="U241" s="634"/>
    </row>
    <row r="242" spans="1:21">
      <c r="A242" s="4717"/>
      <c r="B242" s="633"/>
      <c r="C242" s="1671" t="str">
        <f>ADDRESS(ROW(C244),COLUMN(C244),4)</f>
        <v>C244</v>
      </c>
      <c r="D242" s="634"/>
      <c r="E242" s="1671" t="str">
        <f>ADDRESS(ROW(E244),COLUMN(E244),4)</f>
        <v>E244</v>
      </c>
      <c r="F242" s="634"/>
      <c r="G242" s="1671" t="str">
        <f>ADDRESS(ROW(G244),COLUMN(G244),4)</f>
        <v>G244</v>
      </c>
      <c r="H242" s="634"/>
      <c r="I242" s="634"/>
      <c r="J242" s="634"/>
      <c r="K242" s="634"/>
      <c r="L242" s="634"/>
      <c r="M242" s="634"/>
      <c r="N242" s="517"/>
      <c r="O242" s="634"/>
      <c r="P242" s="634"/>
      <c r="Q242" s="634"/>
      <c r="R242" s="634"/>
      <c r="S242" s="634"/>
      <c r="T242" s="634"/>
      <c r="U242" s="634"/>
    </row>
    <row r="243" spans="1:21">
      <c r="A243" s="4717"/>
      <c r="B243" s="633"/>
      <c r="C243" s="1362" t="s">
        <v>1332</v>
      </c>
      <c r="D243" s="634"/>
      <c r="E243" s="1362" t="s">
        <v>1332</v>
      </c>
      <c r="F243" s="634"/>
      <c r="G243" s="1362" t="s">
        <v>1315</v>
      </c>
      <c r="H243" s="634"/>
      <c r="I243" s="1364" t="s">
        <v>1327</v>
      </c>
      <c r="J243" s="634"/>
      <c r="K243" s="634"/>
      <c r="L243" s="634"/>
      <c r="M243" s="634"/>
      <c r="N243" s="517"/>
      <c r="O243" s="634"/>
      <c r="P243" s="634"/>
      <c r="Q243" s="634"/>
      <c r="R243" s="634"/>
      <c r="S243" s="634"/>
      <c r="T243" s="634"/>
      <c r="U243" s="634"/>
    </row>
    <row r="244" spans="1:21" ht="19.5" thickBot="1">
      <c r="A244" s="4717"/>
      <c r="B244" s="1725" t="s">
        <v>1331</v>
      </c>
      <c r="C244" s="1724">
        <v>1</v>
      </c>
      <c r="D244" s="1721" t="s">
        <v>1289</v>
      </c>
      <c r="E244" s="1720">
        <f>C244</f>
        <v>1</v>
      </c>
      <c r="F244" s="1719" t="s">
        <v>1343</v>
      </c>
      <c r="G244" s="1677">
        <v>10</v>
      </c>
      <c r="H244" s="1630" t="s">
        <v>997</v>
      </c>
      <c r="I244" s="1636">
        <f>(C244+E244)/C245*G244</f>
        <v>100</v>
      </c>
      <c r="J244" s="1675" t="str">
        <f ca="1">_xlfn.FORMULATEXT(I244)</f>
        <v>=(C244+E244)/C245*G244</v>
      </c>
      <c r="K244" s="634"/>
      <c r="L244" s="634"/>
      <c r="M244" s="634"/>
      <c r="N244" s="521"/>
      <c r="O244" s="634"/>
      <c r="P244" s="634"/>
      <c r="Q244" s="634"/>
      <c r="R244" s="634"/>
      <c r="S244" s="634"/>
      <c r="T244" s="634"/>
      <c r="U244" s="634"/>
    </row>
    <row r="245" spans="1:21">
      <c r="A245" s="4717"/>
      <c r="B245" s="633"/>
      <c r="C245" s="6125">
        <v>0.2</v>
      </c>
      <c r="D245" s="6125"/>
      <c r="E245" s="6125"/>
      <c r="F245" s="6125"/>
      <c r="G245" s="6125"/>
      <c r="H245" s="634"/>
      <c r="I245" s="634"/>
      <c r="J245" s="634"/>
      <c r="K245" s="634"/>
      <c r="L245" s="634"/>
      <c r="M245" s="634"/>
      <c r="N245" s="517"/>
      <c r="O245" s="634"/>
      <c r="P245" s="634"/>
      <c r="Q245" s="634"/>
      <c r="R245" s="634"/>
      <c r="S245" s="634"/>
      <c r="T245" s="634"/>
      <c r="U245" s="634"/>
    </row>
    <row r="246" spans="1:21">
      <c r="A246" s="4717"/>
      <c r="B246" s="633"/>
      <c r="C246" s="634"/>
      <c r="D246" s="634"/>
      <c r="E246" s="1671" t="str">
        <f>ADDRESS(ROW(C245),COLUMN(C245),4)</f>
        <v>C245</v>
      </c>
      <c r="F246" s="1362" t="s">
        <v>1332</v>
      </c>
      <c r="G246" s="634"/>
      <c r="H246" s="634"/>
      <c r="I246" s="634"/>
      <c r="J246" s="634"/>
      <c r="K246" s="634"/>
      <c r="L246" s="634"/>
      <c r="M246" s="634"/>
      <c r="N246" s="517"/>
      <c r="O246" s="634"/>
      <c r="P246" s="634"/>
      <c r="Q246" s="634"/>
      <c r="R246" s="634"/>
      <c r="S246" s="634"/>
      <c r="T246" s="634"/>
      <c r="U246" s="634"/>
    </row>
    <row r="247" spans="1:21">
      <c r="A247" s="4717"/>
      <c r="B247" s="633"/>
      <c r="C247" s="1422"/>
      <c r="D247" s="634"/>
      <c r="E247" s="634"/>
      <c r="F247" s="634"/>
      <c r="G247" s="634"/>
      <c r="H247" s="634"/>
      <c r="I247" s="634"/>
      <c r="J247" s="634"/>
      <c r="K247" s="634"/>
      <c r="L247" s="634"/>
      <c r="M247" s="634"/>
      <c r="N247" s="517"/>
      <c r="O247" s="634"/>
      <c r="P247" s="634"/>
      <c r="Q247" s="634"/>
      <c r="R247" s="634"/>
      <c r="S247" s="634"/>
      <c r="T247" s="634"/>
      <c r="U247" s="634"/>
    </row>
    <row r="248" spans="1:21">
      <c r="A248" s="4717"/>
      <c r="B248" s="633"/>
      <c r="C248" s="6090" t="s">
        <v>1329</v>
      </c>
      <c r="D248" s="6091"/>
      <c r="E248" s="6091"/>
      <c r="F248" s="6091"/>
      <c r="G248" s="6091"/>
      <c r="H248" s="6091"/>
      <c r="I248" s="6091"/>
      <c r="J248" s="6091"/>
      <c r="K248" s="6091"/>
      <c r="L248" s="6091"/>
      <c r="M248" s="6092"/>
      <c r="N248" s="517"/>
      <c r="O248" s="634"/>
      <c r="P248" s="634"/>
      <c r="Q248" s="634"/>
      <c r="R248" s="634"/>
      <c r="S248" s="634"/>
      <c r="T248" s="634"/>
      <c r="U248" s="634"/>
    </row>
    <row r="249" spans="1:21">
      <c r="A249" s="4717"/>
      <c r="B249" s="633"/>
      <c r="C249" s="1422"/>
      <c r="D249" s="634"/>
      <c r="E249" s="634"/>
      <c r="F249" s="634"/>
      <c r="G249" s="634"/>
      <c r="H249" s="634"/>
      <c r="I249" s="634"/>
      <c r="J249" s="634"/>
      <c r="K249" s="634"/>
      <c r="L249" s="634"/>
      <c r="M249" s="634"/>
      <c r="N249" s="517"/>
      <c r="O249" s="634"/>
      <c r="P249" s="634"/>
      <c r="Q249" s="634"/>
      <c r="R249" s="634"/>
      <c r="S249" s="634"/>
      <c r="T249" s="634"/>
      <c r="U249" s="634"/>
    </row>
    <row r="250" spans="1:21" ht="18.75">
      <c r="A250" s="4717"/>
      <c r="B250" s="1702" t="s">
        <v>464</v>
      </c>
      <c r="C250" s="1628" t="s">
        <v>1346</v>
      </c>
      <c r="D250" s="1201"/>
      <c r="E250" s="634"/>
      <c r="F250" s="634"/>
      <c r="G250" s="634"/>
      <c r="H250" s="634"/>
      <c r="I250" s="634"/>
      <c r="J250" s="634"/>
      <c r="K250" s="634"/>
      <c r="L250" s="634"/>
      <c r="M250" s="1680" t="s">
        <v>1333</v>
      </c>
      <c r="N250" s="517"/>
      <c r="O250" s="634"/>
      <c r="P250" s="634"/>
      <c r="Q250" s="634"/>
      <c r="R250" s="634"/>
      <c r="S250" s="634"/>
      <c r="T250" s="634"/>
      <c r="U250" s="634"/>
    </row>
    <row r="251" spans="1:21">
      <c r="A251" s="4717"/>
      <c r="B251" s="633"/>
      <c r="C251" s="1422" t="s">
        <v>1315</v>
      </c>
      <c r="D251" s="634"/>
      <c r="E251" s="634"/>
      <c r="F251" s="634"/>
      <c r="G251" s="634"/>
      <c r="H251" s="634"/>
      <c r="I251" s="634"/>
      <c r="J251" s="634"/>
      <c r="K251" s="634"/>
      <c r="L251" s="634"/>
      <c r="M251" s="634"/>
      <c r="N251" s="517"/>
      <c r="O251" s="634"/>
      <c r="P251" s="634"/>
      <c r="Q251" s="634"/>
      <c r="R251" s="634"/>
      <c r="S251" s="634"/>
      <c r="T251" s="634"/>
      <c r="U251" s="634"/>
    </row>
    <row r="252" spans="1:21">
      <c r="A252" s="4717"/>
      <c r="B252" s="633"/>
      <c r="C252" s="1422" t="s">
        <v>1325</v>
      </c>
      <c r="D252" s="634"/>
      <c r="E252" s="634"/>
      <c r="F252" s="634"/>
      <c r="G252" s="634"/>
      <c r="H252" s="634"/>
      <c r="I252" s="634"/>
      <c r="J252" s="634"/>
      <c r="K252" s="634"/>
      <c r="L252" s="634"/>
      <c r="M252" s="634"/>
      <c r="N252" s="517"/>
      <c r="O252" s="634"/>
      <c r="P252" s="634"/>
      <c r="Q252" s="634"/>
      <c r="R252" s="634"/>
      <c r="S252" s="634"/>
      <c r="T252" s="634"/>
      <c r="U252" s="634"/>
    </row>
    <row r="253" spans="1:21">
      <c r="A253" s="4717"/>
      <c r="B253" s="633"/>
      <c r="C253" s="1422"/>
      <c r="D253" s="634"/>
      <c r="E253" s="634"/>
      <c r="F253" s="634"/>
      <c r="G253" s="634"/>
      <c r="H253" s="634"/>
      <c r="I253" s="634"/>
      <c r="J253" s="634"/>
      <c r="K253" s="634"/>
      <c r="L253" s="634"/>
      <c r="M253" s="634"/>
      <c r="N253" s="517"/>
      <c r="O253" s="634"/>
      <c r="P253" s="634"/>
      <c r="Q253" s="634"/>
      <c r="R253" s="634"/>
      <c r="S253" s="634"/>
      <c r="T253" s="634"/>
      <c r="U253" s="634"/>
    </row>
    <row r="254" spans="1:21">
      <c r="A254" s="4717"/>
      <c r="B254" s="633"/>
      <c r="C254" s="1671" t="str">
        <f>ADDRESS(ROW(C256),COLUMN(C256),4)</f>
        <v>C256</v>
      </c>
      <c r="D254" s="634"/>
      <c r="E254" s="1671" t="str">
        <f>ADDRESS(ROW(E256),COLUMN(E256),4)</f>
        <v>E256</v>
      </c>
      <c r="F254" s="634"/>
      <c r="G254" s="1671" t="str">
        <f>ADDRESS(ROW(G256),COLUMN(G256),4)</f>
        <v>G256</v>
      </c>
      <c r="H254" s="634"/>
      <c r="I254" s="634"/>
      <c r="J254" s="634"/>
      <c r="K254" s="634"/>
      <c r="L254" s="634"/>
      <c r="M254" s="634"/>
      <c r="N254" s="517"/>
      <c r="O254" s="634"/>
      <c r="P254" s="634"/>
      <c r="Q254" s="634"/>
      <c r="R254" s="634"/>
      <c r="S254" s="634"/>
      <c r="T254" s="634"/>
      <c r="U254" s="634"/>
    </row>
    <row r="255" spans="1:21">
      <c r="A255" s="4717"/>
      <c r="B255" s="633"/>
      <c r="C255" s="1362" t="s">
        <v>1315</v>
      </c>
      <c r="D255" s="634"/>
      <c r="E255" s="1362" t="s">
        <v>1315</v>
      </c>
      <c r="F255" s="634"/>
      <c r="G255" s="634"/>
      <c r="H255" s="634"/>
      <c r="I255" s="1364" t="s">
        <v>1327</v>
      </c>
      <c r="J255" s="634"/>
      <c r="K255" s="634"/>
      <c r="L255" s="634"/>
      <c r="M255" s="634"/>
      <c r="N255" s="517"/>
      <c r="O255" s="634"/>
      <c r="P255" s="634"/>
      <c r="Q255" s="634"/>
      <c r="R255" s="634"/>
      <c r="S255" s="634"/>
      <c r="T255" s="634"/>
      <c r="U255" s="634"/>
    </row>
    <row r="256" spans="1:21" ht="19.5" thickBot="1">
      <c r="A256" s="4717"/>
      <c r="B256" s="633"/>
      <c r="C256" s="1677">
        <v>10</v>
      </c>
      <c r="D256" s="1721" t="s">
        <v>1289</v>
      </c>
      <c r="E256" s="1723">
        <f>C256</f>
        <v>10</v>
      </c>
      <c r="F256" s="1719" t="s">
        <v>1343</v>
      </c>
      <c r="G256" s="1700">
        <v>100</v>
      </c>
      <c r="H256" s="1630" t="s">
        <v>997</v>
      </c>
      <c r="I256" s="1636">
        <f>(C256+E256)*G256/C257</f>
        <v>100</v>
      </c>
      <c r="J256" s="1675" t="str">
        <f ca="1">_xlfn.FORMULATEXT(I256)</f>
        <v>=(C256+E256)*G256/C257</v>
      </c>
      <c r="M256" s="634"/>
      <c r="N256" s="517"/>
      <c r="O256" s="634"/>
      <c r="P256" s="634"/>
      <c r="Q256" s="634"/>
      <c r="R256" s="634"/>
      <c r="S256" s="634"/>
      <c r="T256" s="634"/>
      <c r="U256" s="634"/>
    </row>
    <row r="257" spans="1:21">
      <c r="A257" s="4717"/>
      <c r="B257" s="633"/>
      <c r="C257" s="6087">
        <v>20</v>
      </c>
      <c r="D257" s="6087"/>
      <c r="E257" s="6087"/>
      <c r="F257" s="6087"/>
      <c r="G257" s="6087"/>
      <c r="H257" s="634"/>
      <c r="I257" s="634"/>
      <c r="J257" s="634"/>
      <c r="K257" s="634"/>
      <c r="L257" s="634"/>
      <c r="M257" s="634"/>
      <c r="N257" s="517"/>
      <c r="O257" s="634"/>
      <c r="P257" s="634"/>
      <c r="Q257" s="634"/>
      <c r="R257" s="634"/>
      <c r="S257" s="634"/>
      <c r="T257" s="634"/>
      <c r="U257" s="634"/>
    </row>
    <row r="258" spans="1:21">
      <c r="A258" s="4717"/>
      <c r="B258" s="633"/>
      <c r="C258" s="634"/>
      <c r="D258" s="634"/>
      <c r="E258" s="1671" t="str">
        <f>ADDRESS(ROW(C257),COLUMN(C257),4)</f>
        <v>C257</v>
      </c>
      <c r="F258" s="1362" t="s">
        <v>1325</v>
      </c>
      <c r="G258" s="634"/>
      <c r="H258" s="634"/>
      <c r="I258" s="634"/>
      <c r="J258" s="634"/>
      <c r="K258" s="634"/>
      <c r="L258" s="634"/>
      <c r="M258" s="634"/>
      <c r="N258" s="517"/>
      <c r="O258" s="634"/>
      <c r="P258" s="634"/>
      <c r="Q258" s="634"/>
      <c r="R258" s="634"/>
      <c r="S258" s="634"/>
      <c r="T258" s="634"/>
      <c r="U258" s="634"/>
    </row>
    <row r="259" spans="1:21">
      <c r="A259" s="4717"/>
      <c r="B259" s="633"/>
      <c r="C259" s="1722"/>
      <c r="D259" s="1722"/>
      <c r="E259" s="1722"/>
      <c r="F259" s="1722"/>
      <c r="G259" s="1722"/>
      <c r="H259" s="634"/>
      <c r="I259" s="634"/>
      <c r="J259" s="634"/>
      <c r="K259" s="634"/>
      <c r="L259" s="634"/>
      <c r="M259" s="634"/>
      <c r="N259" s="517"/>
      <c r="O259" s="634"/>
      <c r="P259" s="634"/>
      <c r="Q259" s="634"/>
      <c r="R259" s="634"/>
      <c r="S259" s="634"/>
      <c r="T259" s="634"/>
      <c r="U259" s="634"/>
    </row>
    <row r="260" spans="1:21">
      <c r="A260" s="4717"/>
      <c r="B260" s="633"/>
      <c r="C260" s="1422"/>
      <c r="D260" s="634"/>
      <c r="E260" s="634"/>
      <c r="F260" s="634"/>
      <c r="G260" s="634"/>
      <c r="H260" s="634"/>
      <c r="I260" s="634"/>
      <c r="J260" s="634"/>
      <c r="K260" s="634"/>
      <c r="L260" s="634"/>
      <c r="M260" s="634"/>
      <c r="N260" s="517"/>
      <c r="O260" s="634"/>
      <c r="P260" s="634"/>
      <c r="Q260" s="634"/>
      <c r="R260" s="634"/>
      <c r="S260" s="634"/>
      <c r="T260" s="634"/>
      <c r="U260" s="634"/>
    </row>
    <row r="261" spans="1:21">
      <c r="A261" s="4717"/>
      <c r="B261" s="633"/>
      <c r="C261" s="6061" t="s">
        <v>1345</v>
      </c>
      <c r="D261" s="6062"/>
      <c r="E261" s="6062"/>
      <c r="F261" s="6062"/>
      <c r="G261" s="6062"/>
      <c r="H261" s="6062"/>
      <c r="I261" s="6062"/>
      <c r="J261" s="6062"/>
      <c r="K261" s="6062"/>
      <c r="L261" s="6062"/>
      <c r="M261" s="6063"/>
      <c r="N261" s="517"/>
      <c r="O261" s="634"/>
      <c r="P261" s="634"/>
      <c r="Q261" s="634"/>
      <c r="R261" s="634"/>
      <c r="S261" s="634"/>
      <c r="T261" s="634"/>
      <c r="U261" s="634"/>
    </row>
    <row r="262" spans="1:21">
      <c r="A262" s="4717"/>
      <c r="B262" s="633"/>
      <c r="C262" s="1422"/>
      <c r="D262" s="634"/>
      <c r="E262" s="634"/>
      <c r="F262" s="634"/>
      <c r="G262" s="634"/>
      <c r="H262" s="634"/>
      <c r="I262" s="634"/>
      <c r="J262" s="634"/>
      <c r="K262" s="634"/>
      <c r="L262" s="634"/>
      <c r="M262" s="634"/>
      <c r="N262" s="517"/>
      <c r="O262" s="634"/>
      <c r="P262" s="634"/>
      <c r="Q262" s="634"/>
      <c r="R262" s="634"/>
      <c r="S262" s="634"/>
      <c r="T262" s="634"/>
      <c r="U262" s="634"/>
    </row>
    <row r="263" spans="1:21" ht="18.75">
      <c r="A263" s="4717"/>
      <c r="B263" s="1702" t="s">
        <v>464</v>
      </c>
      <c r="C263" s="1628" t="s">
        <v>1344</v>
      </c>
      <c r="D263" s="1201"/>
      <c r="E263" s="634"/>
      <c r="F263" s="634"/>
      <c r="G263" s="634"/>
      <c r="H263" s="634"/>
      <c r="I263" s="634"/>
      <c r="J263" s="634"/>
      <c r="K263" s="634"/>
      <c r="L263" s="634"/>
      <c r="M263" s="1680" t="s">
        <v>1333</v>
      </c>
      <c r="N263" s="517"/>
      <c r="O263" s="634"/>
      <c r="P263" s="634"/>
      <c r="Q263" s="634"/>
      <c r="R263" s="634"/>
      <c r="S263" s="634"/>
      <c r="T263" s="634"/>
      <c r="U263" s="634"/>
    </row>
    <row r="264" spans="1:21">
      <c r="A264" s="4717"/>
      <c r="B264" s="633"/>
      <c r="C264" s="1422" t="s">
        <v>1315</v>
      </c>
      <c r="D264" s="634"/>
      <c r="E264" s="634"/>
      <c r="F264" s="634"/>
      <c r="G264" s="634"/>
      <c r="H264" s="634"/>
      <c r="I264" s="634"/>
      <c r="J264" s="634"/>
      <c r="K264" s="634"/>
      <c r="L264" s="634"/>
      <c r="M264" s="634"/>
      <c r="N264" s="517"/>
      <c r="O264" s="634"/>
      <c r="P264" s="634"/>
      <c r="Q264" s="634"/>
      <c r="R264" s="634"/>
      <c r="S264" s="634"/>
      <c r="T264" s="634"/>
      <c r="U264" s="634"/>
    </row>
    <row r="265" spans="1:21">
      <c r="A265" s="4717"/>
      <c r="B265" s="633"/>
      <c r="C265" s="1422" t="s">
        <v>1325</v>
      </c>
      <c r="D265" s="634"/>
      <c r="E265" s="634"/>
      <c r="F265" s="634"/>
      <c r="G265" s="634"/>
      <c r="H265" s="634"/>
      <c r="I265" s="634"/>
      <c r="J265" s="634"/>
      <c r="K265" s="634"/>
      <c r="L265" s="634"/>
      <c r="M265" s="634"/>
      <c r="N265" s="517"/>
      <c r="O265" s="634"/>
      <c r="P265" s="634"/>
      <c r="Q265" s="634"/>
      <c r="R265" s="634"/>
      <c r="S265" s="634"/>
      <c r="T265" s="634"/>
      <c r="U265" s="634"/>
    </row>
    <row r="266" spans="1:21">
      <c r="A266" s="4717"/>
      <c r="B266" s="633"/>
      <c r="C266" s="1422"/>
      <c r="D266" s="634"/>
      <c r="E266" s="634"/>
      <c r="F266" s="634"/>
      <c r="G266" s="634"/>
      <c r="H266" s="634"/>
      <c r="I266" s="634"/>
      <c r="J266" s="634"/>
      <c r="K266" s="634"/>
      <c r="L266" s="634"/>
      <c r="M266" s="634"/>
      <c r="N266" s="517"/>
      <c r="O266" s="634"/>
      <c r="P266" s="634"/>
      <c r="Q266" s="634"/>
      <c r="R266" s="634"/>
      <c r="S266" s="634"/>
      <c r="T266" s="634"/>
      <c r="U266" s="634"/>
    </row>
    <row r="267" spans="1:21">
      <c r="A267" s="4717"/>
      <c r="B267" s="633"/>
      <c r="C267" s="1671" t="str">
        <f>ADDRESS(ROW(C269),COLUMN(C269),4)</f>
        <v>C269</v>
      </c>
      <c r="D267" s="634"/>
      <c r="E267" s="1671" t="str">
        <f>ADDRESS(ROW(E269),COLUMN(E269),4)</f>
        <v>E269</v>
      </c>
      <c r="F267" s="634"/>
      <c r="G267" s="1671" t="str">
        <f>ADDRESS(ROW(G269),COLUMN(G269),4)</f>
        <v>G269</v>
      </c>
      <c r="H267" s="634"/>
      <c r="I267" s="634"/>
      <c r="J267" s="634"/>
      <c r="K267" s="634"/>
      <c r="L267" s="634"/>
      <c r="M267" s="634"/>
      <c r="N267" s="517"/>
      <c r="O267" s="634"/>
      <c r="P267" s="634"/>
      <c r="Q267" s="634"/>
      <c r="R267" s="634"/>
      <c r="S267" s="634"/>
      <c r="T267" s="634"/>
      <c r="U267" s="634"/>
    </row>
    <row r="268" spans="1:21">
      <c r="A268" s="4717"/>
      <c r="B268" s="633"/>
      <c r="C268" s="1362" t="s">
        <v>1315</v>
      </c>
      <c r="D268" s="634"/>
      <c r="E268" s="634"/>
      <c r="F268" s="634"/>
      <c r="G268" s="634"/>
      <c r="H268" s="634"/>
      <c r="I268" s="1364" t="s">
        <v>1327</v>
      </c>
      <c r="J268" s="634"/>
      <c r="K268" s="634"/>
      <c r="L268" s="634"/>
      <c r="M268" s="634"/>
      <c r="N268" s="517"/>
      <c r="O268" s="634"/>
      <c r="P268" s="634"/>
      <c r="Q268" s="634"/>
      <c r="R268" s="634"/>
      <c r="S268" s="634"/>
      <c r="T268" s="634"/>
      <c r="U268" s="634"/>
    </row>
    <row r="269" spans="1:21" ht="19.5" thickBot="1">
      <c r="A269" s="4717"/>
      <c r="B269" s="633"/>
      <c r="C269" s="1677">
        <v>10</v>
      </c>
      <c r="D269" s="1721" t="s">
        <v>603</v>
      </c>
      <c r="E269" s="1720">
        <v>2</v>
      </c>
      <c r="F269" s="1719" t="s">
        <v>1343</v>
      </c>
      <c r="G269" s="1700">
        <v>100</v>
      </c>
      <c r="H269" s="1630" t="s">
        <v>997</v>
      </c>
      <c r="I269" s="1636">
        <f>(C269*E269)*G269/C270</f>
        <v>100</v>
      </c>
      <c r="J269" s="1675" t="str">
        <f ca="1">_xlfn.FORMULATEXT(I269)</f>
        <v>=(C269*E269)*G269/C270</v>
      </c>
      <c r="K269" s="634"/>
      <c r="L269" s="634"/>
      <c r="M269" s="634"/>
      <c r="N269" s="517"/>
      <c r="O269" s="634"/>
      <c r="P269" s="634"/>
      <c r="Q269" s="634"/>
      <c r="R269" s="634"/>
      <c r="S269" s="634"/>
      <c r="T269" s="634"/>
      <c r="U269" s="634"/>
    </row>
    <row r="270" spans="1:21">
      <c r="A270" s="4717"/>
      <c r="B270" s="633"/>
      <c r="C270" s="6087">
        <v>20</v>
      </c>
      <c r="D270" s="6087"/>
      <c r="E270" s="6087"/>
      <c r="F270" s="6087"/>
      <c r="G270" s="6087"/>
      <c r="H270" s="634"/>
      <c r="I270" s="634"/>
      <c r="J270" s="634"/>
      <c r="K270" s="634"/>
      <c r="L270" s="634"/>
      <c r="M270" s="634"/>
      <c r="N270" s="517"/>
      <c r="O270" s="634"/>
      <c r="P270" s="634"/>
      <c r="Q270" s="634"/>
      <c r="R270" s="634"/>
      <c r="S270" s="634"/>
      <c r="T270" s="634"/>
      <c r="U270" s="634"/>
    </row>
    <row r="271" spans="1:21">
      <c r="A271" s="4717"/>
      <c r="B271" s="633"/>
      <c r="C271" s="634"/>
      <c r="D271" s="634"/>
      <c r="E271" s="1671" t="str">
        <f>ADDRESS(ROW(C270),COLUMN(C270),4)</f>
        <v>C270</v>
      </c>
      <c r="F271" s="1362" t="s">
        <v>1325</v>
      </c>
      <c r="G271" s="634"/>
      <c r="H271" s="634"/>
      <c r="I271" s="634"/>
      <c r="J271" s="634"/>
      <c r="K271" s="634"/>
      <c r="L271" s="634"/>
      <c r="M271" s="634"/>
      <c r="N271" s="517"/>
      <c r="O271" s="634"/>
      <c r="P271" s="634"/>
      <c r="Q271" s="634"/>
      <c r="R271" s="634"/>
      <c r="S271" s="634"/>
      <c r="T271" s="634"/>
      <c r="U271" s="634"/>
    </row>
    <row r="272" spans="1:21">
      <c r="A272" s="4717"/>
      <c r="B272" s="633"/>
      <c r="C272" s="1422"/>
      <c r="D272" s="634"/>
      <c r="E272" s="634"/>
      <c r="F272" s="634"/>
      <c r="G272" s="634"/>
      <c r="H272" s="634"/>
      <c r="I272" s="634"/>
      <c r="J272" s="634"/>
      <c r="K272" s="634"/>
      <c r="L272" s="634"/>
      <c r="M272" s="634"/>
      <c r="N272" s="517"/>
      <c r="O272" s="634"/>
      <c r="P272" s="634"/>
      <c r="Q272" s="634"/>
      <c r="R272" s="634"/>
      <c r="S272" s="634"/>
      <c r="T272" s="634"/>
      <c r="U272" s="634"/>
    </row>
    <row r="273" spans="1:21">
      <c r="A273" s="4717"/>
      <c r="B273" s="633"/>
      <c r="C273" s="1422"/>
      <c r="D273" s="634"/>
      <c r="E273" s="634"/>
      <c r="F273" s="634"/>
      <c r="G273" s="634"/>
      <c r="H273" s="634"/>
      <c r="I273" s="634"/>
      <c r="J273" s="634"/>
      <c r="K273" s="634"/>
      <c r="L273" s="634"/>
      <c r="M273" s="634"/>
      <c r="N273" s="517"/>
      <c r="O273" s="634"/>
      <c r="P273" s="634"/>
      <c r="Q273" s="634"/>
      <c r="R273" s="634"/>
      <c r="S273" s="634"/>
      <c r="T273" s="634"/>
      <c r="U273" s="634"/>
    </row>
    <row r="274" spans="1:21">
      <c r="A274" s="4717"/>
      <c r="B274" s="633"/>
      <c r="C274" s="1422"/>
      <c r="D274" s="634"/>
      <c r="E274" s="634"/>
      <c r="F274" s="634"/>
      <c r="G274" s="634"/>
      <c r="H274" s="634"/>
      <c r="I274" s="634"/>
      <c r="J274" s="634"/>
      <c r="K274" s="634"/>
      <c r="L274" s="634"/>
      <c r="M274" s="634"/>
      <c r="N274" s="517"/>
      <c r="O274" s="634"/>
      <c r="P274" s="634"/>
      <c r="Q274" s="634"/>
      <c r="R274" s="634"/>
      <c r="S274" s="634"/>
      <c r="T274" s="634"/>
      <c r="U274" s="634"/>
    </row>
    <row r="275" spans="1:21">
      <c r="A275" s="4717"/>
      <c r="B275" s="6078" t="s">
        <v>998</v>
      </c>
      <c r="C275" s="6079"/>
      <c r="D275" s="6079"/>
      <c r="E275" s="6079"/>
      <c r="F275" s="6079"/>
      <c r="G275" s="6079"/>
      <c r="H275" s="6079"/>
      <c r="I275" s="6079"/>
      <c r="J275" s="6079"/>
      <c r="K275" s="6079"/>
      <c r="L275" s="6079"/>
      <c r="M275" s="6079"/>
      <c r="N275" s="6080"/>
      <c r="O275" s="634"/>
      <c r="P275" s="634"/>
      <c r="Q275" s="634"/>
      <c r="R275" s="634"/>
      <c r="S275" s="634"/>
      <c r="T275" s="634"/>
      <c r="U275" s="634"/>
    </row>
    <row r="276" spans="1:21">
      <c r="A276" s="4717"/>
      <c r="B276" s="1580" t="s">
        <v>1324</v>
      </c>
      <c r="C276" s="1267"/>
      <c r="D276" s="1267"/>
      <c r="E276" s="1267"/>
      <c r="F276" s="1267"/>
      <c r="G276" s="1267"/>
      <c r="H276" s="634"/>
      <c r="I276" s="634"/>
      <c r="J276" s="634"/>
      <c r="K276" s="634"/>
      <c r="L276" s="634"/>
      <c r="M276" s="634"/>
      <c r="N276" s="517"/>
      <c r="O276" s="634"/>
      <c r="P276" s="634"/>
      <c r="Q276" s="634"/>
      <c r="R276" s="634"/>
      <c r="S276" s="634"/>
      <c r="T276" s="634"/>
      <c r="U276" s="634"/>
    </row>
    <row r="277" spans="1:21">
      <c r="A277" s="4717"/>
      <c r="B277" s="1580" t="s">
        <v>1323</v>
      </c>
      <c r="C277" s="1267"/>
      <c r="D277" s="1267"/>
      <c r="E277" s="1267"/>
      <c r="F277" s="1267"/>
      <c r="G277" s="1267"/>
      <c r="H277" s="634"/>
      <c r="I277" s="634"/>
      <c r="J277" s="634"/>
      <c r="K277" s="634"/>
      <c r="L277" s="634"/>
      <c r="M277" s="634"/>
      <c r="N277" s="517"/>
      <c r="O277" s="634"/>
      <c r="P277" s="634"/>
      <c r="Q277" s="634"/>
      <c r="R277" s="634"/>
      <c r="S277" s="634"/>
      <c r="T277" s="634"/>
      <c r="U277" s="634"/>
    </row>
    <row r="278" spans="1:21">
      <c r="A278" s="4717"/>
      <c r="B278" s="1577" t="s">
        <v>1263</v>
      </c>
      <c r="C278" s="1576"/>
      <c r="D278" s="1576"/>
      <c r="E278" s="1576"/>
      <c r="F278" s="1576"/>
      <c r="G278" s="1576"/>
      <c r="H278" s="1012"/>
      <c r="I278" s="1012"/>
      <c r="J278" s="1012"/>
      <c r="K278" s="1012"/>
      <c r="L278" s="1012"/>
      <c r="M278" s="1012"/>
      <c r="N278" s="1194"/>
      <c r="O278" s="634"/>
      <c r="P278" s="634"/>
      <c r="Q278" s="634"/>
      <c r="R278" s="634"/>
      <c r="S278" s="634"/>
      <c r="T278" s="634"/>
      <c r="U278" s="634"/>
    </row>
    <row r="279" spans="1:21">
      <c r="A279" s="4717"/>
      <c r="B279" s="1280" t="s">
        <v>1186</v>
      </c>
      <c r="C279" s="634"/>
      <c r="D279" s="634"/>
      <c r="E279" s="634"/>
      <c r="F279" s="634"/>
      <c r="G279" s="680"/>
      <c r="H279" s="634"/>
      <c r="I279" s="634"/>
      <c r="J279" s="634"/>
      <c r="K279" s="634"/>
      <c r="L279" s="634"/>
      <c r="M279" s="634"/>
      <c r="N279" s="517"/>
      <c r="O279" s="634"/>
      <c r="P279" s="634"/>
      <c r="Q279" s="634"/>
      <c r="R279" s="634"/>
      <c r="S279" s="634"/>
      <c r="T279" s="634"/>
      <c r="U279" s="634"/>
    </row>
    <row r="280" spans="1:21">
      <c r="A280" s="4717"/>
      <c r="B280" s="1574" t="s">
        <v>365</v>
      </c>
      <c r="C280" s="6086" t="s">
        <v>1080</v>
      </c>
      <c r="D280" s="6086"/>
      <c r="E280" s="6086"/>
      <c r="F280" s="6086"/>
      <c r="G280" s="1350"/>
      <c r="H280" s="634"/>
      <c r="I280" s="634"/>
      <c r="J280" s="634"/>
      <c r="K280" s="634"/>
      <c r="L280" s="634"/>
      <c r="M280" s="634"/>
      <c r="N280" s="517"/>
      <c r="O280" s="634"/>
      <c r="P280" s="634"/>
      <c r="Q280" s="634"/>
      <c r="R280" s="634"/>
      <c r="S280" s="634"/>
      <c r="T280" s="634"/>
      <c r="U280" s="634"/>
    </row>
    <row r="281" spans="1:21" ht="16.5" thickBot="1">
      <c r="A281" s="4717"/>
      <c r="B281" s="1669" t="s">
        <v>1002</v>
      </c>
      <c r="C281" s="1668"/>
      <c r="D281" s="1668"/>
      <c r="E281" s="1666"/>
      <c r="F281" s="1666"/>
      <c r="G281" s="1667"/>
      <c r="H281" s="1666"/>
      <c r="I281" s="1666"/>
      <c r="J281" s="1666"/>
      <c r="K281" s="1666"/>
      <c r="L281" s="1666"/>
      <c r="M281" s="1666"/>
      <c r="N281" s="1665"/>
      <c r="O281" s="634"/>
      <c r="P281" s="634"/>
      <c r="Q281" s="634"/>
      <c r="R281" s="634"/>
      <c r="S281" s="634"/>
      <c r="T281" s="634"/>
      <c r="U281" s="634"/>
    </row>
    <row r="282" spans="1:21">
      <c r="B282" s="634"/>
      <c r="C282" s="634"/>
      <c r="D282" s="634"/>
      <c r="E282" s="634"/>
      <c r="F282" s="634"/>
      <c r="G282" s="634"/>
      <c r="H282" s="634"/>
      <c r="I282" s="634"/>
      <c r="J282" s="634"/>
      <c r="K282" s="634"/>
      <c r="L282" s="634"/>
      <c r="M282" s="634"/>
      <c r="N282" s="634"/>
      <c r="O282" s="634"/>
      <c r="P282" s="634"/>
      <c r="Q282" s="634"/>
      <c r="R282" s="634"/>
      <c r="S282" s="634"/>
      <c r="T282" s="634"/>
      <c r="U282" s="634"/>
    </row>
    <row r="283" spans="1:21" ht="16.5" thickBot="1">
      <c r="B283" s="634"/>
      <c r="C283" s="634"/>
      <c r="D283" s="634"/>
      <c r="E283" s="634"/>
      <c r="F283" s="634"/>
      <c r="G283" s="634"/>
      <c r="H283" s="634"/>
      <c r="I283" s="634"/>
      <c r="J283" s="634"/>
      <c r="K283" s="634"/>
      <c r="L283" s="634"/>
      <c r="M283" s="634"/>
      <c r="N283" s="634"/>
      <c r="O283" s="634"/>
      <c r="P283" s="634"/>
      <c r="Q283" s="634"/>
    </row>
    <row r="284" spans="1:21" ht="21">
      <c r="A284" s="1192" t="s">
        <v>70</v>
      </c>
      <c r="B284" s="5892" t="s">
        <v>1342</v>
      </c>
      <c r="C284" s="5893"/>
      <c r="D284" s="5893"/>
      <c r="E284" s="5893"/>
      <c r="F284" s="5893"/>
      <c r="G284" s="5893"/>
      <c r="H284" s="5893"/>
      <c r="I284" s="5893"/>
      <c r="J284" s="5894"/>
      <c r="K284" s="634"/>
      <c r="L284" s="1871" t="s">
        <v>70</v>
      </c>
      <c r="M284" s="5892" t="s">
        <v>1203</v>
      </c>
      <c r="N284" s="5893"/>
      <c r="O284" s="5893"/>
      <c r="P284" s="5893"/>
      <c r="Q284" s="5893"/>
      <c r="R284" s="5894"/>
    </row>
    <row r="285" spans="1:21" ht="16.5" thickBot="1">
      <c r="A285" s="4717" t="str">
        <f>B284</f>
        <v>Calcul du poids de pâte</v>
      </c>
      <c r="B285" s="1483" t="str">
        <f>ADDRESS(ROW(),COLUMN(),4)</f>
        <v>B285</v>
      </c>
      <c r="C285" s="1484" t="s">
        <v>691</v>
      </c>
      <c r="D285" s="1224"/>
      <c r="E285" s="1224"/>
      <c r="F285" s="1224"/>
      <c r="G285" s="1224"/>
      <c r="H285" s="1225"/>
      <c r="I285" s="1225" t="str">
        <f ca="1">MID(CELL("filename",B285),SEARCH("[",CELL("filename",B285))+1,SEARCH("]",CELL("filename",B285))-SEARCH("[",CELL("filename",B285))-1)</f>
        <v>ff-22-formats-formules-pourcentages.xlsx</v>
      </c>
      <c r="J285" s="1226">
        <v>2</v>
      </c>
      <c r="K285" s="634"/>
      <c r="L285" s="4717" t="str">
        <f>M284</f>
        <v>Poids du levain imposé</v>
      </c>
      <c r="M285" s="1483" t="str">
        <f>ADDRESS(ROW(),COLUMN(),4)</f>
        <v>M285</v>
      </c>
      <c r="N285" s="1484"/>
      <c r="O285" s="814"/>
      <c r="Q285" s="1225" t="str">
        <f ca="1">MID(CELL("filename",M285),SEARCH("[",CELL("filename",M285))+1,SEARCH("]",CELL("filename",M285))-SEARCH("[",CELL("filename",M285))-1)</f>
        <v>ff-22-formats-formules-pourcentages.xlsx</v>
      </c>
      <c r="R285" s="1226">
        <v>2</v>
      </c>
    </row>
    <row r="286" spans="1:21">
      <c r="A286" s="4717"/>
      <c r="B286" s="1627"/>
      <c r="C286" s="729"/>
      <c r="D286" s="729"/>
      <c r="E286" s="729"/>
      <c r="F286" s="729"/>
      <c r="G286" s="729"/>
      <c r="H286" s="729"/>
      <c r="I286" s="729"/>
      <c r="J286" s="730"/>
      <c r="K286" s="634"/>
      <c r="L286" s="4717"/>
      <c r="M286" s="6041" t="s">
        <v>1170</v>
      </c>
      <c r="N286" s="6044" t="s">
        <v>1217</v>
      </c>
      <c r="O286" s="6045"/>
      <c r="P286" s="1503" t="s">
        <v>1218</v>
      </c>
      <c r="Q286" s="1503">
        <v>150</v>
      </c>
      <c r="R286" s="1505"/>
    </row>
    <row r="287" spans="1:21" ht="18.75">
      <c r="A287" s="4717"/>
      <c r="B287" s="633"/>
      <c r="C287" s="634"/>
      <c r="D287" s="1623" t="s">
        <v>1342</v>
      </c>
      <c r="E287" s="634"/>
      <c r="F287" s="634"/>
      <c r="G287" s="634"/>
      <c r="H287" s="634"/>
      <c r="I287" s="634"/>
      <c r="J287" s="517"/>
      <c r="K287" s="634"/>
      <c r="L287" s="4717"/>
      <c r="M287" s="6042"/>
      <c r="N287" s="6046" t="s">
        <v>1173</v>
      </c>
      <c r="O287" s="6047"/>
      <c r="P287" s="1462" t="s">
        <v>1174</v>
      </c>
      <c r="Q287" s="1462">
        <v>0.6</v>
      </c>
      <c r="R287" s="1918">
        <v>0.8</v>
      </c>
    </row>
    <row r="288" spans="1:21" ht="16.5" thickBot="1">
      <c r="A288" s="4717"/>
      <c r="B288" s="633"/>
      <c r="C288" s="634"/>
      <c r="D288" s="634"/>
      <c r="E288" s="634"/>
      <c r="F288" s="634"/>
      <c r="G288" s="634"/>
      <c r="H288" s="634"/>
      <c r="I288" s="634"/>
      <c r="J288" s="517"/>
      <c r="K288" s="634"/>
      <c r="L288" s="4717"/>
      <c r="M288" s="6043"/>
      <c r="N288" s="6048" t="s">
        <v>1175</v>
      </c>
      <c r="O288" s="6049"/>
      <c r="P288" s="1465" t="s">
        <v>1176</v>
      </c>
      <c r="Q288" s="1465"/>
      <c r="R288" s="1919">
        <v>0.3</v>
      </c>
    </row>
    <row r="289" spans="1:18" ht="18.75">
      <c r="A289" s="4717"/>
      <c r="B289" s="633"/>
      <c r="C289" s="634"/>
      <c r="D289" s="1587" t="s">
        <v>1341</v>
      </c>
      <c r="E289" s="892"/>
      <c r="F289" s="1587" t="s">
        <v>1318</v>
      </c>
      <c r="G289" s="1625"/>
      <c r="H289" s="1715" t="s">
        <v>1059</v>
      </c>
      <c r="I289" s="634"/>
      <c r="J289" s="517"/>
      <c r="K289" s="634"/>
      <c r="L289" s="4717"/>
      <c r="M289" s="6041" t="s">
        <v>1177</v>
      </c>
      <c r="N289" s="6050" t="s">
        <v>1178</v>
      </c>
      <c r="O289" s="6051"/>
      <c r="P289" s="1468" t="s">
        <v>1179</v>
      </c>
      <c r="Q289" s="1469">
        <f>Q291+R289</f>
        <v>361.11111111111109</v>
      </c>
      <c r="R289" s="1470">
        <f>Q286/(1+R287)</f>
        <v>83.333333333333329</v>
      </c>
    </row>
    <row r="290" spans="1:18" ht="18.75">
      <c r="A290" s="4717"/>
      <c r="B290" s="633"/>
      <c r="C290" s="634"/>
      <c r="D290" s="1664">
        <v>10</v>
      </c>
      <c r="E290" s="1638" t="s">
        <v>1289</v>
      </c>
      <c r="F290" s="1662">
        <v>2</v>
      </c>
      <c r="G290" s="1606" t="s">
        <v>997</v>
      </c>
      <c r="H290" s="1718">
        <f>D290+F290</f>
        <v>12</v>
      </c>
      <c r="I290" s="1717"/>
      <c r="J290" s="517"/>
      <c r="K290" s="634"/>
      <c r="L290" s="4717"/>
      <c r="M290" s="6042"/>
      <c r="N290" s="6052" t="s">
        <v>1180</v>
      </c>
      <c r="O290" s="6053"/>
      <c r="P290" s="1471" t="s">
        <v>1181</v>
      </c>
      <c r="Q290" s="1472">
        <f>Q289*Q287</f>
        <v>216.66666666666666</v>
      </c>
      <c r="R290" s="1473">
        <f>Q286-R289</f>
        <v>66.666666666666671</v>
      </c>
    </row>
    <row r="291" spans="1:18" ht="18.75">
      <c r="A291" s="4717"/>
      <c r="B291" s="633"/>
      <c r="C291" s="634"/>
      <c r="D291" s="1671" t="str">
        <f>ADDRESS(ROW(D290),COLUMN(D290),4)</f>
        <v>D290</v>
      </c>
      <c r="F291" s="1671" t="str">
        <f>ADDRESS(ROW(F290),COLUMN(F290),4)</f>
        <v>F290</v>
      </c>
      <c r="G291" s="1625"/>
      <c r="H291" s="680" t="str">
        <f ca="1">_xlfn.FORMULATEXT(H290)</f>
        <v>=D290+F290</v>
      </c>
      <c r="I291" s="634"/>
      <c r="J291" s="517"/>
      <c r="K291" s="634"/>
      <c r="L291" s="4717"/>
      <c r="M291" s="6042"/>
      <c r="N291" s="6052" t="s">
        <v>1182</v>
      </c>
      <c r="O291" s="6053"/>
      <c r="P291" s="1471" t="s">
        <v>1183</v>
      </c>
      <c r="Q291" s="1472">
        <f>R289/R288</f>
        <v>277.77777777777777</v>
      </c>
      <c r="R291" s="1473"/>
    </row>
    <row r="292" spans="1:18" ht="18.75">
      <c r="A292" s="4717"/>
      <c r="B292" s="633"/>
      <c r="C292" s="634"/>
      <c r="D292" s="634"/>
      <c r="E292" s="634"/>
      <c r="F292" s="634"/>
      <c r="G292" s="1625"/>
      <c r="H292" s="680"/>
      <c r="I292" s="634"/>
      <c r="J292" s="517"/>
      <c r="K292" s="634"/>
      <c r="L292" s="4717"/>
      <c r="M292" s="6042"/>
      <c r="N292" s="6052" t="s">
        <v>1184</v>
      </c>
      <c r="O292" s="6053"/>
      <c r="P292" s="1471" t="s">
        <v>1185</v>
      </c>
      <c r="Q292" s="1472">
        <f>Q290-R290</f>
        <v>150</v>
      </c>
      <c r="R292" s="1473"/>
    </row>
    <row r="293" spans="1:18" ht="16.5" thickBot="1">
      <c r="A293" s="4717"/>
      <c r="B293" s="6120" t="s">
        <v>1320</v>
      </c>
      <c r="C293" s="6121"/>
      <c r="D293" s="6121"/>
      <c r="E293" s="6121"/>
      <c r="F293" s="6121"/>
      <c r="G293" s="6121"/>
      <c r="H293" s="6121"/>
      <c r="I293" s="6121"/>
      <c r="J293" s="6122"/>
      <c r="K293" s="634"/>
      <c r="L293" s="4717"/>
      <c r="M293" s="6043"/>
      <c r="N293" s="6054" t="s">
        <v>1171</v>
      </c>
      <c r="O293" s="6055"/>
      <c r="P293" s="1475" t="s">
        <v>1172</v>
      </c>
      <c r="Q293" s="1476">
        <f>Q289+Q290</f>
        <v>577.77777777777771</v>
      </c>
      <c r="R293" s="1477"/>
    </row>
    <row r="294" spans="1:18" ht="18.75">
      <c r="A294" s="4717"/>
      <c r="B294" s="633"/>
      <c r="C294" s="634"/>
      <c r="D294" s="634"/>
      <c r="E294" s="634"/>
      <c r="F294" s="634"/>
      <c r="G294" s="1625"/>
      <c r="H294" s="680"/>
      <c r="I294" s="634"/>
      <c r="J294" s="517"/>
      <c r="K294" s="634"/>
      <c r="L294" s="4717"/>
      <c r="M294" s="1478" t="s">
        <v>1186</v>
      </c>
      <c r="N294" s="1229"/>
      <c r="O294" s="1229"/>
      <c r="P294" s="1229"/>
      <c r="Q294" s="1229"/>
      <c r="R294" s="1920"/>
    </row>
    <row r="295" spans="1:18">
      <c r="A295" s="4717"/>
      <c r="B295" s="633"/>
      <c r="C295" s="1587"/>
      <c r="D295" s="892"/>
      <c r="E295" s="1715" t="s">
        <v>1319</v>
      </c>
      <c r="F295" s="1716">
        <v>20</v>
      </c>
      <c r="G295" s="1636">
        <f>(C297/100)*F295</f>
        <v>2</v>
      </c>
      <c r="H295" s="634"/>
      <c r="I295" s="634"/>
      <c r="J295" s="517"/>
      <c r="K295" s="634"/>
      <c r="L295" s="4717"/>
      <c r="M295" s="1479" t="s">
        <v>365</v>
      </c>
      <c r="N295" s="1480" t="s">
        <v>1197</v>
      </c>
      <c r="O295" s="1480"/>
      <c r="P295" s="634"/>
      <c r="R295" s="1920"/>
    </row>
    <row r="296" spans="1:18">
      <c r="A296" s="4717"/>
      <c r="B296" s="633"/>
      <c r="C296" s="1587" t="s">
        <v>1341</v>
      </c>
      <c r="D296" s="892"/>
      <c r="E296" s="1587"/>
      <c r="F296" s="634"/>
      <c r="G296" s="1715"/>
      <c r="H296" s="1715"/>
      <c r="I296" s="1714"/>
      <c r="J296" s="1713"/>
      <c r="K296" s="634"/>
      <c r="L296" s="4717"/>
      <c r="M296" s="1479" t="s">
        <v>365</v>
      </c>
      <c r="N296" s="1480" t="s">
        <v>1080</v>
      </c>
      <c r="O296" s="1480"/>
      <c r="P296" s="634"/>
      <c r="Q296" s="634"/>
      <c r="R296" s="1920"/>
    </row>
    <row r="297" spans="1:18" ht="19.5" thickBot="1">
      <c r="A297" s="4717"/>
      <c r="B297" s="633"/>
      <c r="C297" s="1664">
        <v>10</v>
      </c>
      <c r="D297" s="1638" t="s">
        <v>603</v>
      </c>
      <c r="E297" s="1712">
        <v>1</v>
      </c>
      <c r="F297" s="1638" t="s">
        <v>1289</v>
      </c>
      <c r="G297" s="1711">
        <f>(C297/100)*F295</f>
        <v>2</v>
      </c>
      <c r="H297" s="1606" t="s">
        <v>997</v>
      </c>
      <c r="I297" s="1636">
        <f>(C297*E297)+G297</f>
        <v>12</v>
      </c>
      <c r="J297" s="517"/>
      <c r="K297" s="634"/>
      <c r="L297" s="4717"/>
      <c r="M297" s="1482" t="s">
        <v>1002</v>
      </c>
      <c r="N297" s="1276"/>
      <c r="O297" s="1276"/>
      <c r="P297" s="1276"/>
      <c r="Q297" s="1276"/>
      <c r="R297" s="1921"/>
    </row>
    <row r="298" spans="1:18">
      <c r="A298" s="4717"/>
      <c r="B298" s="633"/>
      <c r="C298" s="1671" t="str">
        <f>ADDRESS(ROW(C297),COLUMN(C297),4)</f>
        <v>C297</v>
      </c>
      <c r="D298" s="634"/>
      <c r="E298" s="1671" t="str">
        <f>ADDRESS(ROW(E297),COLUMN(E297),4)</f>
        <v>E297</v>
      </c>
      <c r="F298" s="634"/>
      <c r="G298" s="1671" t="str">
        <f>ADDRESS(ROW(G297),COLUMN(G297),4)</f>
        <v>G297</v>
      </c>
      <c r="H298" s="634"/>
      <c r="I298" s="680" t="str">
        <f ca="1">_xlfn.FORMULATEXT(I297)</f>
        <v>=(C297*E297)+G297</v>
      </c>
      <c r="J298" s="517"/>
      <c r="K298" s="634"/>
      <c r="L298" s="634"/>
      <c r="M298" s="634"/>
      <c r="N298" s="634"/>
      <c r="O298" s="634"/>
      <c r="P298" s="634"/>
      <c r="Q298" s="634"/>
    </row>
    <row r="299" spans="1:18">
      <c r="A299" s="4717"/>
      <c r="B299" s="633"/>
      <c r="C299" s="634"/>
      <c r="D299" s="634"/>
      <c r="E299" s="634"/>
      <c r="F299" s="634"/>
      <c r="G299" s="634"/>
      <c r="H299" s="634"/>
      <c r="I299" s="634"/>
      <c r="J299" s="517"/>
      <c r="K299" s="634"/>
      <c r="L299" s="634"/>
      <c r="M299" s="634"/>
      <c r="N299" s="634"/>
      <c r="O299" s="634"/>
      <c r="P299" s="634"/>
      <c r="Q299" s="634"/>
    </row>
    <row r="300" spans="1:18">
      <c r="A300" s="4717"/>
      <c r="B300" s="633"/>
      <c r="C300" s="1364" t="s">
        <v>1340</v>
      </c>
      <c r="D300" s="634"/>
      <c r="E300" s="634"/>
      <c r="F300" s="634"/>
      <c r="G300" s="634"/>
      <c r="H300" s="634"/>
      <c r="I300" s="634"/>
      <c r="J300" s="517"/>
      <c r="K300" s="634"/>
      <c r="L300" s="634"/>
      <c r="M300" s="634"/>
      <c r="N300" s="634"/>
      <c r="O300" s="634"/>
      <c r="P300" s="634"/>
      <c r="Q300" s="634"/>
    </row>
    <row r="301" spans="1:18">
      <c r="A301" s="4717"/>
      <c r="B301" s="633"/>
      <c r="C301" s="1364"/>
      <c r="D301" s="634"/>
      <c r="E301" s="634"/>
      <c r="F301" s="634"/>
      <c r="G301" s="634"/>
      <c r="H301" s="634"/>
      <c r="I301" s="634"/>
      <c r="J301" s="517"/>
      <c r="K301" s="634"/>
      <c r="L301" s="634"/>
      <c r="M301" s="634"/>
      <c r="N301" s="634"/>
      <c r="O301" s="634"/>
      <c r="P301" s="634"/>
      <c r="Q301" s="634"/>
    </row>
    <row r="302" spans="1:18">
      <c r="A302" s="4717"/>
      <c r="B302" s="1710" t="s">
        <v>1339</v>
      </c>
      <c r="C302" s="1709"/>
      <c r="D302" s="1315"/>
      <c r="E302" s="1315"/>
      <c r="F302" s="1315"/>
      <c r="G302" s="1315"/>
      <c r="H302" s="1315"/>
      <c r="I302" s="1315"/>
      <c r="J302" s="1377"/>
      <c r="K302" s="634"/>
      <c r="L302" s="634"/>
      <c r="M302" s="634"/>
      <c r="N302" s="634"/>
      <c r="O302" s="634"/>
      <c r="P302" s="634"/>
      <c r="Q302" s="634"/>
    </row>
    <row r="303" spans="1:18">
      <c r="A303" s="4717"/>
      <c r="B303" s="633" t="s">
        <v>1338</v>
      </c>
      <c r="C303" s="1364"/>
      <c r="D303" s="634"/>
      <c r="E303" s="634"/>
      <c r="F303" s="634"/>
      <c r="G303" s="634"/>
      <c r="H303" s="634"/>
      <c r="I303" s="634"/>
      <c r="J303" s="517"/>
      <c r="K303" s="634"/>
      <c r="L303" s="634"/>
      <c r="M303" s="634"/>
      <c r="N303" s="634"/>
      <c r="O303" s="634"/>
      <c r="P303" s="634"/>
      <c r="Q303" s="634"/>
    </row>
    <row r="304" spans="1:18">
      <c r="A304" s="4717"/>
      <c r="B304" s="656" t="s">
        <v>1337</v>
      </c>
      <c r="C304" s="1364"/>
      <c r="D304" s="634"/>
      <c r="E304" s="634"/>
      <c r="F304" s="634"/>
      <c r="G304" s="634"/>
      <c r="H304" s="634"/>
      <c r="I304" s="634"/>
      <c r="J304" s="517"/>
      <c r="K304" s="634"/>
      <c r="L304" s="634"/>
      <c r="M304" s="634"/>
      <c r="N304" s="634"/>
      <c r="O304" s="634"/>
      <c r="P304" s="634"/>
      <c r="Q304" s="634"/>
    </row>
    <row r="305" spans="1:17">
      <c r="A305" s="4717"/>
      <c r="B305" s="656" t="s">
        <v>1336</v>
      </c>
      <c r="C305" s="1364"/>
      <c r="D305" s="634"/>
      <c r="E305" s="634"/>
      <c r="F305" s="634"/>
      <c r="G305" s="634"/>
      <c r="H305" s="634"/>
      <c r="I305" s="634"/>
      <c r="J305" s="517"/>
      <c r="K305" s="634"/>
      <c r="L305" s="634"/>
      <c r="M305" s="634"/>
      <c r="N305" s="634"/>
      <c r="O305" s="634"/>
      <c r="P305" s="634"/>
      <c r="Q305" s="634"/>
    </row>
    <row r="306" spans="1:17">
      <c r="A306" s="4717"/>
      <c r="B306" s="1621" t="s">
        <v>1263</v>
      </c>
      <c r="C306" s="1708"/>
      <c r="D306" s="1012"/>
      <c r="E306" s="1012"/>
      <c r="F306" s="1012"/>
      <c r="G306" s="1012"/>
      <c r="H306" s="1012"/>
      <c r="I306" s="1012"/>
      <c r="J306" s="1194"/>
      <c r="K306" s="634"/>
      <c r="L306" s="634"/>
      <c r="M306" s="634"/>
      <c r="N306" s="634"/>
      <c r="O306" s="634"/>
      <c r="P306" s="634"/>
      <c r="Q306" s="634"/>
    </row>
    <row r="307" spans="1:17">
      <c r="A307" s="4717"/>
      <c r="B307" s="1478" t="s">
        <v>1186</v>
      </c>
      <c r="C307" s="1229"/>
      <c r="D307" s="1229"/>
      <c r="E307" s="1229"/>
      <c r="F307" s="1229"/>
      <c r="G307" s="1229"/>
      <c r="H307" s="1229"/>
      <c r="I307" s="1229"/>
      <c r="J307" s="517"/>
      <c r="K307" s="634"/>
      <c r="L307" s="634"/>
      <c r="M307" s="634"/>
      <c r="N307" s="634"/>
      <c r="O307" s="634"/>
      <c r="P307" s="634"/>
      <c r="Q307" s="634"/>
    </row>
    <row r="308" spans="1:17" ht="21">
      <c r="A308" s="4717"/>
      <c r="B308" s="1452" t="s">
        <v>365</v>
      </c>
      <c r="C308" s="1565" t="s">
        <v>1080</v>
      </c>
      <c r="D308" s="634"/>
      <c r="E308" s="634"/>
      <c r="F308" s="634"/>
      <c r="G308" s="634"/>
      <c r="H308" s="634"/>
      <c r="I308" s="680"/>
      <c r="J308" s="517"/>
      <c r="K308" s="634"/>
      <c r="L308" s="634"/>
      <c r="M308" s="634"/>
      <c r="N308" s="634"/>
      <c r="O308" s="634"/>
      <c r="P308" s="634"/>
      <c r="Q308" s="634"/>
    </row>
    <row r="309" spans="1:17" ht="16.5" thickBot="1">
      <c r="A309" s="4717"/>
      <c r="B309" s="1482" t="s">
        <v>1002</v>
      </c>
      <c r="C309" s="1276"/>
      <c r="D309" s="1276"/>
      <c r="E309" s="1276"/>
      <c r="F309" s="1276"/>
      <c r="G309" s="1276"/>
      <c r="H309" s="1276"/>
      <c r="I309" s="1276"/>
      <c r="J309" s="581"/>
      <c r="K309" s="634"/>
      <c r="L309" s="634"/>
      <c r="M309" s="634"/>
      <c r="N309" s="634"/>
      <c r="O309" s="634"/>
      <c r="P309" s="634"/>
      <c r="Q309" s="634"/>
    </row>
    <row r="310" spans="1:17">
      <c r="B310" s="634"/>
      <c r="C310" s="634"/>
      <c r="D310" s="634"/>
      <c r="E310" s="634"/>
      <c r="F310" s="634"/>
      <c r="G310" s="634"/>
      <c r="H310" s="634"/>
      <c r="I310" s="634"/>
      <c r="J310" s="634"/>
      <c r="K310" s="634"/>
      <c r="L310" s="634"/>
      <c r="M310" s="634"/>
      <c r="N310" s="634"/>
      <c r="O310" s="634"/>
      <c r="P310" s="634"/>
      <c r="Q310" s="634"/>
    </row>
    <row r="311" spans="1:17" ht="21">
      <c r="A311" s="1871" t="s">
        <v>70</v>
      </c>
      <c r="B311" s="6056" t="s">
        <v>1169</v>
      </c>
      <c r="C311" s="6057"/>
      <c r="D311" s="6057"/>
      <c r="E311" s="6057"/>
      <c r="F311" s="6057"/>
      <c r="G311" s="6057"/>
      <c r="H311" s="6058"/>
      <c r="I311" s="634"/>
      <c r="J311" s="634"/>
      <c r="K311" s="634"/>
      <c r="L311" s="634"/>
      <c r="M311" s="634"/>
      <c r="N311" s="634"/>
      <c r="O311" s="634"/>
      <c r="P311" s="634"/>
      <c r="Q311" s="634"/>
    </row>
    <row r="312" spans="1:17" ht="16.5" thickBot="1">
      <c r="A312" s="4717" t="str">
        <f>B311</f>
        <v>Pâte imposée</v>
      </c>
      <c r="B312" s="1922" t="str">
        <f>ADDRESS(ROW(),COLUMN(),4)</f>
        <v>B312</v>
      </c>
      <c r="C312" s="1314"/>
      <c r="D312" s="814"/>
      <c r="E312" s="814"/>
      <c r="G312" s="1320" t="str">
        <f ca="1">MID(CELL("filename",B312),SEARCH("[",CELL("filename",B312))+1,SEARCH("]",CELL("filename",B312))-SEARCH("[",CELL("filename",B312))-1)</f>
        <v>ff-22-formats-formules-pourcentages.xlsx</v>
      </c>
      <c r="H312" s="1458">
        <v>2</v>
      </c>
      <c r="I312" s="634"/>
      <c r="J312" s="634"/>
      <c r="K312" s="634"/>
      <c r="L312" s="634"/>
      <c r="M312" s="634"/>
      <c r="N312" s="634"/>
      <c r="O312" s="634"/>
      <c r="P312" s="634"/>
      <c r="Q312" s="634"/>
    </row>
    <row r="313" spans="1:17">
      <c r="A313" s="4717"/>
      <c r="B313" s="6064" t="s">
        <v>1170</v>
      </c>
      <c r="C313" s="6065" t="s">
        <v>1171</v>
      </c>
      <c r="D313" s="6066"/>
      <c r="E313" s="6067"/>
      <c r="F313" s="1459" t="s">
        <v>1172</v>
      </c>
      <c r="G313" s="1460">
        <v>1000</v>
      </c>
      <c r="H313" s="1461"/>
      <c r="I313" s="634"/>
      <c r="J313" s="634"/>
      <c r="K313" s="634"/>
      <c r="L313" s="634"/>
      <c r="M313" s="634"/>
      <c r="N313" s="634"/>
      <c r="O313" s="634"/>
      <c r="P313" s="634"/>
      <c r="Q313" s="634"/>
    </row>
    <row r="314" spans="1:17">
      <c r="A314" s="4717"/>
      <c r="B314" s="6042"/>
      <c r="C314" s="6068" t="s">
        <v>1173</v>
      </c>
      <c r="D314" s="6069"/>
      <c r="E314" s="6070"/>
      <c r="F314" s="1462" t="s">
        <v>1174</v>
      </c>
      <c r="G314" s="1463">
        <v>0.6</v>
      </c>
      <c r="H314" s="1464">
        <v>0.8</v>
      </c>
      <c r="I314" s="634"/>
      <c r="J314" s="634"/>
      <c r="K314" s="634"/>
      <c r="L314" s="634"/>
      <c r="M314" s="634"/>
      <c r="N314" s="634"/>
      <c r="O314" s="634"/>
      <c r="P314" s="634"/>
      <c r="Q314" s="634"/>
    </row>
    <row r="315" spans="1:17" ht="16.5" thickBot="1">
      <c r="A315" s="4717"/>
      <c r="B315" s="6043"/>
      <c r="C315" s="6071" t="s">
        <v>1175</v>
      </c>
      <c r="D315" s="6072"/>
      <c r="E315" s="6073"/>
      <c r="F315" s="1465" t="s">
        <v>1176</v>
      </c>
      <c r="G315" s="1466"/>
      <c r="H315" s="1467">
        <v>0.3</v>
      </c>
      <c r="I315" s="634"/>
      <c r="J315" s="634"/>
      <c r="K315" s="634"/>
      <c r="L315" s="634"/>
      <c r="M315" s="634"/>
      <c r="N315" s="634"/>
      <c r="O315" s="634"/>
      <c r="P315" s="634"/>
      <c r="Q315" s="634"/>
    </row>
    <row r="316" spans="1:17">
      <c r="A316" s="4717"/>
      <c r="B316" s="6041" t="s">
        <v>1177</v>
      </c>
      <c r="C316" s="6050" t="s">
        <v>1178</v>
      </c>
      <c r="D316" s="6051"/>
      <c r="E316" s="6074"/>
      <c r="F316" s="1468" t="s">
        <v>1179</v>
      </c>
      <c r="G316" s="1469">
        <f>G313/(1+G314)</f>
        <v>625</v>
      </c>
      <c r="H316" s="1470">
        <f>G316*H315/(1+H315)</f>
        <v>144.23076923076923</v>
      </c>
      <c r="I316" s="634"/>
      <c r="J316" s="634"/>
      <c r="K316" s="634"/>
      <c r="L316" s="634"/>
      <c r="M316" s="634"/>
      <c r="N316" s="634"/>
      <c r="O316" s="634"/>
      <c r="P316" s="634"/>
      <c r="Q316" s="634"/>
    </row>
    <row r="317" spans="1:17">
      <c r="A317" s="4717"/>
      <c r="B317" s="6042"/>
      <c r="C317" s="6052" t="s">
        <v>1180</v>
      </c>
      <c r="D317" s="6053"/>
      <c r="E317" s="6075"/>
      <c r="F317" s="1471" t="s">
        <v>1181</v>
      </c>
      <c r="G317" s="1472">
        <f>G313*G314/(1+G314)</f>
        <v>375</v>
      </c>
      <c r="H317" s="1473">
        <f>H316*H314</f>
        <v>115.38461538461539</v>
      </c>
      <c r="I317" s="634"/>
      <c r="J317" s="634"/>
      <c r="K317" s="634"/>
      <c r="L317" s="634"/>
      <c r="M317" s="634"/>
      <c r="N317" s="634"/>
      <c r="O317" s="634"/>
      <c r="P317" s="634"/>
      <c r="Q317" s="634"/>
    </row>
    <row r="318" spans="1:17">
      <c r="A318" s="4717"/>
      <c r="B318" s="6042"/>
      <c r="C318" s="6052" t="s">
        <v>1182</v>
      </c>
      <c r="D318" s="6053"/>
      <c r="E318" s="6075"/>
      <c r="F318" s="1471" t="s">
        <v>1183</v>
      </c>
      <c r="G318" s="1472">
        <f>G316-H316</f>
        <v>480.76923076923077</v>
      </c>
      <c r="H318" s="1473"/>
      <c r="I318" s="634"/>
      <c r="J318" s="634"/>
      <c r="K318" s="634"/>
      <c r="L318" s="634"/>
      <c r="M318" s="634"/>
      <c r="N318" s="634"/>
      <c r="O318" s="634"/>
      <c r="P318" s="634"/>
      <c r="Q318" s="634"/>
    </row>
    <row r="319" spans="1:17" ht="16.5" thickBot="1">
      <c r="A319" s="4717"/>
      <c r="B319" s="1474"/>
      <c r="C319" s="6054" t="s">
        <v>1184</v>
      </c>
      <c r="D319" s="6055"/>
      <c r="E319" s="6076"/>
      <c r="F319" s="1475" t="s">
        <v>1185</v>
      </c>
      <c r="G319" s="1476">
        <f>G317-H317</f>
        <v>259.61538461538464</v>
      </c>
      <c r="H319" s="1477"/>
      <c r="I319" s="634"/>
      <c r="J319" s="634"/>
      <c r="K319" s="634"/>
      <c r="L319" s="634"/>
      <c r="M319" s="634"/>
      <c r="N319" s="634"/>
      <c r="O319" s="634"/>
      <c r="P319" s="634"/>
      <c r="Q319" s="634"/>
    </row>
    <row r="320" spans="1:17">
      <c r="A320" s="4717"/>
      <c r="B320" s="1478" t="s">
        <v>1186</v>
      </c>
      <c r="C320" s="1229"/>
      <c r="D320" s="1229"/>
      <c r="E320" s="1229"/>
      <c r="F320" s="1229"/>
      <c r="G320" s="1229"/>
      <c r="H320" s="517"/>
      <c r="I320" s="634"/>
      <c r="J320" s="634"/>
      <c r="K320" s="634"/>
      <c r="L320" s="634"/>
      <c r="M320" s="634"/>
      <c r="N320" s="634"/>
      <c r="O320" s="634"/>
      <c r="P320" s="634"/>
      <c r="Q320" s="634"/>
    </row>
    <row r="321" spans="1:25">
      <c r="A321" s="4717"/>
      <c r="B321" s="1479" t="s">
        <v>365</v>
      </c>
      <c r="C321" s="1480" t="s">
        <v>1187</v>
      </c>
      <c r="D321" s="1481"/>
      <c r="E321" s="1481"/>
      <c r="F321" s="634"/>
      <c r="G321" s="634"/>
      <c r="H321" s="517"/>
      <c r="I321" s="634"/>
      <c r="J321" s="634"/>
      <c r="K321" s="634"/>
      <c r="L321" s="634"/>
      <c r="M321" s="634"/>
      <c r="N321" s="634"/>
      <c r="O321" s="634"/>
      <c r="P321" s="634"/>
      <c r="Q321" s="634"/>
    </row>
    <row r="322" spans="1:25">
      <c r="A322" s="4717"/>
      <c r="B322" s="1479" t="s">
        <v>365</v>
      </c>
      <c r="C322" s="1480" t="s">
        <v>1080</v>
      </c>
      <c r="D322" s="1481"/>
      <c r="E322" s="1481"/>
      <c r="F322" s="634"/>
      <c r="G322" s="634"/>
      <c r="H322" s="517"/>
      <c r="I322" s="634"/>
      <c r="J322" s="634"/>
      <c r="K322" s="634"/>
      <c r="L322" s="634"/>
      <c r="M322" s="634"/>
      <c r="N322" s="634"/>
      <c r="O322" s="634"/>
      <c r="P322" s="634"/>
      <c r="Q322" s="634"/>
    </row>
    <row r="323" spans="1:25" ht="16.5" thickBot="1">
      <c r="A323" s="4717"/>
      <c r="B323" s="1482" t="s">
        <v>1002</v>
      </c>
      <c r="C323" s="1276"/>
      <c r="D323" s="1276"/>
      <c r="E323" s="1276"/>
      <c r="F323" s="1276"/>
      <c r="G323" s="1276"/>
      <c r="H323" s="581"/>
      <c r="I323" s="634"/>
      <c r="J323" s="634"/>
      <c r="K323" s="634"/>
      <c r="L323" s="634"/>
      <c r="M323" s="634"/>
      <c r="N323" s="634"/>
      <c r="O323" s="634"/>
      <c r="P323" s="634"/>
      <c r="Q323" s="634"/>
    </row>
    <row r="324" spans="1:25" ht="16.5" thickBot="1">
      <c r="B324" s="634"/>
      <c r="C324" s="634"/>
      <c r="D324" s="634"/>
      <c r="E324" s="634"/>
      <c r="F324" s="634"/>
      <c r="G324" s="634"/>
      <c r="H324" s="634"/>
      <c r="I324" s="634"/>
      <c r="J324" s="634"/>
      <c r="K324" s="634"/>
      <c r="L324" s="634"/>
      <c r="M324" s="634"/>
      <c r="N324" s="634"/>
      <c r="O324" s="634"/>
      <c r="P324" s="634"/>
      <c r="Q324" s="634"/>
    </row>
    <row r="325" spans="1:25" ht="21">
      <c r="A325" s="1924" t="s">
        <v>70</v>
      </c>
      <c r="B325" s="5892" t="s">
        <v>1511</v>
      </c>
      <c r="C325" s="5893"/>
      <c r="D325" s="5893"/>
      <c r="E325" s="5893"/>
      <c r="F325" s="5893"/>
      <c r="G325" s="5893"/>
      <c r="H325" s="5893"/>
      <c r="I325" s="5893"/>
      <c r="J325" s="5893"/>
      <c r="K325" s="5893"/>
      <c r="L325" s="5893"/>
      <c r="M325" s="5893"/>
      <c r="N325" s="5893"/>
      <c r="O325" s="5893"/>
      <c r="P325" s="5893"/>
      <c r="Q325" s="5893"/>
      <c r="R325" s="5893"/>
      <c r="S325" s="5893"/>
      <c r="T325" s="5893"/>
      <c r="U325" s="5893"/>
      <c r="V325" s="5893"/>
      <c r="W325" s="5893"/>
      <c r="X325" s="5893"/>
      <c r="Y325" s="5893"/>
    </row>
    <row r="326" spans="1:25" ht="16.5" thickBot="1">
      <c r="A326" s="6186" t="str">
        <f>B325</f>
        <v>Poids de la pâte imposé - 3 méthodes Méthode N° 1 en Pourcentages et en Kg - Méthode N° 2  en Taux  -  Méthode N° 3  en Taux et en Grammes</v>
      </c>
      <c r="B326" s="1457" t="str">
        <f>ADDRESS(ROW(),COLUMN(),4)</f>
        <v>B326</v>
      </c>
      <c r="C326" s="1314"/>
      <c r="D326" s="1314"/>
      <c r="E326" s="1314"/>
      <c r="F326" s="1315"/>
      <c r="G326" s="1315"/>
      <c r="H326" s="634"/>
      <c r="I326" s="634"/>
      <c r="J326" s="634"/>
      <c r="K326" s="634"/>
      <c r="L326" s="634"/>
      <c r="M326" s="634"/>
      <c r="N326" s="634"/>
      <c r="O326" s="634"/>
      <c r="P326" s="634"/>
      <c r="Q326" s="634"/>
      <c r="R326" s="634"/>
      <c r="S326" s="634"/>
      <c r="T326" s="634"/>
      <c r="X326" s="1316" t="str">
        <f ca="1">MID(CELL("filename",F326),SEARCH("[",CELL("filename",F326))+1,SEARCH("]",CELL("filename",F326))-SEARCH("[",CELL("filename",F326))-1)</f>
        <v>ff-22-formats-formules-pourcentages.xlsx</v>
      </c>
      <c r="Y326" s="1226">
        <v>1</v>
      </c>
    </row>
    <row r="327" spans="1:25" ht="18.75">
      <c r="A327" s="6186"/>
      <c r="B327" s="6187"/>
      <c r="C327" s="6188"/>
      <c r="D327" s="6188"/>
      <c r="E327" s="6188"/>
      <c r="F327" s="6189"/>
      <c r="G327" s="6193" t="s">
        <v>1470</v>
      </c>
      <c r="H327" s="6194"/>
      <c r="I327" s="6194"/>
      <c r="J327" s="6194"/>
      <c r="K327" s="6195"/>
      <c r="L327" s="1925"/>
      <c r="M327" s="1926"/>
      <c r="N327" s="6194" t="s">
        <v>1471</v>
      </c>
      <c r="O327" s="6194"/>
      <c r="P327" s="6194"/>
      <c r="Q327" s="6194"/>
      <c r="R327" s="6195"/>
      <c r="S327" s="1927"/>
      <c r="T327" s="1926"/>
      <c r="U327" s="6194" t="s">
        <v>1472</v>
      </c>
      <c r="V327" s="6194"/>
      <c r="W327" s="6194"/>
      <c r="X327" s="6194"/>
      <c r="Y327" s="6195"/>
    </row>
    <row r="328" spans="1:25" ht="19.5" thickBot="1">
      <c r="A328" s="6186"/>
      <c r="B328" s="6190"/>
      <c r="C328" s="6191"/>
      <c r="D328" s="6191"/>
      <c r="E328" s="6191"/>
      <c r="F328" s="6192"/>
      <c r="G328" s="6196" t="s">
        <v>1473</v>
      </c>
      <c r="H328" s="6197"/>
      <c r="I328" s="6197"/>
      <c r="J328" s="6197"/>
      <c r="K328" s="6198"/>
      <c r="L328" s="1925"/>
      <c r="M328" s="1928"/>
      <c r="N328" s="6199" t="s">
        <v>1474</v>
      </c>
      <c r="O328" s="6199"/>
      <c r="P328" s="6199"/>
      <c r="Q328" s="6199"/>
      <c r="R328" s="6200"/>
      <c r="S328" s="1927"/>
      <c r="T328" s="1929"/>
      <c r="U328" s="6197" t="s">
        <v>1475</v>
      </c>
      <c r="V328" s="6197"/>
      <c r="W328" s="6197"/>
      <c r="X328" s="6197"/>
      <c r="Y328" s="6198"/>
    </row>
    <row r="329" spans="1:25">
      <c r="A329" s="6186"/>
      <c r="B329" s="6201" t="s">
        <v>1170</v>
      </c>
      <c r="C329" s="6204" t="s">
        <v>1476</v>
      </c>
      <c r="D329" s="6205"/>
      <c r="E329" s="6206"/>
      <c r="F329" s="6210" t="s">
        <v>1477</v>
      </c>
      <c r="G329" s="6212" t="s">
        <v>1478</v>
      </c>
      <c r="H329" s="6138"/>
      <c r="I329" s="6138"/>
      <c r="J329" s="6138"/>
      <c r="K329" s="6139"/>
      <c r="L329" s="1930"/>
      <c r="M329" s="6213" t="s">
        <v>1477</v>
      </c>
      <c r="N329" s="6212" t="s">
        <v>1478</v>
      </c>
      <c r="O329" s="6138"/>
      <c r="P329" s="6138"/>
      <c r="Q329" s="6138"/>
      <c r="R329" s="6139"/>
      <c r="S329" s="1927"/>
      <c r="T329" s="6136" t="s">
        <v>1477</v>
      </c>
      <c r="U329" s="6138" t="s">
        <v>1478</v>
      </c>
      <c r="V329" s="6138"/>
      <c r="W329" s="6138"/>
      <c r="X329" s="6138"/>
      <c r="Y329" s="6139"/>
    </row>
    <row r="330" spans="1:25" ht="18.75">
      <c r="A330" s="6186"/>
      <c r="B330" s="6202"/>
      <c r="C330" s="6207"/>
      <c r="D330" s="6208"/>
      <c r="E330" s="6209"/>
      <c r="F330" s="6211"/>
      <c r="G330" s="6214">
        <v>10</v>
      </c>
      <c r="H330" s="6215"/>
      <c r="I330" s="6215"/>
      <c r="J330" s="6215"/>
      <c r="K330" s="6216"/>
      <c r="L330" s="1931"/>
      <c r="M330" s="6160"/>
      <c r="N330" s="6217">
        <v>10</v>
      </c>
      <c r="O330" s="6218"/>
      <c r="P330" s="6218"/>
      <c r="Q330" s="6218"/>
      <c r="R330" s="6219"/>
      <c r="S330" s="1927"/>
      <c r="T330" s="6161"/>
      <c r="U330" s="6220">
        <v>10000</v>
      </c>
      <c r="V330" s="6220"/>
      <c r="W330" s="6220"/>
      <c r="X330" s="6220"/>
      <c r="Y330" s="6221"/>
    </row>
    <row r="331" spans="1:25" ht="18.75">
      <c r="A331" s="6186"/>
      <c r="B331" s="6203"/>
      <c r="C331" s="1932"/>
      <c r="D331" s="1933"/>
      <c r="E331" s="1933"/>
      <c r="F331" s="1933"/>
      <c r="G331" s="1934"/>
      <c r="H331" s="1934"/>
      <c r="I331" s="1934"/>
      <c r="J331" s="1934"/>
      <c r="K331" s="1935"/>
      <c r="L331" s="1931"/>
      <c r="M331" s="1936"/>
      <c r="N331" s="1937"/>
      <c r="O331" s="1937"/>
      <c r="P331" s="1937"/>
      <c r="Q331" s="1937"/>
      <c r="R331" s="1938"/>
      <c r="S331" s="1927"/>
      <c r="T331" s="1936"/>
      <c r="U331" s="1937"/>
      <c r="V331" s="1937"/>
      <c r="W331" s="1937"/>
      <c r="X331" s="1937"/>
      <c r="Y331" s="1938"/>
    </row>
    <row r="332" spans="1:25">
      <c r="A332" s="6186"/>
      <c r="B332" s="6202"/>
      <c r="C332" s="6222" t="s">
        <v>1479</v>
      </c>
      <c r="D332" s="6223"/>
      <c r="E332" s="6223"/>
      <c r="F332" s="6153" t="s">
        <v>1480</v>
      </c>
      <c r="G332" s="6212" t="s">
        <v>1481</v>
      </c>
      <c r="H332" s="6138"/>
      <c r="I332" s="6138"/>
      <c r="J332" s="6138"/>
      <c r="K332" s="6139"/>
      <c r="L332" s="1930"/>
      <c r="M332" s="6160" t="s">
        <v>1480</v>
      </c>
      <c r="N332" s="6226" t="s">
        <v>1482</v>
      </c>
      <c r="O332" s="6227"/>
      <c r="P332" s="6227"/>
      <c r="Q332" s="6227"/>
      <c r="R332" s="6228"/>
      <c r="S332" s="1927"/>
      <c r="T332" s="6136" t="s">
        <v>1480</v>
      </c>
      <c r="U332" s="6138" t="s">
        <v>1482</v>
      </c>
      <c r="V332" s="6138"/>
      <c r="W332" s="6138"/>
      <c r="X332" s="6138"/>
      <c r="Y332" s="6139"/>
    </row>
    <row r="333" spans="1:25" ht="18.75">
      <c r="A333" s="6186"/>
      <c r="B333" s="6202"/>
      <c r="C333" s="6224" t="s">
        <v>1173</v>
      </c>
      <c r="D333" s="6225"/>
      <c r="E333" s="6225"/>
      <c r="F333" s="6211"/>
      <c r="G333" s="6140">
        <v>60</v>
      </c>
      <c r="H333" s="6141"/>
      <c r="I333" s="1939"/>
      <c r="J333" s="6142">
        <v>80</v>
      </c>
      <c r="K333" s="6143"/>
      <c r="L333" s="1940"/>
      <c r="M333" s="6137"/>
      <c r="N333" s="6144">
        <v>0.6</v>
      </c>
      <c r="O333" s="6145"/>
      <c r="P333" s="1941"/>
      <c r="Q333" s="6146">
        <v>0.8</v>
      </c>
      <c r="R333" s="6147"/>
      <c r="S333" s="1927"/>
      <c r="T333" s="6137"/>
      <c r="U333" s="6148">
        <v>0.6</v>
      </c>
      <c r="V333" s="6145"/>
      <c r="W333" s="1941"/>
      <c r="X333" s="6146">
        <v>0.8</v>
      </c>
      <c r="Y333" s="6147"/>
    </row>
    <row r="334" spans="1:25" ht="18.75">
      <c r="A334" s="6186"/>
      <c r="B334" s="6203"/>
      <c r="C334" s="1932"/>
      <c r="D334" s="1932"/>
      <c r="E334" s="1932"/>
      <c r="F334" s="1932"/>
      <c r="G334" s="1942"/>
      <c r="H334" s="1942"/>
      <c r="I334" s="1939"/>
      <c r="J334" s="1939"/>
      <c r="K334" s="1943"/>
      <c r="L334" s="1940"/>
      <c r="M334" s="1944"/>
      <c r="N334" s="1942"/>
      <c r="O334" s="1942"/>
      <c r="P334" s="1939"/>
      <c r="Q334" s="1939"/>
      <c r="R334" s="1943"/>
      <c r="S334" s="1927"/>
      <c r="T334" s="1944"/>
      <c r="U334" s="1942"/>
      <c r="V334" s="1942"/>
      <c r="W334" s="1939"/>
      <c r="X334" s="1939"/>
      <c r="Y334" s="1943"/>
    </row>
    <row r="335" spans="1:25">
      <c r="A335" s="6186"/>
      <c r="B335" s="6202"/>
      <c r="C335" s="6149" t="s">
        <v>1483</v>
      </c>
      <c r="D335" s="6150"/>
      <c r="E335" s="6150"/>
      <c r="F335" s="6153" t="s">
        <v>1484</v>
      </c>
      <c r="G335" s="1945"/>
      <c r="H335" s="1946"/>
      <c r="I335" s="1946"/>
      <c r="J335" s="6155" t="s">
        <v>1485</v>
      </c>
      <c r="K335" s="6156"/>
      <c r="L335" s="1947"/>
      <c r="M335" s="6159" t="s">
        <v>1484</v>
      </c>
      <c r="N335" s="1945"/>
      <c r="O335" s="1946"/>
      <c r="P335" s="1946"/>
      <c r="Q335" s="6155" t="s">
        <v>1486</v>
      </c>
      <c r="R335" s="6156"/>
      <c r="S335" s="1927"/>
      <c r="T335" s="6159" t="s">
        <v>1484</v>
      </c>
      <c r="U335" s="1948"/>
      <c r="V335" s="1946"/>
      <c r="W335" s="1946"/>
      <c r="X335" s="6155" t="s">
        <v>1486</v>
      </c>
      <c r="Y335" s="6156"/>
    </row>
    <row r="336" spans="1:25">
      <c r="A336" s="6186"/>
      <c r="B336" s="6202"/>
      <c r="C336" s="6151"/>
      <c r="D336" s="6152"/>
      <c r="E336" s="6152"/>
      <c r="F336" s="6154"/>
      <c r="G336" s="1945"/>
      <c r="H336" s="1946"/>
      <c r="I336" s="1946"/>
      <c r="J336" s="6157"/>
      <c r="K336" s="6158"/>
      <c r="L336" s="1947"/>
      <c r="M336" s="6160"/>
      <c r="N336" s="1945"/>
      <c r="O336" s="1946"/>
      <c r="P336" s="1946"/>
      <c r="Q336" s="6157"/>
      <c r="R336" s="6158"/>
      <c r="S336" s="1927"/>
      <c r="T336" s="6160"/>
      <c r="U336" s="1948"/>
      <c r="V336" s="1946"/>
      <c r="W336" s="1946"/>
      <c r="X336" s="6157"/>
      <c r="Y336" s="6158"/>
    </row>
    <row r="337" spans="1:25" ht="18.75">
      <c r="A337" s="6186"/>
      <c r="B337" s="6202"/>
      <c r="C337" s="6151"/>
      <c r="D337" s="6152"/>
      <c r="E337" s="6152"/>
      <c r="F337" s="6154"/>
      <c r="G337" s="1949"/>
      <c r="H337" s="1950"/>
      <c r="I337" s="1950"/>
      <c r="J337" s="6250">
        <v>30</v>
      </c>
      <c r="K337" s="6251"/>
      <c r="L337" s="1940"/>
      <c r="M337" s="6160"/>
      <c r="N337" s="1949"/>
      <c r="O337" s="1950"/>
      <c r="P337" s="1951"/>
      <c r="Q337" s="6144">
        <v>0.3</v>
      </c>
      <c r="R337" s="6252"/>
      <c r="S337" s="1927"/>
      <c r="T337" s="6161"/>
      <c r="U337" s="1950"/>
      <c r="V337" s="1950"/>
      <c r="W337" s="1951"/>
      <c r="X337" s="6146">
        <v>0.3</v>
      </c>
      <c r="Y337" s="6147"/>
    </row>
    <row r="338" spans="1:25" ht="18.75">
      <c r="A338" s="6186"/>
      <c r="B338" s="1952"/>
      <c r="C338" s="1932"/>
      <c r="D338" s="1932"/>
      <c r="E338" s="1932"/>
      <c r="F338" s="1932"/>
      <c r="G338" s="1953"/>
      <c r="H338" s="1954"/>
      <c r="I338" s="1955"/>
      <c r="J338" s="1953"/>
      <c r="K338" s="1956"/>
      <c r="L338" s="1940"/>
      <c r="M338" s="1936"/>
      <c r="N338" s="1957"/>
      <c r="O338" s="1957"/>
      <c r="P338" s="1958"/>
      <c r="Q338" s="1959"/>
      <c r="R338" s="1960"/>
      <c r="S338" s="1927"/>
      <c r="T338" s="1961"/>
      <c r="U338" s="1957"/>
      <c r="V338" s="1957"/>
      <c r="W338" s="1958"/>
      <c r="X338" s="1959"/>
      <c r="Y338" s="1960"/>
    </row>
    <row r="339" spans="1:25">
      <c r="A339" s="6186"/>
      <c r="B339" s="6114" t="s">
        <v>1177</v>
      </c>
      <c r="C339" s="6117" t="s">
        <v>1178</v>
      </c>
      <c r="D339" s="6106"/>
      <c r="E339" s="6106"/>
      <c r="F339" s="6236" t="s">
        <v>1487</v>
      </c>
      <c r="G339" s="6231" t="s">
        <v>1488</v>
      </c>
      <c r="H339" s="6232"/>
      <c r="I339" s="1948"/>
      <c r="J339" s="6231" t="s">
        <v>1489</v>
      </c>
      <c r="K339" s="6238"/>
      <c r="L339" s="1962"/>
      <c r="M339" s="6099" t="s">
        <v>1487</v>
      </c>
      <c r="N339" s="6103" t="s">
        <v>1488</v>
      </c>
      <c r="O339" s="6104"/>
      <c r="P339" s="1963"/>
      <c r="Q339" s="6103" t="s">
        <v>1489</v>
      </c>
      <c r="R339" s="6240"/>
      <c r="S339" s="1927"/>
      <c r="T339" s="6241" t="s">
        <v>1487</v>
      </c>
      <c r="U339" s="6253" t="s">
        <v>1488</v>
      </c>
      <c r="V339" s="6102"/>
      <c r="W339" s="1948"/>
      <c r="X339" s="6101" t="s">
        <v>1489</v>
      </c>
      <c r="Y339" s="6255"/>
    </row>
    <row r="340" spans="1:25">
      <c r="A340" s="6186"/>
      <c r="B340" s="6114"/>
      <c r="C340" s="6117"/>
      <c r="D340" s="6106"/>
      <c r="E340" s="6106"/>
      <c r="F340" s="6236"/>
      <c r="G340" s="6231"/>
      <c r="H340" s="6232"/>
      <c r="I340" s="1964"/>
      <c r="J340" s="6231"/>
      <c r="K340" s="6238"/>
      <c r="L340" s="1962"/>
      <c r="M340" s="6099"/>
      <c r="N340" s="6103"/>
      <c r="O340" s="6104"/>
      <c r="P340" s="1964"/>
      <c r="Q340" s="6103"/>
      <c r="R340" s="6240"/>
      <c r="S340" s="1927"/>
      <c r="T340" s="6234"/>
      <c r="U340" s="6254"/>
      <c r="V340" s="6104"/>
      <c r="W340" s="1964"/>
      <c r="X340" s="6103"/>
      <c r="Y340" s="6240"/>
    </row>
    <row r="341" spans="1:25" ht="16.5" thickBot="1">
      <c r="A341" s="6186"/>
      <c r="B341" s="6114"/>
      <c r="C341" s="6117"/>
      <c r="D341" s="6106"/>
      <c r="E341" s="6106"/>
      <c r="F341" s="6236"/>
      <c r="G341" s="1965" t="s">
        <v>1490</v>
      </c>
      <c r="H341" s="6242">
        <f>G330*100/(100+G333)</f>
        <v>6.25</v>
      </c>
      <c r="I341" s="1966"/>
      <c r="J341" s="1967" t="s">
        <v>1491</v>
      </c>
      <c r="K341" s="6244">
        <f>H341*J337/(100+J337)</f>
        <v>1.4423076923076923</v>
      </c>
      <c r="L341" s="1968"/>
      <c r="M341" s="6099"/>
      <c r="N341" s="1969" t="s">
        <v>55</v>
      </c>
      <c r="O341" s="6246">
        <f>N330/(1+N333)</f>
        <v>6.25</v>
      </c>
      <c r="P341" s="1966"/>
      <c r="Q341" s="1970" t="s">
        <v>1491</v>
      </c>
      <c r="R341" s="6248">
        <f>O341*Q337/(1+Q337)</f>
        <v>1.4423076923076923</v>
      </c>
      <c r="S341" s="1927"/>
      <c r="T341" s="6234"/>
      <c r="U341" s="1971" t="s">
        <v>55</v>
      </c>
      <c r="V341" s="6256">
        <f>U330/(1+U333)</f>
        <v>6250</v>
      </c>
      <c r="W341" s="1966"/>
      <c r="X341" s="1969" t="s">
        <v>1491</v>
      </c>
      <c r="Y341" s="6258">
        <f>V341*X337/(1+X337)</f>
        <v>1442.3076923076922</v>
      </c>
    </row>
    <row r="342" spans="1:25">
      <c r="A342" s="6186"/>
      <c r="B342" s="6114"/>
      <c r="C342" s="6118"/>
      <c r="D342" s="6119"/>
      <c r="E342" s="6119"/>
      <c r="F342" s="6237"/>
      <c r="G342" s="1972" t="s">
        <v>1492</v>
      </c>
      <c r="H342" s="6243"/>
      <c r="I342" s="1966"/>
      <c r="J342" s="1972" t="s">
        <v>1493</v>
      </c>
      <c r="K342" s="6245"/>
      <c r="L342" s="1968"/>
      <c r="M342" s="6239"/>
      <c r="N342" s="1973" t="s">
        <v>1494</v>
      </c>
      <c r="O342" s="6247"/>
      <c r="P342" s="1966"/>
      <c r="Q342" s="1974" t="s">
        <v>1495</v>
      </c>
      <c r="R342" s="6249"/>
      <c r="S342" s="1927"/>
      <c r="T342" s="6235"/>
      <c r="U342" s="1975" t="s">
        <v>1494</v>
      </c>
      <c r="V342" s="6257"/>
      <c r="W342" s="1966"/>
      <c r="X342" s="1974" t="s">
        <v>1495</v>
      </c>
      <c r="Y342" s="6259"/>
    </row>
    <row r="343" spans="1:25" ht="18.75">
      <c r="A343" s="6186"/>
      <c r="B343" s="6115"/>
      <c r="C343" s="1937"/>
      <c r="D343" s="1932"/>
      <c r="E343" s="1932"/>
      <c r="F343" s="1932"/>
      <c r="G343" s="1942"/>
      <c r="H343" s="1976"/>
      <c r="I343" s="1977"/>
      <c r="J343" s="1978"/>
      <c r="K343" s="1979"/>
      <c r="L343" s="1980"/>
      <c r="M343" s="1944"/>
      <c r="N343" s="1981"/>
      <c r="O343" s="1976"/>
      <c r="P343" s="1977"/>
      <c r="Q343" s="1978"/>
      <c r="R343" s="1979"/>
      <c r="S343" s="1927"/>
      <c r="T343" s="1944"/>
      <c r="U343" s="1981"/>
      <c r="V343" s="1976"/>
      <c r="W343" s="1977"/>
      <c r="X343" s="1978"/>
      <c r="Y343" s="1979"/>
    </row>
    <row r="344" spans="1:25">
      <c r="A344" s="6186"/>
      <c r="B344" s="6114"/>
      <c r="C344" s="6105" t="s">
        <v>1180</v>
      </c>
      <c r="D344" s="6105"/>
      <c r="E344" s="6105"/>
      <c r="F344" s="6108" t="s">
        <v>1496</v>
      </c>
      <c r="G344" s="6094" t="s">
        <v>1497</v>
      </c>
      <c r="H344" s="6111"/>
      <c r="I344" s="1982"/>
      <c r="J344" s="6094" t="s">
        <v>1498</v>
      </c>
      <c r="K344" s="6095"/>
      <c r="L344" s="1983"/>
      <c r="M344" s="6098" t="s">
        <v>1496</v>
      </c>
      <c r="N344" s="6101" t="s">
        <v>1497</v>
      </c>
      <c r="O344" s="6102"/>
      <c r="P344" s="1982"/>
      <c r="Q344" s="6101" t="s">
        <v>1498</v>
      </c>
      <c r="R344" s="6255"/>
      <c r="S344" s="1927"/>
      <c r="T344" s="6233" t="s">
        <v>1496</v>
      </c>
      <c r="U344" s="6253" t="s">
        <v>1497</v>
      </c>
      <c r="V344" s="6102"/>
      <c r="W344" s="1982"/>
      <c r="X344" s="6101" t="s">
        <v>1498</v>
      </c>
      <c r="Y344" s="6255"/>
    </row>
    <row r="345" spans="1:25">
      <c r="A345" s="6186"/>
      <c r="B345" s="6114"/>
      <c r="C345" s="6106"/>
      <c r="D345" s="6106"/>
      <c r="E345" s="6106"/>
      <c r="F345" s="6109"/>
      <c r="G345" s="6096"/>
      <c r="H345" s="6112"/>
      <c r="I345" s="1964"/>
      <c r="J345" s="6096"/>
      <c r="K345" s="6097"/>
      <c r="L345" s="1983"/>
      <c r="M345" s="6099"/>
      <c r="N345" s="6103"/>
      <c r="O345" s="6104"/>
      <c r="P345" s="1964"/>
      <c r="Q345" s="6103"/>
      <c r="R345" s="6240"/>
      <c r="S345" s="1927"/>
      <c r="T345" s="6234"/>
      <c r="U345" s="6254"/>
      <c r="V345" s="6104"/>
      <c r="W345" s="1964"/>
      <c r="X345" s="6103"/>
      <c r="Y345" s="6240"/>
    </row>
    <row r="346" spans="1:25" ht="16.5" thickBot="1">
      <c r="A346" s="6186"/>
      <c r="B346" s="6114"/>
      <c r="C346" s="6106"/>
      <c r="D346" s="6106"/>
      <c r="E346" s="6106"/>
      <c r="F346" s="6109"/>
      <c r="G346" s="1984" t="s">
        <v>1499</v>
      </c>
      <c r="H346" s="6262">
        <f>G330*G333/(100+G333)</f>
        <v>3.75</v>
      </c>
      <c r="I346" s="1966"/>
      <c r="J346" s="1984" t="s">
        <v>1500</v>
      </c>
      <c r="K346" s="6264">
        <f>(K341*J333)/100</f>
        <v>1.153846153846154</v>
      </c>
      <c r="L346" s="1985"/>
      <c r="M346" s="6099"/>
      <c r="N346" s="1969" t="s">
        <v>1499</v>
      </c>
      <c r="O346" s="6246">
        <f>N330*N333/(1+N333)</f>
        <v>3.75</v>
      </c>
      <c r="P346" s="1966"/>
      <c r="Q346" s="1986" t="s">
        <v>1501</v>
      </c>
      <c r="R346" s="1987">
        <f>R341*Q333</f>
        <v>1.153846153846154</v>
      </c>
      <c r="S346" s="1927"/>
      <c r="T346" s="6234"/>
      <c r="U346" s="1971" t="s">
        <v>1499</v>
      </c>
      <c r="V346" s="6256">
        <f>U330*U333/(1+U333)</f>
        <v>3750</v>
      </c>
      <c r="W346" s="1966"/>
      <c r="X346" s="1988" t="s">
        <v>1502</v>
      </c>
      <c r="Y346" s="1989">
        <f>Y341*X333</f>
        <v>1153.8461538461538</v>
      </c>
    </row>
    <row r="347" spans="1:25">
      <c r="A347" s="6186"/>
      <c r="B347" s="6114"/>
      <c r="C347" s="6119"/>
      <c r="D347" s="6119"/>
      <c r="E347" s="6119"/>
      <c r="F347" s="6260"/>
      <c r="G347" s="1990" t="s">
        <v>1503</v>
      </c>
      <c r="H347" s="6263"/>
      <c r="I347" s="1966"/>
      <c r="J347" s="1990">
        <v>100</v>
      </c>
      <c r="K347" s="6265" t="str">
        <f>ADDRESS(ROW(K346),COLUMN(K346),4)</f>
        <v>K346</v>
      </c>
      <c r="L347" s="1985"/>
      <c r="M347" s="6100"/>
      <c r="N347" s="1974" t="s">
        <v>1504</v>
      </c>
      <c r="O347" s="6247"/>
      <c r="P347" s="1966"/>
      <c r="Q347" s="1974"/>
      <c r="R347" s="1991"/>
      <c r="S347" s="1927"/>
      <c r="T347" s="6235"/>
      <c r="U347" s="1975" t="s">
        <v>1504</v>
      </c>
      <c r="V347" s="6257"/>
      <c r="W347" s="1966"/>
      <c r="X347" s="1973"/>
      <c r="Y347" s="1991"/>
    </row>
    <row r="348" spans="1:25" ht="18.75">
      <c r="A348" s="6186"/>
      <c r="B348" s="6115"/>
      <c r="C348" s="1937"/>
      <c r="D348" s="1932"/>
      <c r="E348" s="1932"/>
      <c r="F348" s="1932"/>
      <c r="G348" s="1942"/>
      <c r="H348" s="1976"/>
      <c r="I348" s="1977"/>
      <c r="J348" s="1978"/>
      <c r="K348" s="1979"/>
      <c r="L348" s="1980"/>
      <c r="M348" s="1944"/>
      <c r="N348" s="1981"/>
      <c r="O348" s="1976"/>
      <c r="P348" s="1977"/>
      <c r="Q348" s="1992"/>
      <c r="R348" s="1993"/>
      <c r="S348" s="1927"/>
      <c r="T348" s="1944"/>
      <c r="U348" s="1981"/>
      <c r="V348" s="1976"/>
      <c r="W348" s="1977"/>
      <c r="X348" s="1978"/>
      <c r="Y348" s="1979"/>
    </row>
    <row r="349" spans="1:25">
      <c r="A349" s="6186"/>
      <c r="B349" s="6114"/>
      <c r="C349" s="6105" t="s">
        <v>1182</v>
      </c>
      <c r="D349" s="6105"/>
      <c r="E349" s="6105"/>
      <c r="F349" s="6108" t="s">
        <v>1505</v>
      </c>
      <c r="G349" s="6229" t="s">
        <v>1506</v>
      </c>
      <c r="H349" s="6230"/>
      <c r="I349" s="1966"/>
      <c r="J349" s="1994"/>
      <c r="K349" s="1995"/>
      <c r="L349" s="1996"/>
      <c r="M349" s="6098" t="s">
        <v>1505</v>
      </c>
      <c r="N349" s="6101" t="s">
        <v>1506</v>
      </c>
      <c r="O349" s="6102"/>
      <c r="P349" s="1966"/>
      <c r="Q349" s="1994"/>
      <c r="R349" s="1995"/>
      <c r="S349" s="1927"/>
      <c r="T349" s="6233" t="s">
        <v>1505</v>
      </c>
      <c r="U349" s="6253" t="s">
        <v>1506</v>
      </c>
      <c r="V349" s="6102"/>
      <c r="W349" s="1966"/>
      <c r="X349" s="1994"/>
      <c r="Y349" s="1995"/>
    </row>
    <row r="350" spans="1:25">
      <c r="A350" s="6186"/>
      <c r="B350" s="6114"/>
      <c r="C350" s="6106"/>
      <c r="D350" s="6106"/>
      <c r="E350" s="6106"/>
      <c r="F350" s="6109"/>
      <c r="G350" s="6231"/>
      <c r="H350" s="6232"/>
      <c r="I350" s="1994"/>
      <c r="J350" s="1994"/>
      <c r="K350" s="1995"/>
      <c r="L350" s="1996"/>
      <c r="M350" s="6099"/>
      <c r="N350" s="6103"/>
      <c r="O350" s="6104"/>
      <c r="P350" s="1994"/>
      <c r="Q350" s="1977"/>
      <c r="R350" s="1997"/>
      <c r="S350" s="1998"/>
      <c r="T350" s="6234"/>
      <c r="U350" s="6254"/>
      <c r="V350" s="6104"/>
      <c r="W350" s="1994"/>
      <c r="X350" s="1977"/>
      <c r="Y350" s="1997"/>
    </row>
    <row r="351" spans="1:25">
      <c r="A351" s="6186"/>
      <c r="B351" s="6114"/>
      <c r="C351" s="6106"/>
      <c r="D351" s="6106"/>
      <c r="E351" s="6106"/>
      <c r="F351" s="6109"/>
      <c r="G351" s="1999" t="s">
        <v>1507</v>
      </c>
      <c r="H351" s="2000">
        <f>(H341-K341)</f>
        <v>4.8076923076923075</v>
      </c>
      <c r="I351" s="1977"/>
      <c r="J351" s="1994"/>
      <c r="K351" s="1995"/>
      <c r="L351" s="1996"/>
      <c r="M351" s="6099"/>
      <c r="N351" s="1988" t="s">
        <v>1507</v>
      </c>
      <c r="O351" s="2001">
        <f>O341-R341</f>
        <v>4.8076923076923075</v>
      </c>
      <c r="P351" s="1977"/>
      <c r="Q351" s="1977"/>
      <c r="R351" s="1997"/>
      <c r="S351" s="2002"/>
      <c r="T351" s="6234"/>
      <c r="U351" s="2003" t="s">
        <v>1507</v>
      </c>
      <c r="V351" s="2004">
        <f>V341-Y341</f>
        <v>4807.6923076923076</v>
      </c>
      <c r="W351" s="1977"/>
      <c r="X351" s="1977"/>
      <c r="Y351" s="1997"/>
    </row>
    <row r="352" spans="1:25">
      <c r="A352" s="6186"/>
      <c r="B352" s="6114"/>
      <c r="C352" s="6106"/>
      <c r="D352" s="6106"/>
      <c r="E352" s="6106"/>
      <c r="F352" s="6109"/>
      <c r="G352" s="2005"/>
      <c r="H352" s="2006"/>
      <c r="I352" s="1977"/>
      <c r="J352" s="1978"/>
      <c r="K352" s="1979"/>
      <c r="L352" s="1980"/>
      <c r="M352" s="6099"/>
      <c r="N352" s="1973"/>
      <c r="O352" s="2007"/>
      <c r="P352" s="1977"/>
      <c r="Q352" s="2008"/>
      <c r="R352" s="2009"/>
      <c r="S352" s="2002"/>
      <c r="T352" s="6235"/>
      <c r="U352" s="2010"/>
      <c r="V352" s="2007"/>
      <c r="W352" s="1977"/>
      <c r="X352" s="2008"/>
      <c r="Y352" s="2009"/>
    </row>
    <row r="353" spans="1:25" ht="18.75">
      <c r="A353" s="6186"/>
      <c r="B353" s="6115"/>
      <c r="C353" s="2011"/>
      <c r="D353" s="1932"/>
      <c r="E353" s="1932"/>
      <c r="F353" s="1932"/>
      <c r="G353" s="1942"/>
      <c r="H353" s="1976"/>
      <c r="I353" s="1977"/>
      <c r="J353" s="1978"/>
      <c r="K353" s="1979"/>
      <c r="L353" s="1980"/>
      <c r="M353" s="1944"/>
      <c r="N353" s="1981"/>
      <c r="O353" s="1976"/>
      <c r="P353" s="1977"/>
      <c r="Q353" s="1978"/>
      <c r="R353" s="1979"/>
      <c r="S353" s="2002"/>
      <c r="T353" s="1944"/>
      <c r="U353" s="1981"/>
      <c r="V353" s="1976"/>
      <c r="W353" s="1977"/>
      <c r="X353" s="1978"/>
      <c r="Y353" s="1979"/>
    </row>
    <row r="354" spans="1:25">
      <c r="A354" s="6186"/>
      <c r="B354" s="6114"/>
      <c r="C354" s="6105" t="s">
        <v>1184</v>
      </c>
      <c r="D354" s="6105"/>
      <c r="E354" s="6105"/>
      <c r="F354" s="6108" t="s">
        <v>1508</v>
      </c>
      <c r="G354" s="6094" t="s">
        <v>1509</v>
      </c>
      <c r="H354" s="6111"/>
      <c r="I354" s="1966"/>
      <c r="J354" s="1994"/>
      <c r="K354" s="1995"/>
      <c r="L354" s="1996"/>
      <c r="M354" s="6098" t="s">
        <v>1508</v>
      </c>
      <c r="N354" s="6101" t="s">
        <v>1509</v>
      </c>
      <c r="O354" s="6102"/>
      <c r="P354" s="1966"/>
      <c r="Q354" s="1994"/>
      <c r="R354" s="1995"/>
      <c r="S354" s="1927"/>
      <c r="T354" s="6233" t="s">
        <v>1508</v>
      </c>
      <c r="U354" s="6253" t="s">
        <v>1509</v>
      </c>
      <c r="V354" s="6102"/>
      <c r="W354" s="1966"/>
      <c r="X354" s="1994"/>
      <c r="Y354" s="1995"/>
    </row>
    <row r="355" spans="1:25">
      <c r="A355" s="6186"/>
      <c r="B355" s="6114"/>
      <c r="C355" s="6106"/>
      <c r="D355" s="6106"/>
      <c r="E355" s="6106"/>
      <c r="F355" s="6109"/>
      <c r="G355" s="6096"/>
      <c r="H355" s="6112"/>
      <c r="I355" s="1994"/>
      <c r="J355" s="1978"/>
      <c r="K355" s="1979"/>
      <c r="L355" s="1980"/>
      <c r="M355" s="6099"/>
      <c r="N355" s="6103"/>
      <c r="O355" s="6104"/>
      <c r="P355" s="1994"/>
      <c r="Q355" s="2008"/>
      <c r="R355" s="2009"/>
      <c r="S355" s="1998"/>
      <c r="T355" s="6234"/>
      <c r="U355" s="6254"/>
      <c r="V355" s="6104"/>
      <c r="W355" s="1994"/>
      <c r="X355" s="2008"/>
      <c r="Y355" s="2009"/>
    </row>
    <row r="356" spans="1:25">
      <c r="A356" s="6186"/>
      <c r="B356" s="6114"/>
      <c r="C356" s="6106"/>
      <c r="D356" s="6106"/>
      <c r="E356" s="6106"/>
      <c r="F356" s="6109"/>
      <c r="G356" s="2012" t="s">
        <v>1510</v>
      </c>
      <c r="H356" s="2013">
        <f>H346-K346</f>
        <v>2.5961538461538458</v>
      </c>
      <c r="I356" s="1966"/>
      <c r="J356" s="1978"/>
      <c r="K356" s="1979"/>
      <c r="L356" s="1980"/>
      <c r="M356" s="6099"/>
      <c r="N356" s="1988" t="s">
        <v>1510</v>
      </c>
      <c r="O356" s="2001">
        <f>O346-R346</f>
        <v>2.5961538461538458</v>
      </c>
      <c r="P356" s="1966"/>
      <c r="Q356" s="2008"/>
      <c r="R356" s="2009"/>
      <c r="S356" s="1927"/>
      <c r="T356" s="6234"/>
      <c r="U356" s="2003" t="s">
        <v>1510</v>
      </c>
      <c r="V356" s="2004">
        <f>V346-Y346</f>
        <v>2596.1538461538462</v>
      </c>
      <c r="W356" s="1966"/>
      <c r="X356" s="2008"/>
      <c r="Y356" s="2009"/>
    </row>
    <row r="357" spans="1:25" ht="16.5" thickBot="1">
      <c r="A357" s="6186"/>
      <c r="B357" s="6116"/>
      <c r="C357" s="6107"/>
      <c r="D357" s="6107"/>
      <c r="E357" s="6107"/>
      <c r="F357" s="6110"/>
      <c r="G357" s="2014"/>
      <c r="H357" s="2015"/>
      <c r="I357" s="2016"/>
      <c r="J357" s="2017"/>
      <c r="K357" s="2018"/>
      <c r="L357" s="2019"/>
      <c r="M357" s="6113"/>
      <c r="N357" s="1970"/>
      <c r="O357" s="2020"/>
      <c r="P357" s="2021"/>
      <c r="Q357" s="2022"/>
      <c r="R357" s="2023"/>
      <c r="S357" s="1927"/>
      <c r="T357" s="6261"/>
      <c r="U357" s="2024"/>
      <c r="V357" s="2020"/>
      <c r="W357" s="2021"/>
      <c r="X357" s="2022"/>
      <c r="Y357" s="2023"/>
    </row>
    <row r="358" spans="1:25" ht="16.5" thickBot="1">
      <c r="B358" s="634"/>
      <c r="C358" s="634"/>
      <c r="D358" s="634"/>
      <c r="E358" s="634"/>
      <c r="F358" s="634"/>
      <c r="G358" s="634"/>
      <c r="H358" s="634"/>
      <c r="I358" s="634"/>
      <c r="J358" s="634"/>
      <c r="K358" s="634"/>
      <c r="L358" s="634"/>
      <c r="M358" s="634"/>
      <c r="N358" s="634"/>
      <c r="O358" s="634"/>
      <c r="P358" s="634"/>
      <c r="Q358" s="634"/>
    </row>
    <row r="359" spans="1:25" ht="21">
      <c r="A359" s="1192" t="s">
        <v>70</v>
      </c>
      <c r="B359" s="5892" t="s">
        <v>1335</v>
      </c>
      <c r="C359" s="5893"/>
      <c r="D359" s="5893"/>
      <c r="E359" s="5893"/>
      <c r="F359" s="5893"/>
      <c r="G359" s="5893"/>
      <c r="H359" s="5893"/>
      <c r="I359" s="5893"/>
      <c r="J359" s="5893"/>
      <c r="K359" s="5893"/>
      <c r="L359" s="5893"/>
      <c r="M359" s="5893"/>
      <c r="N359" s="5894"/>
      <c r="O359" s="634"/>
      <c r="P359" s="634"/>
      <c r="Q359" s="634"/>
    </row>
    <row r="360" spans="1:25" ht="15.75" customHeight="1">
      <c r="A360" s="4717" t="str">
        <f>B359</f>
        <v>les poids de la farine et de l'eau en fonction du poids total de la pâte</v>
      </c>
      <c r="B360" s="533" t="str">
        <f>ADDRESS(ROW(),COLUMN(),4)</f>
        <v>B360</v>
      </c>
      <c r="C360" s="903"/>
      <c r="D360" s="1012"/>
      <c r="E360" s="1012"/>
      <c r="F360" s="1012"/>
      <c r="G360" s="1012"/>
      <c r="H360" s="1012"/>
      <c r="I360" s="1012"/>
      <c r="J360" s="1012"/>
      <c r="K360" s="1012"/>
      <c r="L360" s="1012"/>
      <c r="M360" s="1225" t="str">
        <f ca="1">MID(CELL("filename",B360),SEARCH("[",CELL("filename",B360))+1,SEARCH("]",CELL("filename",B360))-SEARCH("[",CELL("filename",B360))-1)</f>
        <v>ff-22-formats-formules-pourcentages.xlsx</v>
      </c>
      <c r="N360" s="1226">
        <v>1</v>
      </c>
      <c r="O360" s="634"/>
      <c r="P360" s="634"/>
      <c r="Q360" s="634"/>
    </row>
    <row r="361" spans="1:25">
      <c r="A361" s="4717"/>
      <c r="B361" s="633"/>
      <c r="C361" s="634"/>
      <c r="D361" s="634"/>
      <c r="E361" s="634"/>
      <c r="F361" s="634"/>
      <c r="G361" s="634"/>
      <c r="H361" s="634"/>
      <c r="I361" s="634"/>
      <c r="J361" s="634"/>
      <c r="K361" s="634"/>
      <c r="L361" s="634"/>
      <c r="M361" s="634"/>
      <c r="N361" s="517"/>
      <c r="O361" s="634"/>
      <c r="P361" s="634"/>
      <c r="Q361" s="634"/>
    </row>
    <row r="362" spans="1:25" ht="18">
      <c r="A362" s="4717"/>
      <c r="B362" s="633"/>
      <c r="C362" s="1443" t="s">
        <v>1091</v>
      </c>
      <c r="D362" s="634"/>
      <c r="E362" s="634"/>
      <c r="F362" s="634"/>
      <c r="G362" s="634"/>
      <c r="H362" s="634"/>
      <c r="I362" s="634"/>
      <c r="J362" s="634"/>
      <c r="K362" s="1443"/>
      <c r="L362" s="634"/>
      <c r="M362" s="634"/>
      <c r="N362" s="517"/>
      <c r="O362" s="634"/>
      <c r="P362" s="634"/>
      <c r="Q362" s="634"/>
    </row>
    <row r="363" spans="1:25">
      <c r="A363" s="4717"/>
      <c r="B363" s="633"/>
      <c r="C363" s="1444"/>
      <c r="D363" s="634"/>
      <c r="E363" s="634"/>
      <c r="F363" s="634"/>
      <c r="G363" s="634"/>
      <c r="H363" s="634"/>
      <c r="I363" s="634"/>
      <c r="J363" s="634"/>
      <c r="K363" s="634"/>
      <c r="L363" s="634"/>
      <c r="M363" s="634"/>
      <c r="N363" s="517"/>
      <c r="O363" s="634"/>
      <c r="P363" s="634"/>
      <c r="Q363" s="634"/>
    </row>
    <row r="364" spans="1:25" ht="18.75">
      <c r="A364" s="4717"/>
      <c r="B364" s="1707"/>
      <c r="C364" s="1706" t="s">
        <v>1314</v>
      </c>
      <c r="D364" s="634"/>
      <c r="E364" s="634"/>
      <c r="F364" s="634"/>
      <c r="G364" s="634"/>
      <c r="H364" s="634"/>
      <c r="I364" s="634"/>
      <c r="J364" s="634"/>
      <c r="K364" s="634"/>
      <c r="L364" s="634"/>
      <c r="M364" s="634"/>
      <c r="N364" s="517"/>
      <c r="O364" s="634"/>
      <c r="P364" s="634"/>
      <c r="Q364" s="634"/>
    </row>
    <row r="365" spans="1:25" ht="18.75">
      <c r="A365" s="4717"/>
      <c r="B365" s="1707"/>
      <c r="C365" s="1706" t="s">
        <v>1315</v>
      </c>
      <c r="D365" s="634"/>
      <c r="E365" s="634"/>
      <c r="F365" s="634"/>
      <c r="G365" s="634"/>
      <c r="H365" s="634"/>
      <c r="I365" s="634"/>
      <c r="J365" s="634"/>
      <c r="K365" s="634"/>
      <c r="L365" s="634"/>
      <c r="M365" s="634"/>
      <c r="N365" s="517"/>
      <c r="O365" s="634"/>
      <c r="P365" s="634"/>
      <c r="Q365" s="634"/>
    </row>
    <row r="366" spans="1:25" ht="18.75">
      <c r="A366" s="4717"/>
      <c r="B366" s="1707"/>
      <c r="C366" s="1706" t="s">
        <v>1333</v>
      </c>
      <c r="D366" s="634"/>
      <c r="E366" s="634"/>
      <c r="F366" s="634"/>
      <c r="G366" s="634"/>
      <c r="H366" s="634"/>
      <c r="I366" s="634"/>
      <c r="J366" s="634"/>
      <c r="K366" s="634"/>
      <c r="L366" s="634"/>
      <c r="M366" s="634"/>
      <c r="N366" s="517"/>
      <c r="O366" s="634"/>
      <c r="P366" s="634"/>
      <c r="Q366" s="634"/>
    </row>
    <row r="367" spans="1:25" ht="18.75">
      <c r="A367" s="4717"/>
      <c r="B367" s="1707"/>
      <c r="C367" s="1706" t="s">
        <v>1332</v>
      </c>
      <c r="D367" s="634"/>
      <c r="E367" s="634"/>
      <c r="F367" s="634"/>
      <c r="G367" s="634"/>
      <c r="H367" s="634"/>
      <c r="I367" s="634"/>
      <c r="J367" s="634"/>
      <c r="K367" s="634"/>
      <c r="L367" s="634"/>
      <c r="M367" s="634"/>
      <c r="N367" s="517"/>
      <c r="O367" s="634"/>
      <c r="P367" s="634"/>
      <c r="Q367" s="634"/>
    </row>
    <row r="368" spans="1:25">
      <c r="A368" s="4717"/>
      <c r="B368" s="633"/>
      <c r="C368" s="1422"/>
      <c r="D368" s="634"/>
      <c r="E368" s="634"/>
      <c r="F368" s="634"/>
      <c r="G368" s="634"/>
      <c r="H368" s="634"/>
      <c r="I368" s="634"/>
      <c r="J368" s="634"/>
      <c r="K368" s="634"/>
      <c r="L368" s="634"/>
      <c r="M368" s="634"/>
      <c r="N368" s="517"/>
      <c r="O368" s="634"/>
      <c r="P368" s="634"/>
      <c r="Q368" s="634"/>
    </row>
    <row r="369" spans="1:17" ht="18">
      <c r="A369" s="4717"/>
      <c r="B369" s="633"/>
      <c r="C369" s="1443" t="s">
        <v>1106</v>
      </c>
      <c r="D369" s="634"/>
      <c r="E369" s="634"/>
      <c r="F369" s="634"/>
      <c r="G369" s="634"/>
      <c r="H369" s="634"/>
      <c r="I369" s="634"/>
      <c r="J369" s="634"/>
      <c r="K369" s="634"/>
      <c r="L369" s="634"/>
      <c r="M369" s="634"/>
      <c r="N369" s="517"/>
      <c r="O369" s="634"/>
      <c r="P369" s="634"/>
      <c r="Q369" s="634"/>
    </row>
    <row r="370" spans="1:17">
      <c r="A370" s="4717"/>
      <c r="B370" s="633"/>
      <c r="C370" s="634"/>
      <c r="D370" s="634"/>
      <c r="E370" s="634"/>
      <c r="F370" s="634"/>
      <c r="G370" s="634"/>
      <c r="H370" s="634"/>
      <c r="I370" s="634"/>
      <c r="J370" s="634"/>
      <c r="K370" s="634"/>
      <c r="L370" s="634"/>
      <c r="M370" s="634"/>
      <c r="N370" s="517"/>
      <c r="O370" s="634"/>
      <c r="P370" s="634"/>
      <c r="Q370" s="634"/>
    </row>
    <row r="371" spans="1:17">
      <c r="A371" s="4717"/>
      <c r="B371" s="633"/>
      <c r="C371" s="634"/>
      <c r="D371" s="634"/>
      <c r="E371" s="634"/>
      <c r="F371" s="634"/>
      <c r="G371" s="634"/>
      <c r="H371" s="634"/>
      <c r="I371" s="634"/>
      <c r="J371" s="634"/>
      <c r="K371" s="634"/>
      <c r="L371" s="634"/>
      <c r="M371" s="634"/>
      <c r="N371" s="517"/>
      <c r="O371" s="634"/>
      <c r="P371" s="634"/>
      <c r="Q371" s="634"/>
    </row>
    <row r="372" spans="1:17" ht="18.75">
      <c r="A372" s="4717"/>
      <c r="B372" s="1682" t="s">
        <v>55</v>
      </c>
      <c r="C372" s="1628" t="s">
        <v>1107</v>
      </c>
      <c r="D372" s="634"/>
      <c r="E372" s="634"/>
      <c r="F372" s="634"/>
      <c r="G372" s="634"/>
      <c r="H372" s="634"/>
      <c r="I372" s="634"/>
      <c r="J372" s="634"/>
      <c r="K372" s="634"/>
      <c r="L372" s="634"/>
      <c r="M372" s="634"/>
      <c r="N372" s="517"/>
      <c r="O372" s="634"/>
      <c r="P372" s="634"/>
      <c r="Q372" s="634"/>
    </row>
    <row r="373" spans="1:17" ht="18.75">
      <c r="A373" s="4717"/>
      <c r="B373" s="1682" t="s">
        <v>44</v>
      </c>
      <c r="C373" s="1628" t="s">
        <v>1096</v>
      </c>
      <c r="D373" s="634"/>
      <c r="E373" s="634"/>
      <c r="F373" s="634"/>
      <c r="G373" s="634"/>
      <c r="H373" s="634"/>
      <c r="I373" s="634"/>
      <c r="J373" s="634"/>
      <c r="K373" s="634"/>
      <c r="L373" s="634"/>
      <c r="M373" s="634"/>
      <c r="N373" s="517"/>
      <c r="O373" s="634"/>
      <c r="P373" s="634"/>
      <c r="Q373" s="634"/>
    </row>
    <row r="374" spans="1:17" ht="18.75">
      <c r="A374" s="4717"/>
      <c r="B374" s="1682" t="s">
        <v>46</v>
      </c>
      <c r="C374" s="1628" t="s">
        <v>1108</v>
      </c>
      <c r="D374" s="634"/>
      <c r="E374" s="634"/>
      <c r="F374" s="634"/>
      <c r="G374" s="634"/>
      <c r="H374" s="634"/>
      <c r="I374" s="634"/>
      <c r="J374" s="634"/>
      <c r="K374" s="634"/>
      <c r="L374" s="634"/>
      <c r="M374" s="634"/>
      <c r="N374" s="517"/>
      <c r="O374" s="634"/>
      <c r="P374" s="634"/>
      <c r="Q374" s="634"/>
    </row>
    <row r="375" spans="1:17">
      <c r="A375" s="4717"/>
      <c r="B375" s="1705"/>
      <c r="C375" s="1704"/>
      <c r="D375" s="1704"/>
      <c r="E375" s="1704"/>
      <c r="F375" s="1704"/>
      <c r="G375" s="1704"/>
      <c r="H375" s="1704"/>
      <c r="I375" s="1704"/>
      <c r="J375" s="1704"/>
      <c r="K375" s="1704"/>
      <c r="L375" s="1704"/>
      <c r="M375" s="1704"/>
      <c r="N375" s="1703"/>
      <c r="O375" s="634"/>
      <c r="P375" s="634"/>
      <c r="Q375" s="634"/>
    </row>
    <row r="376" spans="1:17">
      <c r="A376" s="4717"/>
      <c r="B376" s="633"/>
      <c r="C376" s="634"/>
      <c r="D376" s="634"/>
      <c r="E376" s="634"/>
      <c r="F376" s="634"/>
      <c r="G376" s="634"/>
      <c r="H376" s="634"/>
      <c r="I376" s="634"/>
      <c r="J376" s="634"/>
      <c r="K376" s="634"/>
      <c r="L376" s="634"/>
      <c r="M376" s="634"/>
      <c r="N376" s="517"/>
      <c r="O376" s="634"/>
      <c r="P376" s="634"/>
      <c r="Q376" s="634"/>
    </row>
    <row r="377" spans="1:17">
      <c r="A377" s="4717"/>
      <c r="B377" s="633"/>
      <c r="C377" s="1422"/>
      <c r="D377" s="634"/>
      <c r="E377" s="634"/>
      <c r="F377" s="634"/>
      <c r="G377" s="634"/>
      <c r="H377" s="634"/>
      <c r="I377" s="634"/>
      <c r="J377" s="634"/>
      <c r="K377" s="1699"/>
      <c r="L377" s="1698"/>
      <c r="M377" s="1698"/>
      <c r="N377" s="1697"/>
      <c r="O377" s="634"/>
      <c r="P377" s="634"/>
      <c r="Q377" s="634"/>
    </row>
    <row r="378" spans="1:17" ht="18.75" customHeight="1">
      <c r="A378" s="4717"/>
      <c r="B378" s="1702" t="s">
        <v>55</v>
      </c>
      <c r="C378" s="1628" t="s">
        <v>1107</v>
      </c>
      <c r="D378" s="1201"/>
      <c r="E378" s="634"/>
      <c r="F378" s="634"/>
      <c r="G378" s="634"/>
      <c r="H378" s="1206"/>
      <c r="I378" s="634"/>
      <c r="J378" s="1206"/>
      <c r="K378" s="1696"/>
      <c r="L378" s="1695"/>
      <c r="M378" s="1694" t="s">
        <v>1314</v>
      </c>
      <c r="N378" s="1693"/>
      <c r="O378" s="634"/>
      <c r="P378" s="634"/>
      <c r="Q378" s="634"/>
    </row>
    <row r="379" spans="1:17" ht="18.75">
      <c r="A379" s="4717"/>
      <c r="B379" s="1702"/>
      <c r="C379" s="1679" t="s">
        <v>1314</v>
      </c>
      <c r="D379" s="1201"/>
      <c r="E379" s="634"/>
      <c r="F379" s="634"/>
      <c r="G379" s="634"/>
      <c r="H379" s="1206"/>
      <c r="I379" s="634"/>
      <c r="J379" s="1206"/>
      <c r="K379" s="1692"/>
      <c r="L379" s="1691"/>
      <c r="M379" s="1690"/>
      <c r="N379" s="1689"/>
      <c r="O379" s="634"/>
      <c r="P379" s="634"/>
      <c r="Q379" s="634"/>
    </row>
    <row r="380" spans="1:17" ht="18.75">
      <c r="A380" s="4717"/>
      <c r="B380" s="1702"/>
      <c r="C380" s="1679" t="s">
        <v>1333</v>
      </c>
      <c r="D380" s="1201"/>
      <c r="E380" s="634"/>
      <c r="F380" s="634"/>
      <c r="G380" s="634"/>
      <c r="H380" s="1206"/>
      <c r="I380" s="634"/>
      <c r="J380" s="1206"/>
      <c r="K380" s="634"/>
      <c r="L380" s="1362"/>
      <c r="M380" s="634"/>
      <c r="N380" s="517"/>
      <c r="O380" s="634"/>
      <c r="P380" s="634"/>
      <c r="Q380" s="634"/>
    </row>
    <row r="381" spans="1:17" ht="18.75">
      <c r="A381" s="4717"/>
      <c r="B381" s="1702"/>
      <c r="C381" s="1679" t="s">
        <v>1332</v>
      </c>
      <c r="D381" s="1201"/>
      <c r="E381" s="634"/>
      <c r="F381" s="634"/>
      <c r="G381" s="634"/>
      <c r="H381" s="1206"/>
      <c r="I381" s="634"/>
      <c r="J381" s="1206"/>
      <c r="K381" s="634"/>
      <c r="L381" s="1362"/>
      <c r="M381" s="634"/>
      <c r="N381" s="517"/>
      <c r="O381" s="634"/>
      <c r="P381" s="634"/>
      <c r="Q381" s="634"/>
    </row>
    <row r="382" spans="1:17" ht="18.75">
      <c r="A382" s="4717"/>
      <c r="B382" s="1702"/>
      <c r="C382" s="1679"/>
      <c r="D382" s="1201"/>
      <c r="E382" s="634"/>
      <c r="F382" s="634"/>
      <c r="G382" s="634"/>
      <c r="H382" s="1206"/>
      <c r="I382" s="634"/>
      <c r="J382" s="1206"/>
      <c r="K382" s="634"/>
      <c r="L382" s="1362"/>
      <c r="M382" s="634"/>
      <c r="N382" s="517"/>
      <c r="O382" s="634"/>
      <c r="P382" s="634"/>
      <c r="Q382" s="634"/>
    </row>
    <row r="383" spans="1:17" ht="18.75">
      <c r="A383" s="4717"/>
      <c r="B383" s="1702"/>
      <c r="C383" s="1679"/>
      <c r="D383" s="1362" t="s">
        <v>1327</v>
      </c>
      <c r="E383" s="634"/>
      <c r="F383" s="634"/>
      <c r="G383" s="634"/>
      <c r="H383" s="1206"/>
      <c r="I383" s="634"/>
      <c r="J383" s="1206"/>
      <c r="K383" s="634"/>
      <c r="L383" s="1362"/>
      <c r="M383" s="634"/>
      <c r="N383" s="517"/>
      <c r="O383" s="634"/>
      <c r="P383" s="634"/>
      <c r="Q383" s="634"/>
    </row>
    <row r="384" spans="1:17">
      <c r="A384" s="4717"/>
      <c r="B384" s="633"/>
      <c r="C384" s="1362"/>
      <c r="D384" s="1671" t="str">
        <f>ADDRESS(ROW(C385),COLUMN(C385),4)</f>
        <v>C385</v>
      </c>
      <c r="E384" s="1362"/>
      <c r="F384" s="634"/>
      <c r="G384" s="1364" t="s">
        <v>1314</v>
      </c>
      <c r="H384" s="634"/>
      <c r="I384" s="634"/>
      <c r="J384" s="634"/>
      <c r="K384" s="634"/>
      <c r="L384" s="634"/>
      <c r="M384" s="634"/>
      <c r="N384" s="517"/>
      <c r="O384" s="634"/>
      <c r="P384" s="634"/>
      <c r="Q384" s="634"/>
    </row>
    <row r="385" spans="1:17" ht="16.5" thickBot="1">
      <c r="A385" s="4717"/>
      <c r="B385" s="1678" t="s">
        <v>55</v>
      </c>
      <c r="C385" s="6081">
        <v>50</v>
      </c>
      <c r="D385" s="6081"/>
      <c r="E385" s="6081"/>
      <c r="F385" s="6093" t="s">
        <v>1334</v>
      </c>
      <c r="G385" s="6093">
        <f>C385/(C386+E386)</f>
        <v>41.666666666666671</v>
      </c>
      <c r="H385" s="6085" t="str">
        <f ca="1">_xlfn.FORMULATEXT(G385)</f>
        <v>=C385/(C386+E386)</v>
      </c>
      <c r="I385" s="6085"/>
      <c r="J385" s="6085"/>
      <c r="K385" s="634"/>
      <c r="L385" s="634"/>
      <c r="M385" s="634"/>
      <c r="N385" s="517"/>
      <c r="O385" s="634"/>
      <c r="P385" s="634"/>
      <c r="Q385" s="634"/>
    </row>
    <row r="386" spans="1:17">
      <c r="A386" s="4717"/>
      <c r="B386" s="1681" t="s">
        <v>1331</v>
      </c>
      <c r="C386" s="1701">
        <v>1</v>
      </c>
      <c r="D386" s="1638" t="s">
        <v>1289</v>
      </c>
      <c r="E386" s="1688">
        <v>0.2</v>
      </c>
      <c r="F386" s="6093"/>
      <c r="G386" s="6093"/>
      <c r="H386" s="6085"/>
      <c r="I386" s="6085"/>
      <c r="J386" s="6085"/>
      <c r="K386" s="634"/>
      <c r="L386" s="634"/>
      <c r="M386" s="634"/>
      <c r="N386" s="517"/>
      <c r="O386" s="634"/>
      <c r="P386" s="634"/>
      <c r="Q386" s="634"/>
    </row>
    <row r="387" spans="1:17">
      <c r="A387" s="4717"/>
      <c r="B387" s="633"/>
      <c r="C387" s="634"/>
      <c r="D387" s="634"/>
      <c r="E387" s="1362" t="s">
        <v>1332</v>
      </c>
      <c r="F387" s="634"/>
      <c r="G387" s="1364"/>
      <c r="H387" s="634"/>
      <c r="I387" s="634"/>
      <c r="J387" s="634"/>
      <c r="K387" s="634"/>
      <c r="L387" s="634"/>
      <c r="M387" s="634"/>
      <c r="N387" s="517"/>
      <c r="O387" s="634"/>
      <c r="P387" s="634"/>
      <c r="Q387" s="634"/>
    </row>
    <row r="388" spans="1:17">
      <c r="A388" s="4717"/>
      <c r="B388" s="633"/>
      <c r="D388" s="634"/>
      <c r="E388" s="1362"/>
      <c r="F388" s="634"/>
      <c r="G388" s="1364"/>
      <c r="H388" s="634"/>
      <c r="I388" s="634"/>
      <c r="J388" s="634"/>
      <c r="K388" s="634"/>
      <c r="L388" s="634"/>
      <c r="M388" s="634"/>
      <c r="N388" s="517"/>
      <c r="O388" s="634"/>
      <c r="P388" s="634"/>
      <c r="Q388" s="634"/>
    </row>
    <row r="389" spans="1:17">
      <c r="A389" s="4717"/>
      <c r="B389" s="633"/>
      <c r="C389" s="6060" t="s">
        <v>1329</v>
      </c>
      <c r="D389" s="6060"/>
      <c r="E389" s="6060"/>
      <c r="F389" s="6060"/>
      <c r="G389" s="6060"/>
      <c r="H389" s="6060"/>
      <c r="I389" s="6060"/>
      <c r="J389" s="6060"/>
      <c r="K389" s="6060"/>
      <c r="L389" s="6060"/>
      <c r="M389" s="6060"/>
      <c r="N389" s="517"/>
      <c r="O389" s="634"/>
      <c r="P389" s="634"/>
      <c r="Q389" s="634"/>
    </row>
    <row r="390" spans="1:17">
      <c r="A390" s="4717"/>
      <c r="B390" s="633"/>
      <c r="D390" s="634"/>
      <c r="E390" s="1362"/>
      <c r="F390" s="634"/>
      <c r="G390" s="1364"/>
      <c r="H390" s="634"/>
      <c r="I390" s="634"/>
      <c r="J390" s="634"/>
      <c r="K390" s="634"/>
      <c r="L390" s="634"/>
      <c r="M390" s="634"/>
      <c r="N390" s="517"/>
      <c r="O390" s="634"/>
      <c r="P390" s="634"/>
      <c r="Q390" s="634"/>
    </row>
    <row r="391" spans="1:17">
      <c r="A391" s="4717"/>
      <c r="B391" s="633"/>
      <c r="C391" s="1671" t="str">
        <f>ADDRESS(ROW(C393),COLUMN(C393),4)</f>
        <v>C393</v>
      </c>
      <c r="D391" s="634"/>
      <c r="E391" s="1671" t="str">
        <f>ADDRESS(ROW(E393),COLUMN(E393),4)</f>
        <v>E393</v>
      </c>
      <c r="F391" s="634"/>
      <c r="G391" s="634"/>
      <c r="H391" s="634"/>
      <c r="I391" s="634"/>
      <c r="J391" s="634"/>
      <c r="K391" s="634"/>
      <c r="L391" s="634"/>
      <c r="M391" s="1680" t="s">
        <v>1314</v>
      </c>
      <c r="N391" s="517"/>
      <c r="O391" s="634"/>
      <c r="P391" s="634"/>
      <c r="Q391" s="634"/>
    </row>
    <row r="392" spans="1:17">
      <c r="A392" s="4717"/>
      <c r="B392" s="633"/>
      <c r="C392" s="1362" t="s">
        <v>1327</v>
      </c>
      <c r="D392" s="634"/>
      <c r="E392" s="634"/>
      <c r="F392" s="634"/>
      <c r="G392" s="1364" t="s">
        <v>1314</v>
      </c>
      <c r="H392" s="634"/>
      <c r="I392" s="634"/>
      <c r="J392" s="634"/>
      <c r="K392" s="634"/>
      <c r="L392" s="634"/>
      <c r="M392" s="634"/>
      <c r="N392" s="517"/>
      <c r="O392" s="634"/>
      <c r="P392" s="634"/>
      <c r="Q392" s="634"/>
    </row>
    <row r="393" spans="1:17" ht="19.5" thickBot="1">
      <c r="A393" s="4717"/>
      <c r="B393" s="1678" t="s">
        <v>55</v>
      </c>
      <c r="C393" s="1677">
        <v>50</v>
      </c>
      <c r="D393" s="1263" t="s">
        <v>1326</v>
      </c>
      <c r="E393" s="1700">
        <v>100</v>
      </c>
      <c r="F393" s="1630" t="s">
        <v>997</v>
      </c>
      <c r="G393" s="1636">
        <f>(C393*E393)/(C394+E394)</f>
        <v>41.666666666666664</v>
      </c>
      <c r="H393" s="1675" t="str">
        <f ca="1">_xlfn.FORMULATEXT(G393)</f>
        <v>=(C393*E393)/(C394+E394)</v>
      </c>
      <c r="I393" s="634"/>
      <c r="J393" s="634"/>
      <c r="K393" s="634"/>
      <c r="L393" s="634"/>
      <c r="M393" s="634"/>
      <c r="N393" s="517"/>
      <c r="O393" s="634"/>
      <c r="P393" s="634"/>
      <c r="Q393" s="634"/>
    </row>
    <row r="394" spans="1:17">
      <c r="A394" s="4717"/>
      <c r="B394" s="1681" t="s">
        <v>1331</v>
      </c>
      <c r="C394" s="679">
        <v>100</v>
      </c>
      <c r="D394" s="1638" t="s">
        <v>1289</v>
      </c>
      <c r="E394" s="1688">
        <v>20</v>
      </c>
      <c r="F394" s="1674" t="s">
        <v>1330</v>
      </c>
      <c r="G394" s="1673"/>
      <c r="H394" s="1672"/>
      <c r="I394" s="634"/>
      <c r="J394" s="634"/>
      <c r="K394" s="634"/>
      <c r="L394" s="634"/>
      <c r="M394" s="634"/>
      <c r="N394" s="517"/>
      <c r="O394" s="634"/>
      <c r="P394" s="634"/>
      <c r="Q394" s="634"/>
    </row>
    <row r="395" spans="1:17">
      <c r="A395" s="4717"/>
      <c r="B395" s="633"/>
      <c r="D395" s="634"/>
      <c r="E395" s="1362" t="s">
        <v>1325</v>
      </c>
      <c r="F395" s="634"/>
      <c r="G395" s="634"/>
      <c r="H395" s="634"/>
      <c r="I395" s="634"/>
      <c r="J395" s="634"/>
      <c r="K395" s="634"/>
      <c r="L395" s="634"/>
      <c r="M395" s="634"/>
      <c r="N395" s="517"/>
      <c r="O395" s="634"/>
      <c r="P395" s="634"/>
      <c r="Q395" s="634"/>
    </row>
    <row r="396" spans="1:17">
      <c r="A396" s="4717"/>
      <c r="B396" s="633"/>
      <c r="C396" s="1671" t="str">
        <f>ADDRESS(ROW(C394),COLUMN(C394),4)</f>
        <v>C394</v>
      </c>
      <c r="D396" s="634"/>
      <c r="E396" s="1671" t="str">
        <f>ADDRESS(ROW(E394),COLUMN(E394),4)</f>
        <v>E394</v>
      </c>
      <c r="F396" s="634"/>
      <c r="G396" s="634"/>
      <c r="H396" s="634"/>
      <c r="I396" s="634"/>
      <c r="J396" s="634"/>
      <c r="K396" s="634"/>
      <c r="L396" s="634"/>
      <c r="M396" s="634"/>
      <c r="N396" s="517"/>
      <c r="O396" s="634"/>
      <c r="P396" s="634"/>
      <c r="Q396" s="634"/>
    </row>
    <row r="397" spans="1:17">
      <c r="A397" s="4717"/>
      <c r="B397" s="633"/>
      <c r="C397" s="634"/>
      <c r="D397" s="634"/>
      <c r="E397" s="634"/>
      <c r="F397" s="634"/>
      <c r="G397" s="1364"/>
      <c r="H397" s="634"/>
      <c r="I397" s="634"/>
      <c r="J397" s="634"/>
      <c r="K397" s="634"/>
      <c r="L397" s="634"/>
      <c r="M397" s="634"/>
      <c r="N397" s="517"/>
      <c r="O397" s="634"/>
      <c r="P397" s="634"/>
      <c r="Q397" s="634"/>
    </row>
    <row r="398" spans="1:17">
      <c r="A398" s="4717"/>
      <c r="B398" s="633"/>
      <c r="C398" s="6061" t="s">
        <v>1328</v>
      </c>
      <c r="D398" s="6062"/>
      <c r="E398" s="6062"/>
      <c r="F398" s="6062"/>
      <c r="G398" s="6062"/>
      <c r="H398" s="6062"/>
      <c r="I398" s="6062"/>
      <c r="J398" s="6062"/>
      <c r="K398" s="6062"/>
      <c r="L398" s="6062"/>
      <c r="M398" s="6063"/>
      <c r="N398" s="517"/>
      <c r="O398" s="634"/>
      <c r="P398" s="634"/>
      <c r="Q398" s="634"/>
    </row>
    <row r="399" spans="1:17">
      <c r="A399" s="4717"/>
      <c r="B399" s="633"/>
      <c r="D399" s="634"/>
      <c r="E399" s="634"/>
      <c r="F399" s="634"/>
      <c r="G399" s="634"/>
      <c r="H399" s="634"/>
      <c r="I399" s="634"/>
      <c r="J399" s="634"/>
      <c r="K399" s="634"/>
      <c r="L399" s="634"/>
      <c r="M399" s="634"/>
      <c r="N399" s="517"/>
      <c r="O399" s="634"/>
      <c r="P399" s="634"/>
      <c r="Q399" s="634"/>
    </row>
    <row r="400" spans="1:17">
      <c r="A400" s="4717"/>
      <c r="B400" s="633"/>
      <c r="C400" s="1671" t="str">
        <f>ADDRESS(ROW(C402),COLUMN(C402),4)</f>
        <v>C402</v>
      </c>
      <c r="D400" s="634"/>
      <c r="E400" s="1671" t="str">
        <f>ADDRESS(ROW(E402),COLUMN(E402),4)</f>
        <v>E402</v>
      </c>
      <c r="F400" s="634"/>
      <c r="G400" s="634"/>
      <c r="H400" s="634"/>
      <c r="I400" s="634"/>
      <c r="J400" s="634"/>
      <c r="K400" s="634"/>
      <c r="L400" s="634"/>
      <c r="M400" s="1680" t="s">
        <v>1314</v>
      </c>
      <c r="N400" s="517"/>
      <c r="O400" s="634"/>
      <c r="P400" s="634"/>
      <c r="Q400" s="634"/>
    </row>
    <row r="401" spans="1:17">
      <c r="A401" s="4717"/>
      <c r="B401" s="633"/>
      <c r="C401" s="1362" t="s">
        <v>1327</v>
      </c>
      <c r="D401" s="634"/>
      <c r="E401" s="634"/>
      <c r="F401" s="634"/>
      <c r="G401" s="1364" t="s">
        <v>1314</v>
      </c>
      <c r="H401" s="634"/>
      <c r="I401" s="634"/>
      <c r="J401" s="634"/>
      <c r="K401" s="634"/>
      <c r="L401" s="634"/>
      <c r="M401" s="634"/>
      <c r="N401" s="517"/>
      <c r="O401" s="634"/>
      <c r="P401" s="634"/>
      <c r="Q401" s="634"/>
    </row>
    <row r="402" spans="1:17" ht="19.5" thickBot="1">
      <c r="A402" s="4717"/>
      <c r="B402" s="1678" t="s">
        <v>55</v>
      </c>
      <c r="C402" s="1677">
        <v>50</v>
      </c>
      <c r="D402" s="1263" t="s">
        <v>1326</v>
      </c>
      <c r="E402" s="1700">
        <v>100</v>
      </c>
      <c r="F402" s="1630" t="s">
        <v>997</v>
      </c>
      <c r="G402" s="1636">
        <f>(C402*E402)/(E402+C403)</f>
        <v>41.666666666666664</v>
      </c>
      <c r="H402" s="1675" t="str">
        <f ca="1">_xlfn.FORMULATEXT(G402)</f>
        <v>=(C402*E402)/(E402+C403)</v>
      </c>
      <c r="I402" s="634"/>
      <c r="J402" s="634"/>
      <c r="K402" s="634"/>
      <c r="L402" s="634"/>
      <c r="M402" s="634"/>
      <c r="N402" s="517"/>
      <c r="O402" s="634"/>
      <c r="P402" s="634"/>
      <c r="Q402" s="634"/>
    </row>
    <row r="403" spans="1:17">
      <c r="A403" s="4717"/>
      <c r="B403" s="633"/>
      <c r="C403" s="6087">
        <v>20</v>
      </c>
      <c r="D403" s="6087"/>
      <c r="E403" s="6087"/>
      <c r="F403" s="1674"/>
      <c r="G403" s="1673"/>
      <c r="H403" s="1672"/>
      <c r="I403" s="634"/>
      <c r="J403" s="634"/>
      <c r="K403" s="634"/>
      <c r="L403" s="634"/>
      <c r="M403" s="634"/>
      <c r="N403" s="517"/>
      <c r="O403" s="634"/>
      <c r="P403" s="634"/>
      <c r="Q403" s="634"/>
    </row>
    <row r="404" spans="1:17">
      <c r="A404" s="4717"/>
      <c r="B404" s="633"/>
      <c r="D404" s="1362" t="s">
        <v>1325</v>
      </c>
      <c r="E404" s="634"/>
      <c r="F404" s="634"/>
      <c r="G404" s="634"/>
      <c r="H404" s="634"/>
      <c r="I404" s="634"/>
      <c r="J404" s="634"/>
      <c r="K404" s="634"/>
      <c r="L404" s="634"/>
      <c r="M404" s="634"/>
      <c r="N404" s="517"/>
      <c r="O404" s="634"/>
      <c r="P404" s="634"/>
      <c r="Q404" s="634"/>
    </row>
    <row r="405" spans="1:17">
      <c r="A405" s="4717"/>
      <c r="B405" s="633"/>
      <c r="C405" s="1422"/>
      <c r="D405" s="1671" t="str">
        <f>ADDRESS(ROW(C403),COLUMN(C403),4)</f>
        <v>C403</v>
      </c>
      <c r="E405" s="634"/>
      <c r="F405" s="634"/>
      <c r="G405" s="634"/>
      <c r="H405" s="634"/>
      <c r="I405" s="634"/>
      <c r="J405" s="634"/>
      <c r="K405" s="634"/>
      <c r="L405" s="634"/>
      <c r="M405" s="634"/>
      <c r="N405" s="517"/>
      <c r="O405" s="634"/>
      <c r="P405" s="634"/>
      <c r="Q405" s="634"/>
    </row>
    <row r="406" spans="1:17" ht="16.5" thickBot="1">
      <c r="A406" s="4717"/>
      <c r="B406" s="1687"/>
      <c r="C406" s="1686"/>
      <c r="D406" s="1685"/>
      <c r="E406" s="1684"/>
      <c r="F406" s="1684"/>
      <c r="G406" s="1684"/>
      <c r="H406" s="1684"/>
      <c r="I406" s="1684"/>
      <c r="J406" s="1684"/>
      <c r="K406" s="1684"/>
      <c r="L406" s="1684"/>
      <c r="M406" s="1684"/>
      <c r="N406" s="1683"/>
      <c r="O406" s="634"/>
      <c r="P406" s="634"/>
      <c r="Q406" s="634"/>
    </row>
    <row r="407" spans="1:17">
      <c r="A407" s="4717"/>
      <c r="B407" s="633"/>
      <c r="D407" s="1362"/>
      <c r="E407" s="634"/>
      <c r="F407" s="634"/>
      <c r="G407" s="634"/>
      <c r="H407" s="634"/>
      <c r="I407" s="634"/>
      <c r="J407" s="634"/>
      <c r="K407" s="634"/>
      <c r="L407" s="634"/>
      <c r="M407" s="634"/>
      <c r="N407" s="517"/>
      <c r="O407" s="634"/>
      <c r="P407" s="634"/>
      <c r="Q407" s="634"/>
    </row>
    <row r="408" spans="1:17">
      <c r="A408" s="4717"/>
      <c r="B408" s="1682" t="s">
        <v>44</v>
      </c>
      <c r="C408" s="1422"/>
      <c r="D408" s="1362"/>
      <c r="E408" s="634"/>
      <c r="F408" s="634"/>
      <c r="G408" s="634"/>
      <c r="H408" s="634"/>
      <c r="I408" s="634"/>
      <c r="J408" s="634"/>
      <c r="K408" s="1699"/>
      <c r="L408" s="1698"/>
      <c r="M408" s="1698"/>
      <c r="N408" s="1697"/>
      <c r="O408" s="634"/>
      <c r="P408" s="634"/>
      <c r="Q408" s="634"/>
    </row>
    <row r="409" spans="1:17" ht="21">
      <c r="A409" s="4717"/>
      <c r="B409" s="633"/>
      <c r="C409" s="1628" t="s">
        <v>1096</v>
      </c>
      <c r="D409" s="1362"/>
      <c r="E409" s="634"/>
      <c r="F409" s="634"/>
      <c r="G409" s="634"/>
      <c r="H409" s="634"/>
      <c r="I409" s="634"/>
      <c r="J409" s="634"/>
      <c r="K409" s="1696"/>
      <c r="L409" s="1695"/>
      <c r="M409" s="1694" t="s">
        <v>1315</v>
      </c>
      <c r="N409" s="1693"/>
      <c r="O409" s="634"/>
      <c r="P409" s="634"/>
      <c r="Q409" s="634"/>
    </row>
    <row r="410" spans="1:17">
      <c r="A410" s="4717"/>
      <c r="B410" s="633"/>
      <c r="C410" s="1679" t="s">
        <v>1315</v>
      </c>
      <c r="D410" s="1362"/>
      <c r="E410" s="634"/>
      <c r="F410" s="634"/>
      <c r="G410" s="634"/>
      <c r="H410" s="634"/>
      <c r="I410" s="634"/>
      <c r="J410" s="634"/>
      <c r="K410" s="1692"/>
      <c r="L410" s="1691"/>
      <c r="M410" s="1690"/>
      <c r="N410" s="1689"/>
      <c r="O410" s="634"/>
      <c r="P410" s="634"/>
      <c r="Q410" s="634"/>
    </row>
    <row r="411" spans="1:17">
      <c r="A411" s="4717"/>
      <c r="B411" s="633"/>
      <c r="C411" s="1679" t="s">
        <v>1314</v>
      </c>
      <c r="D411" s="1362"/>
      <c r="E411" s="634"/>
      <c r="F411" s="634"/>
      <c r="G411" s="634"/>
      <c r="H411" s="634"/>
      <c r="I411" s="634"/>
      <c r="J411" s="634"/>
      <c r="K411" s="634"/>
      <c r="L411" s="634"/>
      <c r="M411" s="634"/>
      <c r="N411" s="517"/>
      <c r="O411" s="634"/>
      <c r="P411" s="634"/>
      <c r="Q411" s="634"/>
    </row>
    <row r="412" spans="1:17">
      <c r="A412" s="4717"/>
      <c r="B412" s="633"/>
      <c r="C412" s="1679" t="s">
        <v>1332</v>
      </c>
      <c r="D412" s="1362"/>
      <c r="E412" s="634"/>
      <c r="F412" s="634"/>
      <c r="G412" s="634"/>
      <c r="H412" s="634"/>
      <c r="I412" s="634"/>
      <c r="J412" s="634"/>
      <c r="K412" s="634"/>
      <c r="L412" s="634"/>
      <c r="M412" s="634"/>
      <c r="N412" s="517"/>
      <c r="O412" s="634"/>
      <c r="P412" s="634"/>
      <c r="Q412" s="634"/>
    </row>
    <row r="413" spans="1:17">
      <c r="A413" s="4717"/>
      <c r="B413" s="633"/>
      <c r="C413" s="1679"/>
      <c r="D413" s="1362"/>
      <c r="E413" s="634"/>
      <c r="F413" s="634"/>
      <c r="G413" s="634"/>
      <c r="H413" s="634"/>
      <c r="I413" s="634"/>
      <c r="J413" s="634"/>
      <c r="K413" s="634"/>
      <c r="L413" s="634"/>
      <c r="M413" s="634"/>
      <c r="N413" s="517"/>
      <c r="O413" s="634"/>
      <c r="P413" s="634"/>
      <c r="Q413" s="634"/>
    </row>
    <row r="414" spans="1:17">
      <c r="A414" s="4717"/>
      <c r="B414" s="633"/>
      <c r="C414" s="1671" t="str">
        <f>ADDRESS(ROW(C416),COLUMN(C416),4)</f>
        <v>C416</v>
      </c>
      <c r="D414" s="1362"/>
      <c r="E414" s="1671" t="str">
        <f>ADDRESS(ROW(E416),COLUMN(E416),4)</f>
        <v>E416</v>
      </c>
      <c r="F414" s="634"/>
      <c r="G414" s="634"/>
      <c r="H414" s="634"/>
      <c r="I414" s="634"/>
      <c r="J414" s="634"/>
      <c r="K414" s="634"/>
      <c r="L414" s="634"/>
      <c r="M414" s="634"/>
      <c r="N414" s="517"/>
      <c r="O414" s="634"/>
      <c r="P414" s="634"/>
      <c r="Q414" s="634"/>
    </row>
    <row r="415" spans="1:17">
      <c r="A415" s="4717"/>
      <c r="B415" s="633"/>
      <c r="C415" s="1679" t="s">
        <v>1314</v>
      </c>
      <c r="D415" s="1362"/>
      <c r="E415" s="1679" t="s">
        <v>1332</v>
      </c>
      <c r="F415" s="634"/>
      <c r="G415" s="1679" t="s">
        <v>1315</v>
      </c>
      <c r="H415" s="634"/>
      <c r="I415" s="634"/>
      <c r="J415" s="634"/>
      <c r="K415" s="634"/>
      <c r="L415" s="634"/>
      <c r="M415" s="634"/>
      <c r="N415" s="517"/>
      <c r="O415" s="634"/>
      <c r="P415" s="634"/>
      <c r="Q415" s="634"/>
    </row>
    <row r="416" spans="1:17" ht="18.75">
      <c r="A416" s="4717"/>
      <c r="B416" s="633"/>
      <c r="C416" s="1637">
        <v>50</v>
      </c>
      <c r="D416" s="1270" t="s">
        <v>1326</v>
      </c>
      <c r="E416" s="1688">
        <v>0.2</v>
      </c>
      <c r="F416" s="1630" t="s">
        <v>997</v>
      </c>
      <c r="G416" s="1636">
        <f>C416*E416</f>
        <v>10</v>
      </c>
      <c r="H416" s="1675" t="str">
        <f ca="1">_xlfn.FORMULATEXT(G416)</f>
        <v>=C416*E416</v>
      </c>
      <c r="I416" s="634"/>
      <c r="J416" s="634"/>
      <c r="K416" s="634"/>
      <c r="L416" s="634"/>
      <c r="M416" s="634"/>
      <c r="N416" s="517"/>
      <c r="O416" s="634"/>
      <c r="P416" s="634"/>
      <c r="Q416" s="634"/>
    </row>
    <row r="417" spans="1:17">
      <c r="A417" s="4717"/>
      <c r="B417" s="633"/>
      <c r="C417" s="1422"/>
      <c r="D417" s="1362"/>
      <c r="E417" s="634"/>
      <c r="F417" s="634"/>
      <c r="G417" s="634"/>
      <c r="H417" s="634"/>
      <c r="I417" s="634"/>
      <c r="J417" s="634"/>
      <c r="K417" s="634"/>
      <c r="L417" s="634"/>
      <c r="M417" s="634"/>
      <c r="N417" s="517"/>
      <c r="O417" s="634"/>
      <c r="P417" s="634"/>
      <c r="Q417" s="634"/>
    </row>
    <row r="418" spans="1:17">
      <c r="A418" s="4717"/>
      <c r="B418" s="633"/>
      <c r="C418" s="6060" t="s">
        <v>1329</v>
      </c>
      <c r="D418" s="6060"/>
      <c r="E418" s="6060"/>
      <c r="F418" s="6060"/>
      <c r="G418" s="6060"/>
      <c r="H418" s="6060"/>
      <c r="I418" s="6060"/>
      <c r="J418" s="6060"/>
      <c r="K418" s="6060"/>
      <c r="L418" s="6060"/>
      <c r="M418" s="6060"/>
      <c r="N418" s="517"/>
      <c r="O418" s="634"/>
      <c r="P418" s="634"/>
      <c r="Q418" s="634"/>
    </row>
    <row r="419" spans="1:17">
      <c r="A419" s="4717"/>
      <c r="B419" s="633"/>
      <c r="C419" s="1422"/>
      <c r="D419" s="1362"/>
      <c r="E419" s="634"/>
      <c r="F419" s="634"/>
      <c r="G419" s="634"/>
      <c r="H419" s="634"/>
      <c r="I419" s="634"/>
      <c r="J419" s="634"/>
      <c r="K419" s="634"/>
      <c r="L419" s="634"/>
      <c r="M419" s="634"/>
      <c r="N419" s="517"/>
      <c r="O419" s="634"/>
      <c r="P419" s="634"/>
      <c r="Q419" s="634"/>
    </row>
    <row r="420" spans="1:17">
      <c r="A420" s="4717"/>
      <c r="B420" s="633"/>
      <c r="C420" s="1671" t="str">
        <f>ADDRESS(ROW(C422),COLUMN(C422),4)</f>
        <v>C422</v>
      </c>
      <c r="D420" s="1362"/>
      <c r="E420" s="1671" t="str">
        <f>ADDRESS(ROW(E422),COLUMN(E422),4)</f>
        <v>E422</v>
      </c>
      <c r="F420" s="634"/>
      <c r="G420" s="634"/>
      <c r="H420" s="634"/>
      <c r="I420" s="634"/>
      <c r="J420" s="634"/>
      <c r="K420" s="634"/>
      <c r="L420" s="634"/>
      <c r="M420" s="634"/>
      <c r="N420" s="517"/>
      <c r="O420" s="634"/>
      <c r="P420" s="634"/>
      <c r="Q420" s="634"/>
    </row>
    <row r="421" spans="1:17">
      <c r="A421" s="4717"/>
      <c r="B421" s="633"/>
      <c r="C421" s="1679" t="s">
        <v>1314</v>
      </c>
      <c r="D421" s="1362"/>
      <c r="E421" s="1679" t="s">
        <v>1325</v>
      </c>
      <c r="F421" s="634"/>
      <c r="G421" s="634"/>
      <c r="H421" s="634"/>
      <c r="I421" s="634"/>
      <c r="J421" s="634"/>
      <c r="K421" s="634"/>
      <c r="L421" s="634"/>
      <c r="M421" s="634"/>
      <c r="N421" s="517"/>
      <c r="O421" s="634"/>
      <c r="P421" s="634"/>
      <c r="Q421" s="634"/>
    </row>
    <row r="422" spans="1:17" ht="19.5" thickBot="1">
      <c r="A422" s="4717"/>
      <c r="B422" s="1678" t="s">
        <v>44</v>
      </c>
      <c r="C422" s="1677">
        <v>50</v>
      </c>
      <c r="D422" s="1263" t="s">
        <v>1326</v>
      </c>
      <c r="E422" s="1676">
        <v>20</v>
      </c>
      <c r="F422" s="1630" t="s">
        <v>997</v>
      </c>
      <c r="G422" s="1636">
        <f>(C422*E422)/C423</f>
        <v>10</v>
      </c>
      <c r="H422" s="1675" t="str">
        <f ca="1">_xlfn.FORMULATEXT(G422)</f>
        <v>=(C422*E422)/C423</v>
      </c>
      <c r="I422" s="634"/>
      <c r="J422" s="634"/>
      <c r="K422" s="634"/>
      <c r="L422" s="634"/>
      <c r="M422" s="634"/>
      <c r="N422" s="517"/>
      <c r="O422" s="634"/>
      <c r="P422" s="634"/>
      <c r="Q422" s="634"/>
    </row>
    <row r="423" spans="1:17">
      <c r="A423" s="4717"/>
      <c r="B423" s="633"/>
      <c r="C423" s="6059">
        <v>100</v>
      </c>
      <c r="D423" s="6059"/>
      <c r="E423" s="6059"/>
      <c r="F423" s="634"/>
      <c r="G423" s="634"/>
      <c r="H423" s="634"/>
      <c r="I423" s="634"/>
      <c r="J423" s="634"/>
      <c r="K423" s="634"/>
      <c r="L423" s="634"/>
      <c r="M423" s="634"/>
      <c r="N423" s="517"/>
      <c r="O423" s="634"/>
      <c r="P423" s="634"/>
      <c r="Q423" s="634"/>
    </row>
    <row r="424" spans="1:17">
      <c r="A424" s="4717"/>
      <c r="B424" s="633"/>
      <c r="C424" s="1422"/>
      <c r="D424" s="1362"/>
      <c r="E424" s="634"/>
      <c r="F424" s="634"/>
      <c r="G424" s="634"/>
      <c r="H424" s="634"/>
      <c r="I424" s="634"/>
      <c r="J424" s="634"/>
      <c r="K424" s="634"/>
      <c r="L424" s="634"/>
      <c r="M424" s="634"/>
      <c r="N424" s="517"/>
      <c r="O424" s="634"/>
      <c r="P424" s="634"/>
      <c r="Q424" s="634"/>
    </row>
    <row r="425" spans="1:17" ht="16.5" thickBot="1">
      <c r="A425" s="4717"/>
      <c r="B425" s="1687"/>
      <c r="C425" s="1686"/>
      <c r="D425" s="1685"/>
      <c r="E425" s="1684"/>
      <c r="F425" s="1684"/>
      <c r="G425" s="1684"/>
      <c r="H425" s="1684"/>
      <c r="I425" s="1684"/>
      <c r="J425" s="1684"/>
      <c r="K425" s="1684"/>
      <c r="L425" s="1684"/>
      <c r="M425" s="1684"/>
      <c r="N425" s="1683"/>
      <c r="O425" s="634"/>
      <c r="P425" s="634"/>
      <c r="Q425" s="634"/>
    </row>
    <row r="426" spans="1:17">
      <c r="A426" s="4717"/>
      <c r="B426" s="633"/>
      <c r="C426" s="1422"/>
      <c r="D426" s="1362"/>
      <c r="E426" s="634"/>
      <c r="F426" s="634"/>
      <c r="G426" s="634"/>
      <c r="H426" s="634"/>
      <c r="I426" s="634"/>
      <c r="J426" s="634"/>
      <c r="K426" s="634"/>
      <c r="L426" s="634"/>
      <c r="M426" s="634"/>
      <c r="N426" s="517"/>
      <c r="O426" s="634"/>
      <c r="P426" s="634"/>
      <c r="Q426" s="634"/>
    </row>
    <row r="427" spans="1:17" ht="18.75">
      <c r="A427" s="4717"/>
      <c r="B427" s="1682" t="s">
        <v>46</v>
      </c>
      <c r="C427" s="1628" t="s">
        <v>1108</v>
      </c>
      <c r="D427" s="634"/>
      <c r="E427" s="634"/>
      <c r="F427" s="634"/>
      <c r="G427" s="634"/>
      <c r="H427" s="634"/>
      <c r="I427" s="634"/>
      <c r="J427" s="634"/>
      <c r="K427" s="634"/>
      <c r="L427" s="634"/>
      <c r="M427" s="1680" t="s">
        <v>1315</v>
      </c>
      <c r="N427" s="517"/>
      <c r="O427" s="634"/>
      <c r="P427" s="634"/>
      <c r="Q427" s="634"/>
    </row>
    <row r="428" spans="1:17">
      <c r="A428" s="4717"/>
      <c r="B428" s="633"/>
      <c r="C428" s="1679" t="s">
        <v>1333</v>
      </c>
      <c r="D428" s="1362"/>
      <c r="E428" s="634"/>
      <c r="F428" s="634"/>
      <c r="G428" s="634"/>
      <c r="H428" s="634"/>
      <c r="I428" s="634"/>
      <c r="J428" s="634"/>
      <c r="K428" s="634"/>
      <c r="L428" s="634"/>
      <c r="M428" s="634"/>
      <c r="N428" s="517"/>
      <c r="O428" s="634"/>
      <c r="P428" s="634"/>
      <c r="Q428" s="634"/>
    </row>
    <row r="429" spans="1:17">
      <c r="A429" s="4717"/>
      <c r="B429" s="633"/>
      <c r="C429" s="1679" t="s">
        <v>1332</v>
      </c>
      <c r="D429" s="1362"/>
      <c r="E429" s="634"/>
      <c r="F429" s="634"/>
      <c r="G429" s="634"/>
      <c r="H429" s="634"/>
      <c r="I429" s="634"/>
      <c r="J429" s="634"/>
      <c r="K429" s="634"/>
      <c r="L429" s="634"/>
      <c r="M429" s="634"/>
      <c r="N429" s="517"/>
      <c r="O429" s="634"/>
      <c r="P429" s="634"/>
      <c r="Q429" s="634"/>
    </row>
    <row r="430" spans="1:17">
      <c r="A430" s="4717"/>
      <c r="B430" s="633"/>
      <c r="C430" s="1422"/>
      <c r="D430" s="1362"/>
      <c r="E430" s="634"/>
      <c r="F430" s="634"/>
      <c r="G430" s="634"/>
      <c r="H430" s="634"/>
      <c r="I430" s="634"/>
      <c r="J430" s="634"/>
      <c r="K430" s="634"/>
      <c r="L430" s="634"/>
      <c r="M430" s="634"/>
      <c r="N430" s="517"/>
      <c r="O430" s="634"/>
      <c r="P430" s="634"/>
      <c r="Q430" s="634"/>
    </row>
    <row r="431" spans="1:17">
      <c r="A431" s="4717"/>
      <c r="B431" s="633"/>
      <c r="C431" s="1671" t="str">
        <f>ADDRESS(ROW(C433),COLUMN(C433),4)</f>
        <v>C433</v>
      </c>
      <c r="D431" s="634"/>
      <c r="E431" s="1671" t="str">
        <f>ADDRESS(ROW(E433),COLUMN(E433),4)</f>
        <v>E433</v>
      </c>
      <c r="F431" s="634"/>
      <c r="G431" s="634"/>
      <c r="H431" s="634"/>
      <c r="I431" s="634"/>
      <c r="J431" s="634"/>
      <c r="K431" s="634"/>
      <c r="L431" s="634"/>
      <c r="M431" s="634"/>
      <c r="N431" s="517"/>
      <c r="O431" s="634"/>
      <c r="P431" s="634"/>
      <c r="Q431" s="634"/>
    </row>
    <row r="432" spans="1:17">
      <c r="A432" s="4717"/>
      <c r="B432" s="633"/>
      <c r="C432" s="1362" t="s">
        <v>1327</v>
      </c>
      <c r="D432" s="634"/>
      <c r="E432" s="634"/>
      <c r="F432" s="634"/>
      <c r="G432" s="1679" t="s">
        <v>1315</v>
      </c>
      <c r="H432" s="634"/>
      <c r="I432" s="634"/>
      <c r="J432" s="634"/>
      <c r="K432" s="634"/>
      <c r="L432" s="634"/>
      <c r="M432" s="634"/>
      <c r="N432" s="517"/>
      <c r="O432" s="634"/>
      <c r="P432" s="634"/>
      <c r="Q432" s="634"/>
    </row>
    <row r="433" spans="1:17" ht="19.5" thickBot="1">
      <c r="A433" s="4717"/>
      <c r="B433" s="633"/>
      <c r="C433" s="1677">
        <v>50</v>
      </c>
      <c r="D433" s="1263" t="s">
        <v>1326</v>
      </c>
      <c r="E433" s="1676">
        <v>0.2</v>
      </c>
      <c r="F433" s="1630" t="s">
        <v>997</v>
      </c>
      <c r="G433" s="1636">
        <f>(C433*E433)/(C434+E434)</f>
        <v>8.3333333333333339</v>
      </c>
      <c r="H433" s="1675" t="str">
        <f ca="1">_xlfn.FORMULATEXT(G433)</f>
        <v>=(C433*E433)/(C434+E434)</v>
      </c>
      <c r="I433" s="634"/>
      <c r="J433" s="634"/>
      <c r="K433" s="634"/>
      <c r="L433" s="634"/>
      <c r="M433" s="634"/>
      <c r="N433" s="517"/>
      <c r="O433" s="634"/>
      <c r="P433" s="634"/>
      <c r="Q433" s="634"/>
    </row>
    <row r="434" spans="1:17">
      <c r="A434" s="4717"/>
      <c r="B434" s="1681" t="s">
        <v>1331</v>
      </c>
      <c r="C434" s="679">
        <v>1</v>
      </c>
      <c r="D434" s="1638" t="s">
        <v>1289</v>
      </c>
      <c r="E434" s="679">
        <f>E433</f>
        <v>0.2</v>
      </c>
      <c r="F434" s="1674" t="s">
        <v>1330</v>
      </c>
      <c r="G434" s="1673"/>
      <c r="H434" s="1672"/>
      <c r="I434" s="634"/>
      <c r="J434" s="634"/>
      <c r="K434" s="634"/>
      <c r="L434" s="634"/>
      <c r="M434" s="634"/>
      <c r="N434" s="517"/>
      <c r="O434" s="634"/>
      <c r="P434" s="634"/>
      <c r="Q434" s="634"/>
    </row>
    <row r="435" spans="1:17">
      <c r="A435" s="4717"/>
      <c r="B435" s="633"/>
      <c r="D435" s="634"/>
      <c r="E435" s="1362" t="s">
        <v>1325</v>
      </c>
      <c r="F435" s="634"/>
      <c r="G435" s="634"/>
      <c r="H435" s="634"/>
      <c r="I435" s="634"/>
      <c r="J435" s="634"/>
      <c r="K435" s="634"/>
      <c r="L435" s="634"/>
      <c r="M435" s="634"/>
      <c r="N435" s="517"/>
      <c r="O435" s="634"/>
      <c r="P435" s="634"/>
      <c r="Q435" s="634"/>
    </row>
    <row r="436" spans="1:17">
      <c r="A436" s="4717"/>
      <c r="B436" s="633"/>
      <c r="C436" s="1671" t="str">
        <f>ADDRESS(ROW(C434),COLUMN(C434),4)</f>
        <v>C434</v>
      </c>
      <c r="D436" s="634"/>
      <c r="E436" s="1671" t="str">
        <f>ADDRESS(ROW(E434),COLUMN(E434),4)</f>
        <v>E434</v>
      </c>
      <c r="F436" s="634"/>
      <c r="G436" s="634"/>
      <c r="H436" s="634"/>
      <c r="I436" s="634"/>
      <c r="J436" s="634"/>
      <c r="K436" s="634"/>
      <c r="L436" s="634"/>
      <c r="M436" s="634"/>
      <c r="N436" s="517"/>
      <c r="O436" s="634"/>
      <c r="P436" s="634"/>
      <c r="Q436" s="634"/>
    </row>
    <row r="437" spans="1:17">
      <c r="A437" s="4717"/>
      <c r="B437" s="633"/>
      <c r="C437" s="1422"/>
      <c r="D437" s="634"/>
      <c r="E437" s="634"/>
      <c r="F437" s="634"/>
      <c r="G437" s="634"/>
      <c r="H437" s="634"/>
      <c r="I437" s="634"/>
      <c r="J437" s="634"/>
      <c r="K437" s="634"/>
      <c r="L437" s="634"/>
      <c r="M437" s="634"/>
      <c r="N437" s="517"/>
      <c r="O437" s="634"/>
      <c r="P437" s="634"/>
      <c r="Q437" s="634"/>
    </row>
    <row r="438" spans="1:17">
      <c r="A438" s="4717"/>
      <c r="B438" s="633"/>
      <c r="C438" s="6060" t="s">
        <v>1329</v>
      </c>
      <c r="D438" s="6060"/>
      <c r="E438" s="6060"/>
      <c r="F438" s="6060"/>
      <c r="G438" s="6060"/>
      <c r="H438" s="6060"/>
      <c r="I438" s="6060"/>
      <c r="J438" s="6060"/>
      <c r="K438" s="6060"/>
      <c r="L438" s="6060"/>
      <c r="M438" s="6060"/>
      <c r="N438" s="517"/>
      <c r="O438" s="634"/>
      <c r="P438" s="634"/>
      <c r="Q438" s="634"/>
    </row>
    <row r="439" spans="1:17">
      <c r="A439" s="4717"/>
      <c r="B439" s="633"/>
      <c r="C439" s="1422"/>
      <c r="D439" s="1362"/>
      <c r="E439" s="634"/>
      <c r="F439" s="634"/>
      <c r="G439" s="634"/>
      <c r="H439" s="634"/>
      <c r="I439" s="634"/>
      <c r="J439" s="634"/>
      <c r="K439" s="634"/>
      <c r="L439" s="634"/>
      <c r="M439" s="634"/>
      <c r="N439" s="517"/>
      <c r="O439" s="634"/>
      <c r="P439" s="634"/>
      <c r="Q439" s="634"/>
    </row>
    <row r="440" spans="1:17">
      <c r="A440" s="4717"/>
      <c r="B440" s="633"/>
      <c r="C440" s="1671" t="str">
        <f>ADDRESS(ROW(C442),COLUMN(C442),4)</f>
        <v>C442</v>
      </c>
      <c r="D440" s="1362"/>
      <c r="E440" s="1671" t="str">
        <f>ADDRESS(ROW(E442),COLUMN(E442),4)</f>
        <v>E442</v>
      </c>
      <c r="F440" s="634"/>
      <c r="G440" s="634"/>
      <c r="H440" s="634"/>
      <c r="I440" s="634"/>
      <c r="J440" s="634"/>
      <c r="K440" s="634"/>
      <c r="L440" s="634"/>
      <c r="M440" s="1680" t="s">
        <v>1315</v>
      </c>
      <c r="N440" s="517"/>
      <c r="O440" s="634"/>
      <c r="P440" s="634"/>
      <c r="Q440" s="634"/>
    </row>
    <row r="441" spans="1:17">
      <c r="A441" s="4717"/>
      <c r="B441" s="633"/>
      <c r="C441" s="1362" t="s">
        <v>1327</v>
      </c>
      <c r="D441" s="1362"/>
      <c r="E441" s="1679" t="s">
        <v>1325</v>
      </c>
      <c r="F441" s="634"/>
      <c r="G441" s="634"/>
      <c r="H441" s="634"/>
      <c r="I441" s="634"/>
      <c r="J441" s="634"/>
      <c r="K441" s="634"/>
      <c r="L441" s="634"/>
      <c r="M441" s="634"/>
      <c r="N441" s="517"/>
      <c r="O441" s="634"/>
      <c r="P441" s="634"/>
      <c r="Q441" s="634"/>
    </row>
    <row r="442" spans="1:17" ht="19.5" thickBot="1">
      <c r="A442" s="4717"/>
      <c r="B442" s="1678" t="s">
        <v>46</v>
      </c>
      <c r="C442" s="1677">
        <v>50</v>
      </c>
      <c r="D442" s="1263" t="s">
        <v>1326</v>
      </c>
      <c r="E442" s="1676">
        <v>20</v>
      </c>
      <c r="F442" s="1630" t="s">
        <v>997</v>
      </c>
      <c r="G442" s="1636">
        <f>(C442*E442)/(C443+E443)</f>
        <v>8.3333333333333339</v>
      </c>
      <c r="H442" s="1675" t="str">
        <f ca="1">_xlfn.FORMULATEXT(G442)</f>
        <v>=(C442*E442)/(C443+E443)</v>
      </c>
      <c r="I442" s="634"/>
      <c r="J442" s="634"/>
      <c r="K442" s="634"/>
      <c r="L442" s="634"/>
      <c r="M442" s="634"/>
      <c r="N442" s="517"/>
      <c r="O442" s="634"/>
      <c r="P442" s="634"/>
      <c r="Q442" s="634"/>
    </row>
    <row r="443" spans="1:17">
      <c r="A443" s="4717"/>
      <c r="B443" s="633"/>
      <c r="C443" s="679">
        <v>100</v>
      </c>
      <c r="D443" s="1638" t="s">
        <v>1289</v>
      </c>
      <c r="E443" s="679">
        <f>E442</f>
        <v>20</v>
      </c>
      <c r="F443" s="634"/>
      <c r="G443" s="1679" t="s">
        <v>1315</v>
      </c>
      <c r="H443" s="634"/>
      <c r="I443" s="634"/>
      <c r="J443" s="634"/>
      <c r="K443" s="634"/>
      <c r="L443" s="634"/>
      <c r="M443" s="634"/>
      <c r="N443" s="517"/>
      <c r="O443" s="634"/>
      <c r="P443" s="634"/>
      <c r="Q443" s="634"/>
    </row>
    <row r="444" spans="1:17">
      <c r="A444" s="4717"/>
      <c r="B444" s="633"/>
      <c r="C444" s="1422"/>
      <c r="D444" s="634"/>
      <c r="E444" s="634"/>
      <c r="F444" s="634"/>
      <c r="G444" s="634"/>
      <c r="H444" s="634"/>
      <c r="I444" s="634"/>
      <c r="J444" s="634"/>
      <c r="K444" s="634"/>
      <c r="L444" s="634"/>
      <c r="M444" s="634"/>
      <c r="N444" s="517"/>
      <c r="O444" s="634"/>
      <c r="P444" s="634"/>
      <c r="Q444" s="634"/>
    </row>
    <row r="445" spans="1:17">
      <c r="A445" s="4717"/>
      <c r="B445" s="633"/>
      <c r="C445" s="1422"/>
      <c r="D445" s="634"/>
      <c r="E445" s="634"/>
      <c r="F445" s="634"/>
      <c r="G445" s="634"/>
      <c r="H445" s="634"/>
      <c r="I445" s="634"/>
      <c r="J445" s="634"/>
      <c r="K445" s="634"/>
      <c r="L445" s="634"/>
      <c r="M445" s="634"/>
      <c r="N445" s="517"/>
      <c r="O445" s="634"/>
      <c r="P445" s="634"/>
      <c r="Q445" s="634"/>
    </row>
    <row r="446" spans="1:17">
      <c r="A446" s="4717"/>
      <c r="B446" s="633"/>
      <c r="C446" s="6061" t="s">
        <v>1328</v>
      </c>
      <c r="D446" s="6062"/>
      <c r="E446" s="6062"/>
      <c r="F446" s="6062"/>
      <c r="G446" s="6062"/>
      <c r="H446" s="6062"/>
      <c r="I446" s="6062"/>
      <c r="J446" s="6062"/>
      <c r="K446" s="6062"/>
      <c r="L446" s="6062"/>
      <c r="M446" s="6063"/>
      <c r="N446" s="517"/>
      <c r="O446" s="634"/>
      <c r="P446" s="634"/>
      <c r="Q446" s="634"/>
    </row>
    <row r="447" spans="1:17">
      <c r="A447" s="4717"/>
      <c r="B447" s="633"/>
      <c r="D447" s="634"/>
      <c r="E447" s="634"/>
      <c r="F447" s="634"/>
      <c r="G447" s="634"/>
      <c r="H447" s="634"/>
      <c r="I447" s="634"/>
      <c r="J447" s="634"/>
      <c r="K447" s="634"/>
      <c r="L447" s="634"/>
      <c r="M447" s="634"/>
      <c r="N447" s="517"/>
      <c r="O447" s="634"/>
      <c r="P447" s="634"/>
      <c r="Q447" s="634"/>
    </row>
    <row r="448" spans="1:17">
      <c r="A448" s="4717"/>
      <c r="B448" s="633"/>
      <c r="C448" s="1671" t="str">
        <f>ADDRESS(ROW(C450),COLUMN(C450),4)</f>
        <v>C450</v>
      </c>
      <c r="D448" s="634"/>
      <c r="E448" s="1671" t="str">
        <f>ADDRESS(ROW(E450),COLUMN(E450),4)</f>
        <v>E450</v>
      </c>
      <c r="F448" s="634"/>
      <c r="G448" s="634"/>
      <c r="H448" s="634"/>
      <c r="I448" s="634"/>
      <c r="J448" s="634"/>
      <c r="K448" s="634"/>
      <c r="L448" s="634"/>
      <c r="M448" s="1680" t="s">
        <v>1315</v>
      </c>
      <c r="N448" s="517"/>
      <c r="O448" s="634"/>
      <c r="P448" s="634"/>
      <c r="Q448" s="634"/>
    </row>
    <row r="449" spans="1:17">
      <c r="A449" s="4717"/>
      <c r="B449" s="633"/>
      <c r="C449" s="1362" t="s">
        <v>1327</v>
      </c>
      <c r="D449" s="634"/>
      <c r="E449" s="634"/>
      <c r="F449" s="634"/>
      <c r="G449" s="1679" t="s">
        <v>1315</v>
      </c>
      <c r="H449" s="634"/>
      <c r="I449" s="634"/>
      <c r="J449" s="634"/>
      <c r="K449" s="634"/>
      <c r="L449" s="634"/>
      <c r="M449" s="634"/>
      <c r="N449" s="517"/>
      <c r="O449" s="634"/>
      <c r="P449" s="634"/>
      <c r="Q449" s="634"/>
    </row>
    <row r="450" spans="1:17" ht="19.5" thickBot="1">
      <c r="A450" s="4717"/>
      <c r="B450" s="1678" t="s">
        <v>46</v>
      </c>
      <c r="C450" s="1677">
        <v>50</v>
      </c>
      <c r="D450" s="1263" t="s">
        <v>1326</v>
      </c>
      <c r="E450" s="1676">
        <v>20</v>
      </c>
      <c r="F450" s="1630" t="s">
        <v>997</v>
      </c>
      <c r="G450" s="1636">
        <f>(C450*E450)/(E450+C451)</f>
        <v>8.3333333333333339</v>
      </c>
      <c r="H450" s="1675" t="str">
        <f ca="1">_xlfn.FORMULATEXT(G450)</f>
        <v>=(C450*E450)/(E450+C451)</v>
      </c>
      <c r="I450" s="634"/>
      <c r="J450" s="634"/>
      <c r="K450" s="634"/>
      <c r="L450" s="634"/>
      <c r="M450" s="634"/>
      <c r="N450" s="517"/>
      <c r="O450" s="634"/>
      <c r="P450" s="634"/>
      <c r="Q450" s="634"/>
    </row>
    <row r="451" spans="1:17">
      <c r="A451" s="4717"/>
      <c r="B451" s="633"/>
      <c r="C451" s="6077">
        <v>100</v>
      </c>
      <c r="D451" s="6077"/>
      <c r="E451" s="6077"/>
      <c r="F451" s="1674"/>
      <c r="G451" s="1673"/>
      <c r="H451" s="1672"/>
      <c r="I451" s="634"/>
      <c r="J451" s="634"/>
      <c r="K451" s="634"/>
      <c r="L451" s="634"/>
      <c r="M451" s="634"/>
      <c r="N451" s="517"/>
      <c r="O451" s="634"/>
      <c r="P451" s="634"/>
      <c r="Q451" s="634"/>
    </row>
    <row r="452" spans="1:17">
      <c r="A452" s="4717"/>
      <c r="B452" s="633"/>
      <c r="D452" s="1362" t="s">
        <v>1325</v>
      </c>
      <c r="E452" s="634"/>
      <c r="F452" s="634"/>
      <c r="G452" s="634"/>
      <c r="H452" s="634"/>
      <c r="I452" s="634"/>
      <c r="J452" s="634"/>
      <c r="K452" s="634"/>
      <c r="L452" s="634"/>
      <c r="M452" s="634"/>
      <c r="N452" s="517"/>
      <c r="O452" s="634"/>
      <c r="P452" s="634"/>
      <c r="Q452" s="634"/>
    </row>
    <row r="453" spans="1:17">
      <c r="A453" s="4717"/>
      <c r="B453" s="633"/>
      <c r="C453" s="1422"/>
      <c r="D453" s="1671" t="str">
        <f>ADDRESS(ROW(C451),COLUMN(C451),4)</f>
        <v>C451</v>
      </c>
      <c r="E453" s="634"/>
      <c r="F453" s="634"/>
      <c r="G453" s="634"/>
      <c r="H453" s="634"/>
      <c r="I453" s="634"/>
      <c r="J453" s="634"/>
      <c r="K453" s="634"/>
      <c r="L453" s="634"/>
      <c r="M453" s="634"/>
      <c r="N453" s="517"/>
      <c r="O453" s="634"/>
      <c r="P453" s="634"/>
      <c r="Q453" s="634"/>
    </row>
    <row r="454" spans="1:17">
      <c r="A454" s="4717"/>
      <c r="B454" s="633"/>
      <c r="C454" s="1422"/>
      <c r="D454" s="1670"/>
      <c r="E454" s="634"/>
      <c r="F454" s="634"/>
      <c r="G454" s="634"/>
      <c r="H454" s="634"/>
      <c r="I454" s="634"/>
      <c r="J454" s="634"/>
      <c r="K454" s="634"/>
      <c r="L454" s="634"/>
      <c r="M454" s="634"/>
      <c r="N454" s="517"/>
      <c r="O454" s="634"/>
      <c r="P454" s="634"/>
      <c r="Q454" s="634"/>
    </row>
    <row r="455" spans="1:17">
      <c r="A455" s="4717"/>
      <c r="B455" s="633"/>
      <c r="C455" s="1422"/>
      <c r="D455" s="1670"/>
      <c r="E455" s="634"/>
      <c r="F455" s="634"/>
      <c r="G455" s="634"/>
      <c r="H455" s="634"/>
      <c r="I455" s="634"/>
      <c r="J455" s="634"/>
      <c r="K455" s="634"/>
      <c r="L455" s="634"/>
      <c r="M455" s="634"/>
      <c r="N455" s="517"/>
      <c r="O455" s="634"/>
      <c r="P455" s="634"/>
      <c r="Q455" s="634"/>
    </row>
    <row r="456" spans="1:17">
      <c r="A456" s="4717"/>
      <c r="B456" s="6078" t="s">
        <v>998</v>
      </c>
      <c r="C456" s="6079"/>
      <c r="D456" s="6079"/>
      <c r="E456" s="6079"/>
      <c r="F456" s="6079"/>
      <c r="G456" s="6079"/>
      <c r="H456" s="6079"/>
      <c r="I456" s="6079"/>
      <c r="J456" s="6079"/>
      <c r="K456" s="6079"/>
      <c r="L456" s="6079"/>
      <c r="M456" s="6079"/>
      <c r="N456" s="6080"/>
      <c r="O456" s="634"/>
      <c r="P456" s="634"/>
      <c r="Q456" s="634"/>
    </row>
    <row r="457" spans="1:17">
      <c r="A457" s="4717"/>
      <c r="B457" s="1580" t="s">
        <v>1324</v>
      </c>
      <c r="C457" s="1267"/>
      <c r="D457" s="1267"/>
      <c r="E457" s="1267"/>
      <c r="F457" s="1267"/>
      <c r="G457" s="1267"/>
      <c r="H457" s="634"/>
      <c r="I457" s="634"/>
      <c r="J457" s="634"/>
      <c r="K457" s="634"/>
      <c r="L457" s="634"/>
      <c r="M457" s="634"/>
      <c r="N457" s="517"/>
      <c r="O457" s="634"/>
      <c r="P457" s="634"/>
      <c r="Q457" s="634"/>
    </row>
    <row r="458" spans="1:17">
      <c r="A458" s="4717"/>
      <c r="B458" s="1580" t="s">
        <v>1323</v>
      </c>
      <c r="C458" s="1267"/>
      <c r="D458" s="1267"/>
      <c r="E458" s="1267"/>
      <c r="F458" s="1267"/>
      <c r="G458" s="1267"/>
      <c r="H458" s="634"/>
      <c r="I458" s="634"/>
      <c r="J458" s="634"/>
      <c r="K458" s="634"/>
      <c r="L458" s="634"/>
      <c r="M458" s="634"/>
      <c r="N458" s="517"/>
      <c r="O458" s="634"/>
      <c r="P458" s="634"/>
      <c r="Q458" s="634"/>
    </row>
    <row r="459" spans="1:17">
      <c r="A459" s="4717"/>
      <c r="B459" s="1577" t="s">
        <v>1263</v>
      </c>
      <c r="C459" s="1576"/>
      <c r="D459" s="1576"/>
      <c r="E459" s="1576"/>
      <c r="F459" s="1576"/>
      <c r="G459" s="1576"/>
      <c r="H459" s="1012"/>
      <c r="I459" s="1012"/>
      <c r="J459" s="1012"/>
      <c r="K459" s="1012"/>
      <c r="L459" s="1012"/>
      <c r="M459" s="1012"/>
      <c r="N459" s="1194"/>
      <c r="O459" s="634"/>
      <c r="P459" s="634"/>
      <c r="Q459" s="634"/>
    </row>
    <row r="460" spans="1:17">
      <c r="A460" s="4717"/>
      <c r="B460" s="1280" t="s">
        <v>1186</v>
      </c>
      <c r="C460" s="634"/>
      <c r="D460" s="634"/>
      <c r="E460" s="634"/>
      <c r="F460" s="634"/>
      <c r="G460" s="680"/>
      <c r="H460" s="634"/>
      <c r="I460" s="634"/>
      <c r="J460" s="634"/>
      <c r="K460" s="634"/>
      <c r="L460" s="634"/>
      <c r="M460" s="634"/>
      <c r="N460" s="517"/>
      <c r="O460" s="634"/>
      <c r="P460" s="634"/>
      <c r="Q460" s="634"/>
    </row>
    <row r="461" spans="1:17">
      <c r="A461" s="4717"/>
      <c r="B461" s="1574" t="s">
        <v>365</v>
      </c>
      <c r="C461" s="6086" t="s">
        <v>1080</v>
      </c>
      <c r="D461" s="6086"/>
      <c r="E461" s="6086"/>
      <c r="F461" s="6086"/>
      <c r="G461" s="1350"/>
      <c r="H461" s="634"/>
      <c r="I461" s="634"/>
      <c r="J461" s="634"/>
      <c r="K461" s="634"/>
      <c r="L461" s="634"/>
      <c r="M461" s="634"/>
      <c r="N461" s="517"/>
      <c r="O461" s="634"/>
      <c r="P461" s="634"/>
      <c r="Q461" s="634"/>
    </row>
    <row r="462" spans="1:17" ht="16.5" thickBot="1">
      <c r="A462" s="4717"/>
      <c r="B462" s="1669" t="s">
        <v>1002</v>
      </c>
      <c r="C462" s="1668"/>
      <c r="D462" s="1668"/>
      <c r="E462" s="1666"/>
      <c r="F462" s="1666"/>
      <c r="G462" s="1667"/>
      <c r="H462" s="1666"/>
      <c r="I462" s="1666"/>
      <c r="J462" s="1666"/>
      <c r="K462" s="1666"/>
      <c r="L462" s="1666"/>
      <c r="M462" s="1666"/>
      <c r="N462" s="1665"/>
      <c r="O462" s="634"/>
      <c r="P462" s="634"/>
      <c r="Q462" s="634"/>
    </row>
    <row r="463" spans="1:17">
      <c r="B463" s="634"/>
      <c r="C463" s="634"/>
      <c r="D463" s="634"/>
      <c r="E463" s="634"/>
      <c r="F463" s="634"/>
      <c r="G463" s="634"/>
      <c r="H463" s="634"/>
      <c r="I463" s="634"/>
      <c r="J463" s="634"/>
      <c r="K463" s="634"/>
      <c r="L463" s="634"/>
      <c r="M463" s="634"/>
      <c r="N463" s="634"/>
      <c r="O463" s="634"/>
      <c r="P463" s="634"/>
      <c r="Q463" s="634"/>
    </row>
    <row r="464" spans="1:17" ht="16.5" thickBot="1">
      <c r="B464" s="634"/>
      <c r="C464" s="634"/>
      <c r="D464" s="634"/>
      <c r="E464" s="634"/>
      <c r="F464" s="634"/>
      <c r="G464" s="634"/>
      <c r="H464" s="634"/>
      <c r="I464" s="634"/>
      <c r="J464" s="634"/>
      <c r="K464" s="634"/>
      <c r="L464" s="634"/>
      <c r="M464" s="634"/>
      <c r="N464" s="634"/>
      <c r="O464" s="634"/>
      <c r="P464" s="634"/>
      <c r="Q464" s="634"/>
    </row>
    <row r="465" spans="2:17" ht="21">
      <c r="B465" s="1192" t="s">
        <v>70</v>
      </c>
      <c r="C465" s="5892" t="s">
        <v>1322</v>
      </c>
      <c r="D465" s="5893"/>
      <c r="E465" s="5893"/>
      <c r="F465" s="5893"/>
      <c r="G465" s="5893"/>
      <c r="H465" s="5893"/>
      <c r="I465" s="5894"/>
      <c r="J465" s="634"/>
      <c r="K465" s="634"/>
      <c r="L465" s="634"/>
      <c r="M465" s="634"/>
      <c r="N465" s="634"/>
      <c r="O465" s="634"/>
      <c r="P465" s="634"/>
      <c r="Q465" s="634"/>
    </row>
    <row r="466" spans="2:17" ht="15.75" customHeight="1">
      <c r="B466" s="4717" t="str">
        <f>C465</f>
        <v>Calcul de la quantité d'eau</v>
      </c>
      <c r="C466" s="1483" t="str">
        <f>ADDRESS(ROW(),COLUMN(),4)</f>
        <v>C466</v>
      </c>
      <c r="D466" s="1484"/>
      <c r="E466" s="1590"/>
      <c r="F466" s="1590"/>
      <c r="G466" s="1012"/>
      <c r="H466" s="1589" t="str">
        <f ca="1">MID(CELL("filename",C466),SEARCH("[",CELL("filename",C466))+1,SEARCH("]",CELL("filename",C466))-SEARCH("[",CELL("filename",C466))-1)</f>
        <v>ff-22-formats-formules-pourcentages.xlsx</v>
      </c>
      <c r="I466" s="1226">
        <v>3</v>
      </c>
      <c r="J466" s="634"/>
      <c r="K466" s="634"/>
      <c r="L466" s="634"/>
      <c r="M466" s="634"/>
      <c r="N466" s="634"/>
      <c r="O466" s="634"/>
      <c r="P466" s="634"/>
      <c r="Q466" s="634"/>
    </row>
    <row r="467" spans="2:17">
      <c r="B467" s="4717"/>
      <c r="C467" s="633"/>
      <c r="D467" s="634"/>
      <c r="E467" s="634"/>
      <c r="F467" s="634"/>
      <c r="G467" s="634"/>
      <c r="H467" s="634"/>
      <c r="I467" s="517"/>
      <c r="J467" s="634"/>
      <c r="K467" s="634"/>
      <c r="L467" s="634"/>
      <c r="M467" s="634"/>
      <c r="N467" s="634"/>
      <c r="O467" s="634"/>
      <c r="P467" s="634"/>
      <c r="Q467" s="634"/>
    </row>
    <row r="468" spans="2:17" ht="18.75">
      <c r="B468" s="4717"/>
      <c r="C468" s="633"/>
      <c r="D468" s="1623" t="s">
        <v>1322</v>
      </c>
      <c r="E468" s="634"/>
      <c r="F468" s="634"/>
      <c r="G468" s="634"/>
      <c r="H468" s="634"/>
      <c r="I468" s="517"/>
      <c r="J468" s="634"/>
      <c r="K468" s="634"/>
      <c r="L468" s="634"/>
      <c r="M468" s="634"/>
      <c r="N468" s="634"/>
      <c r="O468" s="634"/>
      <c r="P468" s="634"/>
      <c r="Q468" s="634"/>
    </row>
    <row r="469" spans="2:17">
      <c r="B469" s="4717"/>
      <c r="C469" s="633"/>
      <c r="D469" s="634"/>
      <c r="E469" s="634"/>
      <c r="F469" s="634"/>
      <c r="G469" s="634"/>
      <c r="H469" s="634"/>
      <c r="I469" s="517"/>
      <c r="J469" s="634"/>
      <c r="K469" s="634"/>
      <c r="L469" s="634"/>
      <c r="M469" s="634"/>
      <c r="N469" s="634"/>
      <c r="O469" s="634"/>
      <c r="P469" s="634"/>
      <c r="Q469" s="634"/>
    </row>
    <row r="470" spans="2:17" ht="18.75">
      <c r="B470" s="4717"/>
      <c r="C470" s="633"/>
      <c r="D470" s="1587" t="s">
        <v>994</v>
      </c>
      <c r="E470" s="892"/>
      <c r="F470" s="1587" t="s">
        <v>996</v>
      </c>
      <c r="G470" s="1625"/>
      <c r="H470" s="1583" t="s">
        <v>1318</v>
      </c>
      <c r="I470" s="517"/>
      <c r="J470" s="634"/>
      <c r="K470" s="634"/>
      <c r="L470" s="634"/>
      <c r="M470" s="634"/>
      <c r="N470" s="634"/>
      <c r="O470" s="634"/>
      <c r="P470" s="634"/>
      <c r="Q470" s="634"/>
    </row>
    <row r="471" spans="2:17" ht="21">
      <c r="B471" s="4717"/>
      <c r="C471" s="633"/>
      <c r="D471" s="1664">
        <v>10</v>
      </c>
      <c r="E471" s="1663" t="s">
        <v>1321</v>
      </c>
      <c r="F471" s="1662">
        <v>4</v>
      </c>
      <c r="G471" s="1606" t="s">
        <v>997</v>
      </c>
      <c r="H471" s="1661">
        <f>D471-F471</f>
        <v>6</v>
      </c>
      <c r="I471" s="1572" t="str">
        <f ca="1">_xlfn.FORMULATEXT(H471)</f>
        <v>=D471-F471</v>
      </c>
      <c r="J471" s="634"/>
      <c r="K471" s="634"/>
      <c r="L471" s="634"/>
      <c r="M471" s="634"/>
      <c r="N471" s="634"/>
      <c r="O471" s="634"/>
      <c r="P471" s="634"/>
      <c r="Q471" s="634"/>
    </row>
    <row r="472" spans="2:17">
      <c r="B472" s="4717"/>
      <c r="C472" s="633"/>
      <c r="D472" s="1253" t="str">
        <f>ADDRESS(ROW(D471),COLUMN(D471),4)</f>
        <v>D471</v>
      </c>
      <c r="F472" s="1253" t="str">
        <f>ADDRESS(ROW(F471),COLUMN(F471),4)</f>
        <v>F471</v>
      </c>
      <c r="G472" s="634"/>
      <c r="H472" s="1253" t="str">
        <f>ADDRESS(ROW(H471),COLUMN(H471),4)</f>
        <v>H471</v>
      </c>
      <c r="I472" s="517"/>
      <c r="J472" s="634"/>
      <c r="K472" s="634"/>
      <c r="L472" s="634"/>
      <c r="M472" s="634"/>
      <c r="N472" s="634"/>
      <c r="O472" s="634"/>
      <c r="P472" s="634"/>
      <c r="Q472" s="634"/>
    </row>
    <row r="473" spans="2:17" ht="18.75">
      <c r="B473" s="4717"/>
      <c r="C473" s="633"/>
      <c r="D473" s="634"/>
      <c r="E473" s="634"/>
      <c r="F473" s="634"/>
      <c r="G473" s="1625"/>
      <c r="I473" s="517"/>
      <c r="J473" s="634"/>
      <c r="K473" s="634"/>
      <c r="L473" s="634"/>
      <c r="M473" s="634"/>
      <c r="N473" s="634"/>
      <c r="O473" s="634"/>
      <c r="P473" s="634"/>
      <c r="Q473" s="634"/>
    </row>
    <row r="474" spans="2:17">
      <c r="B474" s="4717"/>
      <c r="C474" s="1660" t="s">
        <v>1320</v>
      </c>
      <c r="D474" s="1659"/>
      <c r="E474" s="1659"/>
      <c r="F474" s="1659"/>
      <c r="G474" s="1659"/>
      <c r="H474" s="1659"/>
      <c r="I474" s="1658"/>
      <c r="J474" s="634"/>
      <c r="K474" s="634"/>
      <c r="L474" s="634"/>
      <c r="M474" s="634"/>
      <c r="N474" s="634"/>
      <c r="O474" s="634"/>
      <c r="P474" s="634"/>
      <c r="Q474" s="634"/>
    </row>
    <row r="475" spans="2:17">
      <c r="B475" s="4717"/>
      <c r="C475" s="633"/>
      <c r="D475" s="634"/>
      <c r="E475" s="634"/>
      <c r="F475" s="634"/>
      <c r="G475" s="634"/>
      <c r="H475" s="634"/>
      <c r="I475" s="517"/>
      <c r="J475" s="634"/>
      <c r="K475" s="634"/>
      <c r="L475" s="634"/>
      <c r="M475" s="634"/>
      <c r="N475" s="634"/>
      <c r="O475" s="634"/>
      <c r="P475" s="634"/>
      <c r="Q475" s="634"/>
    </row>
    <row r="476" spans="2:17">
      <c r="B476" s="4717"/>
      <c r="C476" s="633"/>
      <c r="D476" s="634"/>
      <c r="F476" s="1253" t="str">
        <f>ADDRESS(ROW(F477),COLUMN(F477),4)</f>
        <v>F477</v>
      </c>
      <c r="G476" s="634"/>
      <c r="H476" s="634"/>
      <c r="I476" s="517"/>
      <c r="J476" s="634"/>
      <c r="K476" s="634"/>
      <c r="L476" s="634"/>
      <c r="M476" s="634"/>
      <c r="N476" s="634"/>
      <c r="O476" s="634"/>
      <c r="P476" s="634"/>
      <c r="Q476" s="634"/>
    </row>
    <row r="477" spans="2:17">
      <c r="B477" s="4717"/>
      <c r="C477" s="1657"/>
      <c r="D477" s="1656"/>
      <c r="E477" s="1655" t="s">
        <v>1319</v>
      </c>
      <c r="F477" s="1654">
        <f>(H471*100)/D471</f>
        <v>60</v>
      </c>
      <c r="G477" s="680" t="str">
        <f ca="1">_xlfn.FORMULATEXT(F477)</f>
        <v>=(H471*100)/D471</v>
      </c>
      <c r="H477" s="634"/>
      <c r="I477" s="517"/>
      <c r="J477" s="634"/>
      <c r="K477" s="634"/>
      <c r="L477" s="634"/>
      <c r="M477" s="634"/>
      <c r="N477" s="634"/>
      <c r="O477" s="634"/>
      <c r="P477" s="634"/>
      <c r="Q477" s="634"/>
    </row>
    <row r="478" spans="2:17">
      <c r="B478" s="4717"/>
      <c r="C478" s="1653"/>
      <c r="D478" s="634"/>
      <c r="E478" s="634"/>
      <c r="F478" s="634"/>
      <c r="G478" s="634"/>
      <c r="H478" s="634"/>
      <c r="I478" s="517"/>
      <c r="J478" s="634"/>
      <c r="K478" s="634"/>
      <c r="L478" s="634"/>
      <c r="M478" s="634"/>
      <c r="N478" s="634"/>
      <c r="O478" s="634"/>
      <c r="P478" s="634"/>
      <c r="Q478" s="634"/>
    </row>
    <row r="479" spans="2:17">
      <c r="B479" s="4717"/>
      <c r="C479" s="1652"/>
      <c r="D479" s="634"/>
      <c r="E479" s="1583" t="s">
        <v>1318</v>
      </c>
      <c r="F479" s="1651">
        <f>(D471*F477)/100</f>
        <v>6</v>
      </c>
      <c r="G479" s="680" t="str">
        <f ca="1">_xlfn.FORMULATEXT(F479)</f>
        <v>=(D471*F477)/100</v>
      </c>
      <c r="H479" s="634"/>
      <c r="I479" s="517"/>
      <c r="J479" s="634"/>
      <c r="K479" s="634"/>
      <c r="L479" s="634"/>
      <c r="M479" s="634"/>
      <c r="N479" s="634"/>
      <c r="O479" s="634"/>
      <c r="P479" s="634"/>
      <c r="Q479" s="634"/>
    </row>
    <row r="480" spans="2:17">
      <c r="B480" s="4717"/>
      <c r="C480" s="1351"/>
      <c r="D480" s="1012"/>
      <c r="E480" s="1012"/>
      <c r="F480" s="1012"/>
      <c r="G480" s="1012"/>
      <c r="H480" s="1012"/>
      <c r="I480" s="1194"/>
      <c r="J480" s="634"/>
      <c r="K480" s="634"/>
      <c r="L480" s="634"/>
      <c r="M480" s="634"/>
      <c r="N480" s="634"/>
      <c r="O480" s="634"/>
      <c r="P480" s="634"/>
      <c r="Q480" s="634"/>
    </row>
    <row r="481" spans="2:17">
      <c r="B481" s="4717"/>
      <c r="C481" s="1650" t="s">
        <v>684</v>
      </c>
      <c r="D481" s="1649"/>
      <c r="E481" s="1649"/>
      <c r="F481" s="1649"/>
      <c r="G481" s="1649"/>
      <c r="H481" s="1649"/>
      <c r="I481" s="1648"/>
      <c r="J481" s="634"/>
      <c r="K481" s="634"/>
      <c r="L481" s="634"/>
      <c r="M481" s="634"/>
      <c r="N481" s="634"/>
      <c r="O481" s="634"/>
      <c r="P481" s="634"/>
      <c r="Q481" s="634"/>
    </row>
    <row r="482" spans="2:17" ht="16.5" thickBot="1">
      <c r="B482" s="4717"/>
      <c r="C482" s="633"/>
      <c r="D482" s="1647"/>
      <c r="E482" s="1644" t="s">
        <v>1317</v>
      </c>
      <c r="F482" s="1646"/>
      <c r="G482" s="634"/>
      <c r="H482" s="634"/>
      <c r="I482" s="517"/>
      <c r="J482" s="634"/>
      <c r="K482" s="634"/>
      <c r="L482" s="634"/>
      <c r="M482" s="634"/>
      <c r="N482" s="634"/>
      <c r="O482" s="634"/>
      <c r="P482" s="634"/>
      <c r="Q482" s="634"/>
    </row>
    <row r="483" spans="2:17">
      <c r="B483" s="4717"/>
      <c r="C483" s="633"/>
      <c r="D483" s="634"/>
      <c r="E483" s="6059" t="s">
        <v>994</v>
      </c>
      <c r="F483" s="6059"/>
      <c r="G483" s="634"/>
      <c r="H483" s="634"/>
      <c r="I483" s="517"/>
      <c r="J483" s="634"/>
      <c r="K483" s="634"/>
      <c r="L483" s="634"/>
      <c r="M483" s="634"/>
      <c r="N483" s="634"/>
      <c r="O483" s="634"/>
      <c r="P483" s="634"/>
      <c r="Q483" s="634"/>
    </row>
    <row r="484" spans="2:17">
      <c r="B484" s="4717"/>
      <c r="C484" s="633"/>
      <c r="D484" s="634"/>
      <c r="E484" s="634"/>
      <c r="F484" s="634"/>
      <c r="G484" s="634"/>
      <c r="H484" s="634"/>
      <c r="I484" s="517"/>
      <c r="J484" s="634"/>
      <c r="K484" s="634"/>
      <c r="L484" s="634"/>
      <c r="M484" s="634"/>
      <c r="N484" s="634"/>
      <c r="O484" s="634"/>
      <c r="P484" s="634"/>
      <c r="Q484" s="634"/>
    </row>
    <row r="485" spans="2:17" ht="16.5" thickBot="1">
      <c r="B485" s="4717"/>
      <c r="C485" s="633"/>
      <c r="D485" s="1645"/>
      <c r="E485" s="1644" t="s">
        <v>1316</v>
      </c>
      <c r="F485" s="1643"/>
      <c r="G485" s="580"/>
      <c r="H485" s="634"/>
      <c r="I485" s="517"/>
      <c r="J485" s="634"/>
      <c r="K485" s="634"/>
      <c r="L485" s="634"/>
      <c r="M485" s="634"/>
      <c r="N485" s="634"/>
      <c r="O485" s="634"/>
      <c r="P485" s="634"/>
      <c r="Q485" s="634"/>
    </row>
    <row r="486" spans="2:17">
      <c r="B486" s="4717"/>
      <c r="C486" s="633"/>
      <c r="D486" s="634"/>
      <c r="E486" s="634"/>
      <c r="F486" s="1190">
        <v>100</v>
      </c>
      <c r="G486" s="634"/>
      <c r="H486" s="634"/>
      <c r="I486" s="517"/>
      <c r="J486" s="634"/>
      <c r="K486" s="634"/>
      <c r="L486" s="634"/>
      <c r="M486" s="634"/>
      <c r="N486" s="634"/>
      <c r="O486" s="634"/>
      <c r="P486" s="634"/>
      <c r="Q486" s="634"/>
    </row>
    <row r="487" spans="2:17">
      <c r="B487" s="4717"/>
      <c r="C487" s="633"/>
      <c r="D487" s="634"/>
      <c r="E487" s="634"/>
      <c r="F487" s="634"/>
      <c r="G487" s="634"/>
      <c r="H487" s="634"/>
      <c r="I487" s="517"/>
      <c r="J487" s="634"/>
      <c r="K487" s="634"/>
      <c r="L487" s="634"/>
      <c r="M487" s="634"/>
      <c r="N487" s="634"/>
      <c r="O487" s="634"/>
      <c r="P487" s="634"/>
      <c r="Q487" s="634"/>
    </row>
    <row r="488" spans="2:17">
      <c r="B488" s="4717"/>
      <c r="C488" s="1642" t="s">
        <v>1048</v>
      </c>
      <c r="D488" s="1641"/>
      <c r="E488" s="1641"/>
      <c r="F488" s="1641"/>
      <c r="G488" s="1641"/>
      <c r="H488" s="1641"/>
      <c r="I488" s="1640"/>
      <c r="J488" s="634"/>
      <c r="K488" s="634"/>
      <c r="L488" s="634"/>
      <c r="M488" s="634"/>
      <c r="N488" s="634"/>
      <c r="O488" s="634"/>
      <c r="P488" s="634"/>
      <c r="Q488" s="634"/>
    </row>
    <row r="489" spans="2:17">
      <c r="B489" s="4717"/>
      <c r="C489" s="1579" t="s">
        <v>1264</v>
      </c>
      <c r="D489" s="1267"/>
      <c r="E489" s="1267"/>
      <c r="F489" s="1267"/>
      <c r="G489" s="1267"/>
      <c r="H489" s="1267"/>
      <c r="I489" s="517"/>
      <c r="J489" s="634"/>
      <c r="K489" s="634"/>
      <c r="L489" s="634"/>
      <c r="M489" s="634"/>
      <c r="N489" s="634"/>
      <c r="O489" s="634"/>
      <c r="P489" s="634"/>
      <c r="Q489" s="634"/>
    </row>
    <row r="490" spans="2:17">
      <c r="B490" s="4717"/>
      <c r="C490" s="1577" t="s">
        <v>1263</v>
      </c>
      <c r="D490" s="1576"/>
      <c r="E490" s="1576"/>
      <c r="F490" s="1576"/>
      <c r="G490" s="1576"/>
      <c r="H490" s="1576"/>
      <c r="I490" s="1194"/>
      <c r="J490" s="634"/>
      <c r="K490" s="634"/>
      <c r="L490" s="634"/>
      <c r="M490" s="634"/>
      <c r="N490" s="634"/>
      <c r="O490" s="634"/>
      <c r="P490" s="634"/>
      <c r="Q490" s="634"/>
    </row>
    <row r="491" spans="2:17">
      <c r="B491" s="4717"/>
      <c r="C491" s="1280" t="s">
        <v>1186</v>
      </c>
      <c r="D491" s="634"/>
      <c r="E491" s="634"/>
      <c r="F491" s="634"/>
      <c r="G491" s="634"/>
      <c r="H491" s="680"/>
      <c r="I491" s="517"/>
      <c r="J491" s="634"/>
      <c r="K491" s="634"/>
      <c r="L491" s="634"/>
      <c r="M491" s="634"/>
      <c r="N491" s="634"/>
      <c r="O491" s="634"/>
      <c r="P491" s="634"/>
      <c r="Q491" s="634"/>
    </row>
    <row r="492" spans="2:17">
      <c r="B492" s="4717"/>
      <c r="C492" s="1574" t="s">
        <v>365</v>
      </c>
      <c r="D492" s="1573" t="s">
        <v>1080</v>
      </c>
      <c r="E492" s="1573"/>
      <c r="F492" s="1573"/>
      <c r="G492" s="634"/>
      <c r="H492" s="680"/>
      <c r="I492" s="517"/>
      <c r="J492" s="634"/>
      <c r="K492" s="634"/>
      <c r="L492" s="634"/>
      <c r="M492" s="634"/>
      <c r="N492" s="634"/>
      <c r="O492" s="634"/>
      <c r="P492" s="634"/>
      <c r="Q492" s="634"/>
    </row>
    <row r="493" spans="2:17" ht="16.5" thickBot="1">
      <c r="B493" s="4717"/>
      <c r="C493" s="1571" t="s">
        <v>1002</v>
      </c>
      <c r="D493" s="1373"/>
      <c r="E493" s="1373"/>
      <c r="F493" s="580"/>
      <c r="G493" s="580"/>
      <c r="H493" s="1277"/>
      <c r="I493" s="581"/>
      <c r="J493" s="634"/>
      <c r="K493" s="634"/>
      <c r="L493" s="634"/>
      <c r="M493" s="634"/>
      <c r="N493" s="634"/>
      <c r="O493" s="634"/>
      <c r="P493" s="634"/>
      <c r="Q493" s="634"/>
    </row>
    <row r="494" spans="2:17">
      <c r="B494" s="634"/>
      <c r="C494" s="634"/>
      <c r="D494" s="634"/>
      <c r="E494" s="634"/>
      <c r="F494" s="634"/>
      <c r="G494" s="634"/>
      <c r="H494" s="634"/>
      <c r="I494" s="634"/>
      <c r="J494" s="634"/>
      <c r="K494" s="634"/>
      <c r="L494" s="634"/>
      <c r="M494" s="634"/>
      <c r="N494" s="634"/>
      <c r="O494" s="634"/>
      <c r="P494" s="634"/>
      <c r="Q494" s="634"/>
    </row>
    <row r="495" spans="2:17">
      <c r="B495" s="634"/>
      <c r="C495" s="634"/>
      <c r="D495" s="634"/>
      <c r="E495" s="634"/>
      <c r="F495" s="634"/>
      <c r="G495" s="634"/>
      <c r="H495" s="634"/>
      <c r="I495" s="634"/>
      <c r="J495" s="634"/>
      <c r="K495" s="634"/>
      <c r="L495" s="634"/>
      <c r="M495" s="634"/>
      <c r="N495" s="634"/>
      <c r="O495" s="634"/>
      <c r="P495" s="634"/>
      <c r="Q495" s="634"/>
    </row>
    <row r="496" spans="2:17" ht="18">
      <c r="B496" s="634"/>
      <c r="C496" s="1443" t="s">
        <v>1109</v>
      </c>
      <c r="D496" s="634"/>
      <c r="E496" s="634"/>
      <c r="F496" s="634"/>
      <c r="G496" s="634"/>
      <c r="H496" s="634"/>
      <c r="I496" s="634"/>
      <c r="J496" s="634"/>
      <c r="K496" s="634"/>
      <c r="L496" s="634"/>
      <c r="M496" s="634"/>
      <c r="N496" s="634"/>
      <c r="O496" s="634"/>
      <c r="P496" s="634"/>
      <c r="Q496" s="634"/>
    </row>
    <row r="497" spans="2:17">
      <c r="B497" s="634"/>
      <c r="C497" s="634"/>
      <c r="D497" s="634"/>
      <c r="E497" s="634"/>
      <c r="F497" s="634"/>
      <c r="G497" s="634"/>
      <c r="H497" s="634"/>
      <c r="I497" s="634"/>
      <c r="J497" s="634"/>
      <c r="K497" s="634"/>
      <c r="L497" s="634"/>
      <c r="M497" s="634"/>
      <c r="N497" s="634"/>
      <c r="O497" s="634"/>
      <c r="P497" s="634"/>
      <c r="Q497" s="634"/>
    </row>
    <row r="498" spans="2:17" ht="18">
      <c r="B498" s="634"/>
      <c r="C498" s="1443" t="s">
        <v>1110</v>
      </c>
      <c r="D498" s="634"/>
      <c r="E498" s="634"/>
      <c r="F498" s="634"/>
      <c r="G498" s="634"/>
      <c r="H498" s="634"/>
      <c r="I498" s="634"/>
      <c r="J498" s="634"/>
      <c r="K498" s="634"/>
      <c r="L498" s="634"/>
      <c r="M498" s="634"/>
      <c r="N498" s="634"/>
      <c r="O498" s="634"/>
      <c r="P498" s="634"/>
      <c r="Q498" s="634"/>
    </row>
    <row r="499" spans="2:17">
      <c r="B499" s="634"/>
      <c r="C499" s="1444"/>
      <c r="D499" s="634"/>
      <c r="E499" s="634"/>
      <c r="F499" s="634"/>
      <c r="G499" s="634"/>
      <c r="H499" s="634"/>
      <c r="I499" s="634"/>
      <c r="J499" s="634"/>
      <c r="K499" s="634"/>
      <c r="L499" s="634"/>
      <c r="M499" s="634"/>
      <c r="N499" s="634"/>
      <c r="O499" s="634"/>
      <c r="P499" s="634"/>
      <c r="Q499" s="634"/>
    </row>
    <row r="500" spans="2:17" ht="18.75">
      <c r="B500" s="634"/>
      <c r="C500" s="1628" t="s">
        <v>1111</v>
      </c>
      <c r="D500" s="634"/>
      <c r="E500" s="634"/>
      <c r="F500" s="634"/>
      <c r="G500" s="634"/>
      <c r="H500" s="634"/>
      <c r="I500" s="634"/>
      <c r="J500" s="634"/>
      <c r="K500" s="634"/>
      <c r="L500" s="634"/>
      <c r="M500" s="634"/>
      <c r="N500" s="634"/>
      <c r="O500" s="634"/>
      <c r="P500" s="634"/>
      <c r="Q500" s="634"/>
    </row>
    <row r="501" spans="2:17">
      <c r="B501" s="634"/>
      <c r="C501" s="1444" t="s">
        <v>1315</v>
      </c>
      <c r="D501" s="634"/>
      <c r="E501" s="1444" t="s">
        <v>1314</v>
      </c>
      <c r="F501" s="634"/>
      <c r="G501" s="1444" t="s">
        <v>1313</v>
      </c>
      <c r="H501" s="634"/>
      <c r="I501" s="1639" t="s">
        <v>1312</v>
      </c>
      <c r="J501" s="634"/>
      <c r="K501" s="634"/>
      <c r="L501" s="634"/>
      <c r="M501" s="634"/>
      <c r="N501" s="634"/>
      <c r="O501" s="634"/>
      <c r="P501" s="634"/>
      <c r="Q501" s="634"/>
    </row>
    <row r="502" spans="2:17" ht="18.75">
      <c r="B502" s="634"/>
      <c r="C502" s="1637">
        <v>20</v>
      </c>
      <c r="D502" s="1638" t="s">
        <v>1289</v>
      </c>
      <c r="E502" s="1637">
        <v>50</v>
      </c>
      <c r="F502" s="1638" t="s">
        <v>1289</v>
      </c>
      <c r="G502" s="1637">
        <v>5</v>
      </c>
      <c r="H502" s="1606" t="s">
        <v>997</v>
      </c>
      <c r="I502" s="1636">
        <f>C502+E502+G502</f>
        <v>75</v>
      </c>
      <c r="J502" s="634"/>
      <c r="K502" s="634"/>
      <c r="L502" s="634"/>
      <c r="M502" s="634"/>
      <c r="N502" s="634"/>
      <c r="O502" s="634"/>
      <c r="P502" s="634"/>
      <c r="Q502" s="634"/>
    </row>
    <row r="503" spans="2:17" ht="18.75">
      <c r="B503" s="634"/>
      <c r="C503" s="1628"/>
      <c r="D503" s="634"/>
      <c r="E503" s="634"/>
      <c r="F503" s="634"/>
      <c r="G503" s="634"/>
      <c r="H503" s="634"/>
      <c r="I503" s="634"/>
      <c r="J503" s="634"/>
      <c r="K503" s="634"/>
      <c r="L503" s="634"/>
      <c r="M503" s="634"/>
      <c r="N503" s="634"/>
      <c r="O503" s="634"/>
      <c r="P503" s="634"/>
      <c r="Q503" s="634"/>
    </row>
    <row r="504" spans="2:17" ht="18.75">
      <c r="B504" s="634"/>
      <c r="C504" s="1628" t="s">
        <v>1311</v>
      </c>
      <c r="D504" s="634"/>
      <c r="E504" s="634"/>
      <c r="F504" s="634"/>
      <c r="G504" s="634"/>
      <c r="H504" s="634"/>
      <c r="I504" s="634"/>
      <c r="J504" s="634"/>
      <c r="K504" s="634"/>
      <c r="L504" s="634"/>
      <c r="M504" s="634"/>
      <c r="N504" s="634"/>
      <c r="O504" s="634"/>
      <c r="P504" s="634"/>
      <c r="Q504" s="634"/>
    </row>
    <row r="505" spans="2:17" ht="18.75">
      <c r="B505" s="634"/>
      <c r="C505" s="1628" t="s">
        <v>1310</v>
      </c>
      <c r="D505" s="634"/>
      <c r="E505" s="634"/>
      <c r="F505" s="634"/>
      <c r="G505" s="634"/>
      <c r="H505" s="634"/>
      <c r="I505" s="634"/>
      <c r="J505" s="634"/>
      <c r="K505" s="634"/>
      <c r="L505" s="634"/>
      <c r="M505" s="634"/>
      <c r="N505" s="634"/>
      <c r="O505" s="634"/>
      <c r="P505" s="634"/>
      <c r="Q505" s="634"/>
    </row>
    <row r="506" spans="2:17" ht="18.75">
      <c r="B506" s="634"/>
      <c r="C506" s="1628" t="s">
        <v>1302</v>
      </c>
      <c r="D506" s="634"/>
      <c r="E506" s="634"/>
      <c r="F506" s="634"/>
      <c r="G506" s="634"/>
      <c r="H506" s="634"/>
      <c r="I506" s="634"/>
      <c r="J506" s="634"/>
      <c r="K506" s="634"/>
      <c r="L506" s="634"/>
      <c r="M506" s="634"/>
      <c r="N506" s="634"/>
      <c r="O506" s="634"/>
      <c r="P506" s="634"/>
      <c r="Q506" s="634"/>
    </row>
    <row r="507" spans="2:17" ht="18.75">
      <c r="B507" s="634"/>
      <c r="C507" s="1628" t="s">
        <v>1303</v>
      </c>
      <c r="D507" s="634"/>
      <c r="E507" s="634"/>
      <c r="F507" s="634"/>
      <c r="G507" s="634"/>
      <c r="H507" s="634"/>
      <c r="I507" s="634"/>
      <c r="J507" s="634"/>
      <c r="K507" s="634"/>
      <c r="L507" s="634"/>
      <c r="M507" s="634"/>
      <c r="N507" s="634"/>
      <c r="O507" s="634"/>
      <c r="P507" s="634"/>
      <c r="Q507" s="634"/>
    </row>
    <row r="508" spans="2:17" ht="18.75">
      <c r="B508" s="634"/>
      <c r="C508" s="1628" t="s">
        <v>1309</v>
      </c>
      <c r="D508" s="634"/>
      <c r="E508" s="634"/>
      <c r="F508" s="634"/>
      <c r="G508" s="634"/>
      <c r="H508" s="634"/>
      <c r="I508" s="634"/>
      <c r="J508" s="634"/>
      <c r="K508" s="634"/>
      <c r="L508" s="634"/>
      <c r="M508" s="634"/>
      <c r="N508" s="634"/>
      <c r="O508" s="634"/>
      <c r="P508" s="634"/>
      <c r="Q508" s="634"/>
    </row>
    <row r="509" spans="2:17" ht="18.75">
      <c r="B509" s="634"/>
      <c r="C509" s="1628" t="s">
        <v>1304</v>
      </c>
      <c r="D509" s="634"/>
      <c r="E509" s="634"/>
      <c r="F509" s="634"/>
      <c r="G509" s="634"/>
      <c r="H509" s="634"/>
      <c r="I509" s="634"/>
      <c r="J509" s="634"/>
      <c r="K509" s="634"/>
      <c r="L509" s="634"/>
      <c r="M509" s="634"/>
      <c r="N509" s="634"/>
      <c r="O509" s="634"/>
      <c r="P509" s="634"/>
      <c r="Q509" s="634"/>
    </row>
    <row r="510" spans="2:17" ht="18.75">
      <c r="B510" s="634"/>
      <c r="C510" s="1628" t="s">
        <v>1117</v>
      </c>
      <c r="D510" s="634"/>
      <c r="E510" s="634"/>
      <c r="F510" s="634"/>
      <c r="G510" s="634"/>
      <c r="H510" s="634"/>
      <c r="I510" s="634"/>
      <c r="J510" s="634"/>
      <c r="K510" s="634"/>
      <c r="L510" s="634"/>
      <c r="M510" s="634"/>
      <c r="N510" s="634"/>
      <c r="O510" s="634"/>
      <c r="P510" s="634"/>
      <c r="Q510" s="634"/>
    </row>
    <row r="511" spans="2:17" ht="18.75">
      <c r="B511" s="634"/>
      <c r="C511" s="1628" t="s">
        <v>1118</v>
      </c>
      <c r="D511" s="634"/>
      <c r="E511" s="634"/>
      <c r="F511" s="634"/>
      <c r="G511" s="634"/>
      <c r="H511" s="634"/>
      <c r="I511" s="634"/>
      <c r="J511" s="634"/>
      <c r="K511" s="634"/>
      <c r="L511" s="634"/>
      <c r="M511" s="634"/>
      <c r="N511" s="634"/>
      <c r="O511" s="634"/>
      <c r="P511" s="634"/>
      <c r="Q511" s="634"/>
    </row>
    <row r="512" spans="2:17" ht="18.75">
      <c r="B512" s="634"/>
      <c r="C512" s="1628" t="s">
        <v>1308</v>
      </c>
      <c r="D512" s="634"/>
      <c r="E512" s="634"/>
      <c r="F512" s="634"/>
      <c r="G512" s="634"/>
      <c r="H512" s="634"/>
      <c r="I512" s="634"/>
      <c r="J512" s="634"/>
      <c r="K512" s="634"/>
      <c r="L512" s="634"/>
      <c r="M512" s="634"/>
      <c r="N512" s="634"/>
      <c r="O512" s="634"/>
      <c r="P512" s="634"/>
      <c r="Q512" s="634"/>
    </row>
    <row r="513" spans="2:17" ht="18.75">
      <c r="B513" s="634"/>
      <c r="C513" s="1628" t="s">
        <v>1307</v>
      </c>
      <c r="D513" s="634"/>
      <c r="E513" s="634"/>
      <c r="F513" s="634"/>
      <c r="G513" s="634"/>
      <c r="H513" s="634"/>
      <c r="I513" s="634"/>
      <c r="J513" s="634"/>
      <c r="K513" s="634"/>
      <c r="L513" s="634"/>
      <c r="M513" s="634"/>
      <c r="N513" s="634"/>
      <c r="O513" s="634"/>
      <c r="P513" s="634"/>
      <c r="Q513" s="634"/>
    </row>
    <row r="514" spans="2:17">
      <c r="B514" s="634"/>
      <c r="C514" s="634"/>
      <c r="D514" s="634"/>
      <c r="E514" s="634"/>
      <c r="F514" s="634"/>
      <c r="G514" s="634"/>
      <c r="H514" s="634"/>
      <c r="I514" s="634"/>
      <c r="J514" s="634"/>
      <c r="K514" s="634"/>
      <c r="L514" s="634"/>
      <c r="M514" s="634"/>
      <c r="N514" s="634"/>
      <c r="O514" s="634"/>
      <c r="P514" s="634"/>
      <c r="Q514" s="634"/>
    </row>
    <row r="515" spans="2:17">
      <c r="B515" s="634"/>
      <c r="C515" s="634"/>
      <c r="D515" s="634"/>
      <c r="E515" s="634"/>
      <c r="F515" s="634"/>
      <c r="G515" s="634"/>
      <c r="H515" s="634"/>
      <c r="I515" s="634"/>
      <c r="J515" s="634"/>
      <c r="K515" s="634"/>
      <c r="L515" s="634"/>
      <c r="M515" s="634"/>
      <c r="N515" s="634"/>
      <c r="O515" s="634"/>
      <c r="P515" s="634"/>
      <c r="Q515" s="634"/>
    </row>
    <row r="516" spans="2:17" ht="18.75">
      <c r="B516" s="634"/>
      <c r="C516" s="1635" t="s">
        <v>1306</v>
      </c>
      <c r="D516" s="1634"/>
      <c r="E516" s="1634"/>
      <c r="F516" s="1634"/>
      <c r="G516" s="1634"/>
      <c r="H516" s="1634"/>
      <c r="I516" s="1634"/>
      <c r="J516" s="1634"/>
      <c r="K516" s="634"/>
      <c r="L516" s="634"/>
      <c r="M516" s="634"/>
      <c r="N516" s="634"/>
      <c r="O516" s="634"/>
      <c r="P516" s="634"/>
      <c r="Q516" s="634"/>
    </row>
    <row r="517" spans="2:17" ht="18.75">
      <c r="B517" s="634"/>
      <c r="C517" s="1635" t="s">
        <v>1305</v>
      </c>
      <c r="D517" s="1634"/>
      <c r="E517" s="1634"/>
      <c r="F517" s="1634"/>
      <c r="G517" s="1634"/>
      <c r="H517" s="1634"/>
      <c r="I517" s="1634"/>
      <c r="J517" s="1634"/>
      <c r="K517" s="634"/>
      <c r="L517" s="634"/>
      <c r="M517" s="634"/>
      <c r="N517" s="634"/>
      <c r="O517" s="634"/>
      <c r="P517" s="634"/>
      <c r="Q517" s="634"/>
    </row>
    <row r="518" spans="2:17" ht="18.75">
      <c r="B518" s="634"/>
      <c r="C518" s="1635" t="s">
        <v>1125</v>
      </c>
      <c r="D518" s="1634"/>
      <c r="E518" s="1634"/>
      <c r="F518" s="1634"/>
      <c r="G518" s="1634"/>
      <c r="H518" s="1634"/>
      <c r="I518" s="1634"/>
      <c r="J518" s="1634"/>
      <c r="K518" s="634"/>
      <c r="L518" s="634"/>
      <c r="M518" s="634"/>
      <c r="N518" s="634"/>
      <c r="O518" s="634"/>
      <c r="P518" s="634"/>
      <c r="Q518" s="634"/>
    </row>
    <row r="519" spans="2:17">
      <c r="B519" s="634"/>
      <c r="C519" s="634"/>
      <c r="D519" s="634"/>
      <c r="E519" s="634"/>
      <c r="F519" s="634"/>
      <c r="G519" s="634"/>
      <c r="H519" s="634"/>
      <c r="I519" s="634"/>
      <c r="J519" s="634"/>
      <c r="K519" s="634"/>
      <c r="L519" s="634"/>
      <c r="M519" s="634"/>
      <c r="N519" s="634"/>
      <c r="O519" s="634"/>
      <c r="P519" s="634"/>
      <c r="Q519" s="634"/>
    </row>
    <row r="520" spans="2:17">
      <c r="B520" s="634"/>
      <c r="C520" s="634"/>
      <c r="D520" s="634"/>
      <c r="E520" s="634"/>
      <c r="F520" s="634"/>
      <c r="G520" s="634"/>
      <c r="H520" s="634"/>
      <c r="I520" s="634"/>
      <c r="J520" s="634"/>
      <c r="K520" s="634"/>
      <c r="L520" s="634"/>
      <c r="M520" s="634"/>
      <c r="N520" s="634"/>
      <c r="O520" s="634"/>
      <c r="P520" s="634"/>
      <c r="Q520" s="634"/>
    </row>
    <row r="521" spans="2:17">
      <c r="B521" s="634"/>
      <c r="C521" s="634"/>
      <c r="D521" s="634"/>
      <c r="E521" s="634"/>
      <c r="F521" s="634"/>
      <c r="G521" s="634"/>
      <c r="H521" s="634"/>
      <c r="I521" s="634"/>
      <c r="J521" s="634"/>
      <c r="K521" s="634"/>
      <c r="L521" s="634"/>
      <c r="M521" s="634"/>
      <c r="N521" s="634"/>
      <c r="O521" s="634"/>
      <c r="P521" s="634"/>
      <c r="Q521" s="634"/>
    </row>
    <row r="522" spans="2:17">
      <c r="B522" s="634"/>
      <c r="C522" s="634"/>
      <c r="D522" s="634"/>
      <c r="E522" s="634"/>
      <c r="F522" s="634"/>
      <c r="G522" s="634"/>
      <c r="H522" s="634"/>
      <c r="I522" s="634"/>
      <c r="J522" s="634"/>
      <c r="K522" s="634"/>
      <c r="L522" s="634"/>
      <c r="M522" s="634"/>
      <c r="N522" s="634"/>
      <c r="O522" s="634"/>
      <c r="P522" s="634"/>
      <c r="Q522" s="634"/>
    </row>
    <row r="523" spans="2:17">
      <c r="B523" s="634"/>
      <c r="C523" s="634"/>
      <c r="D523" s="634"/>
      <c r="E523" s="634"/>
      <c r="F523" s="634"/>
      <c r="G523" s="634"/>
      <c r="H523" s="634"/>
      <c r="I523" s="634"/>
      <c r="J523" s="634"/>
      <c r="K523" s="634"/>
      <c r="L523" s="634"/>
      <c r="M523" s="634"/>
      <c r="N523" s="634"/>
      <c r="O523" s="634"/>
      <c r="P523" s="634"/>
      <c r="Q523" s="634"/>
    </row>
    <row r="524" spans="2:17">
      <c r="B524" s="634"/>
      <c r="C524" s="634"/>
      <c r="D524" s="634"/>
      <c r="E524" s="634"/>
      <c r="F524" s="634"/>
      <c r="G524" s="634"/>
      <c r="H524" s="634"/>
      <c r="I524" s="634"/>
      <c r="J524" s="634"/>
      <c r="K524" s="634"/>
      <c r="L524" s="634"/>
      <c r="M524" s="634"/>
      <c r="N524" s="634"/>
      <c r="O524" s="634"/>
      <c r="P524" s="634"/>
      <c r="Q524" s="634"/>
    </row>
    <row r="525" spans="2:17">
      <c r="B525" s="634"/>
      <c r="C525" s="634"/>
      <c r="D525" s="634"/>
      <c r="E525" s="634"/>
      <c r="F525" s="634"/>
      <c r="G525" s="634"/>
      <c r="H525" s="634"/>
      <c r="I525" s="634"/>
      <c r="J525" s="634"/>
      <c r="K525" s="634"/>
      <c r="L525" s="634"/>
      <c r="M525" s="634"/>
      <c r="N525" s="634"/>
      <c r="O525" s="634"/>
      <c r="P525" s="634"/>
      <c r="Q525" s="634"/>
    </row>
    <row r="526" spans="2:17" ht="18.75">
      <c r="B526" s="634"/>
      <c r="C526" s="1628" t="s">
        <v>1119</v>
      </c>
      <c r="D526" s="634"/>
      <c r="E526" s="634"/>
      <c r="F526" s="634"/>
      <c r="G526" s="634"/>
      <c r="H526" s="634"/>
      <c r="I526" s="634"/>
      <c r="J526" s="634"/>
      <c r="K526" s="634"/>
      <c r="L526" s="634"/>
      <c r="M526" s="634"/>
      <c r="N526" s="634"/>
      <c r="O526" s="634"/>
      <c r="P526" s="634"/>
      <c r="Q526" s="634"/>
    </row>
    <row r="527" spans="2:17">
      <c r="B527" s="634"/>
      <c r="C527" s="1422" t="s">
        <v>1303</v>
      </c>
      <c r="D527" s="634"/>
      <c r="E527" s="634"/>
      <c r="F527" s="634"/>
      <c r="G527" s="634"/>
      <c r="H527" s="634"/>
      <c r="I527" s="634"/>
      <c r="J527" s="634"/>
      <c r="K527" s="634"/>
      <c r="L527" s="634"/>
      <c r="M527" s="634"/>
      <c r="N527" s="634"/>
      <c r="O527" s="634"/>
      <c r="P527" s="634"/>
      <c r="Q527" s="634"/>
    </row>
    <row r="528" spans="2:17">
      <c r="B528" s="634"/>
      <c r="C528" s="1422" t="s">
        <v>1304</v>
      </c>
      <c r="D528" s="634"/>
      <c r="E528" s="634"/>
      <c r="F528" s="634"/>
      <c r="G528" s="634"/>
      <c r="H528" s="634"/>
      <c r="I528" s="634"/>
      <c r="J528" s="634"/>
      <c r="K528" s="634"/>
      <c r="L528" s="634"/>
      <c r="M528" s="634"/>
      <c r="N528" s="634"/>
      <c r="O528" s="634"/>
      <c r="P528" s="634"/>
      <c r="Q528" s="634"/>
    </row>
    <row r="529" spans="2:17">
      <c r="B529" s="634"/>
      <c r="C529" s="1422" t="s">
        <v>1302</v>
      </c>
      <c r="D529" s="634"/>
      <c r="E529" s="634"/>
      <c r="F529" s="634"/>
      <c r="G529" s="634"/>
      <c r="H529" s="634"/>
      <c r="I529" s="634"/>
      <c r="J529" s="634"/>
      <c r="K529" s="634"/>
      <c r="L529" s="634"/>
      <c r="M529" s="634"/>
      <c r="N529" s="634"/>
      <c r="O529" s="634"/>
      <c r="P529" s="634"/>
      <c r="Q529" s="634"/>
    </row>
    <row r="530" spans="2:17" ht="18.75">
      <c r="B530" s="634"/>
      <c r="C530" s="1628"/>
      <c r="D530" s="634"/>
      <c r="E530" s="634"/>
      <c r="F530" s="634"/>
      <c r="G530" s="634"/>
      <c r="H530" s="634"/>
      <c r="I530" s="634"/>
      <c r="J530" s="634"/>
      <c r="K530" s="634"/>
      <c r="L530" s="634"/>
      <c r="M530" s="634"/>
      <c r="N530" s="634"/>
      <c r="O530" s="634"/>
      <c r="P530" s="634"/>
      <c r="Q530" s="634"/>
    </row>
    <row r="531" spans="2:17">
      <c r="B531" s="634"/>
      <c r="C531" s="634" t="s">
        <v>1304</v>
      </c>
      <c r="D531" s="634"/>
      <c r="E531" s="634"/>
      <c r="F531" s="634"/>
      <c r="G531" s="634"/>
      <c r="H531" s="634"/>
      <c r="I531" s="634"/>
      <c r="J531" s="634"/>
      <c r="K531" s="634"/>
      <c r="L531" s="634"/>
      <c r="M531" s="634"/>
      <c r="N531" s="634"/>
      <c r="O531" s="634"/>
      <c r="P531" s="634"/>
      <c r="Q531" s="634"/>
    </row>
    <row r="532" spans="2:17" ht="16.5" customHeight="1" thickBot="1">
      <c r="B532" s="634"/>
      <c r="C532" s="1633">
        <v>20</v>
      </c>
      <c r="D532" s="6082" t="s">
        <v>997</v>
      </c>
      <c r="E532" s="6083">
        <f>C532/C533</f>
        <v>100</v>
      </c>
      <c r="F532" s="6084" t="s">
        <v>1303</v>
      </c>
      <c r="G532" s="6084"/>
      <c r="H532" s="6084"/>
      <c r="I532" s="6085" t="str">
        <f ca="1">_xlfn.FORMULATEXT(E532)</f>
        <v>=C532/C533</v>
      </c>
      <c r="J532" s="6085"/>
      <c r="K532" s="634"/>
      <c r="L532" s="634"/>
      <c r="M532" s="634"/>
      <c r="N532" s="634"/>
      <c r="O532" s="634"/>
      <c r="P532" s="634"/>
      <c r="Q532" s="634"/>
    </row>
    <row r="533" spans="2:17" ht="15.75" customHeight="1">
      <c r="B533" s="634"/>
      <c r="C533" s="1632">
        <v>0.2</v>
      </c>
      <c r="D533" s="6082"/>
      <c r="E533" s="6083"/>
      <c r="F533" s="6084"/>
      <c r="G533" s="6084"/>
      <c r="H533" s="6084"/>
      <c r="I533" s="6085"/>
      <c r="J533" s="6085"/>
      <c r="K533" s="634"/>
      <c r="L533" s="634"/>
      <c r="M533" s="634"/>
      <c r="N533" s="634"/>
      <c r="O533" s="634"/>
      <c r="P533" s="634"/>
      <c r="Q533" s="634"/>
    </row>
    <row r="534" spans="2:17" ht="18.75">
      <c r="B534" s="634"/>
      <c r="C534" s="1631" t="s">
        <v>1302</v>
      </c>
      <c r="D534" s="1630"/>
      <c r="E534" s="1629"/>
      <c r="F534" s="634"/>
      <c r="G534" s="634"/>
      <c r="H534" s="634"/>
      <c r="I534" s="634"/>
      <c r="J534" s="634"/>
      <c r="K534" s="634"/>
      <c r="L534" s="634"/>
      <c r="M534" s="634"/>
      <c r="N534" s="634"/>
      <c r="O534" s="634"/>
      <c r="P534" s="634"/>
      <c r="Q534" s="634"/>
    </row>
    <row r="535" spans="2:17" ht="18.75">
      <c r="B535" s="634"/>
      <c r="C535" s="1628"/>
      <c r="D535" s="634"/>
      <c r="E535" s="1630"/>
      <c r="F535" s="1630"/>
      <c r="G535" s="1629"/>
      <c r="H535" s="634"/>
      <c r="I535" s="634"/>
      <c r="J535" s="634"/>
      <c r="K535" s="634"/>
      <c r="L535" s="634"/>
      <c r="M535" s="634"/>
      <c r="N535" s="634"/>
      <c r="O535" s="634"/>
      <c r="P535" s="634"/>
      <c r="Q535" s="634"/>
    </row>
    <row r="536" spans="2:17" ht="18.75">
      <c r="B536" s="634"/>
      <c r="C536" s="1628" t="s">
        <v>1120</v>
      </c>
      <c r="D536" s="634"/>
      <c r="E536" s="634"/>
      <c r="F536" s="1628"/>
      <c r="G536" s="634"/>
      <c r="H536" s="634"/>
      <c r="I536" s="634"/>
      <c r="J536" s="634"/>
      <c r="K536" s="634"/>
      <c r="L536" s="634"/>
      <c r="M536" s="634"/>
      <c r="N536" s="634"/>
      <c r="O536" s="634"/>
      <c r="P536" s="634"/>
      <c r="Q536" s="634"/>
    </row>
    <row r="537" spans="2:17" ht="18.75">
      <c r="B537" s="634"/>
      <c r="C537" s="1628" t="s">
        <v>1121</v>
      </c>
      <c r="D537" s="634"/>
      <c r="E537" s="634"/>
      <c r="F537" s="634"/>
      <c r="G537" s="634"/>
      <c r="H537" s="634"/>
      <c r="I537" s="634"/>
      <c r="J537" s="634"/>
      <c r="K537" s="634"/>
      <c r="L537" s="634"/>
      <c r="M537" s="634"/>
      <c r="N537" s="634"/>
      <c r="O537" s="634"/>
      <c r="P537" s="634"/>
      <c r="Q537" s="634"/>
    </row>
    <row r="538" spans="2:17" ht="18.75">
      <c r="B538" s="634"/>
      <c r="C538" s="1628" t="s">
        <v>1122</v>
      </c>
      <c r="D538" s="634"/>
      <c r="E538" s="634"/>
      <c r="F538" s="634"/>
      <c r="G538" s="634"/>
      <c r="H538" s="634"/>
      <c r="I538" s="634"/>
      <c r="J538" s="634"/>
      <c r="K538" s="634"/>
      <c r="L538" s="634"/>
      <c r="M538" s="634"/>
      <c r="N538" s="634"/>
      <c r="O538" s="634"/>
      <c r="P538" s="634"/>
      <c r="Q538" s="634"/>
    </row>
    <row r="539" spans="2:17" ht="18.75">
      <c r="B539" s="634"/>
      <c r="C539" s="1628" t="s">
        <v>1123</v>
      </c>
      <c r="D539" s="634"/>
      <c r="E539" s="634"/>
      <c r="F539" s="634"/>
      <c r="G539" s="634"/>
      <c r="H539" s="634"/>
      <c r="I539" s="634"/>
      <c r="J539" s="634"/>
      <c r="K539" s="634"/>
      <c r="L539" s="634"/>
      <c r="M539" s="634"/>
      <c r="N539" s="634"/>
      <c r="O539" s="634"/>
      <c r="P539" s="634"/>
      <c r="Q539" s="634"/>
    </row>
    <row r="540" spans="2:17">
      <c r="B540" s="634"/>
      <c r="C540" s="634"/>
      <c r="D540" s="634"/>
      <c r="E540" s="634"/>
      <c r="F540" s="634"/>
      <c r="G540" s="634"/>
      <c r="H540" s="634"/>
      <c r="I540" s="634"/>
      <c r="J540" s="634"/>
      <c r="K540" s="634"/>
      <c r="L540" s="634"/>
      <c r="M540" s="634"/>
      <c r="N540" s="634"/>
      <c r="O540" s="634"/>
      <c r="P540" s="634"/>
      <c r="Q540" s="634"/>
    </row>
    <row r="541" spans="2:17" ht="18.75">
      <c r="B541" s="634"/>
      <c r="C541" s="1450" t="s">
        <v>1124</v>
      </c>
      <c r="D541" s="634"/>
      <c r="E541" s="634"/>
      <c r="F541" s="634"/>
      <c r="G541" s="634"/>
      <c r="H541" s="634"/>
      <c r="I541" s="634"/>
      <c r="J541" s="634"/>
      <c r="K541" s="634"/>
      <c r="L541" s="634"/>
      <c r="M541" s="634"/>
      <c r="N541" s="634"/>
      <c r="O541" s="634"/>
      <c r="P541" s="634"/>
      <c r="Q541" s="634"/>
    </row>
    <row r="542" spans="2:17" ht="18.75">
      <c r="B542" s="634"/>
      <c r="C542" s="1450" t="s">
        <v>1125</v>
      </c>
      <c r="D542" s="634"/>
      <c r="E542" s="634"/>
      <c r="F542" s="634"/>
      <c r="G542" s="634"/>
      <c r="H542" s="634"/>
      <c r="I542" s="634"/>
      <c r="J542" s="634"/>
      <c r="K542" s="634"/>
      <c r="L542" s="634"/>
      <c r="M542" s="634"/>
      <c r="N542" s="634"/>
      <c r="O542" s="634"/>
      <c r="P542" s="634"/>
      <c r="Q542" s="634"/>
    </row>
    <row r="543" spans="2:17" ht="18.75">
      <c r="B543" s="634"/>
      <c r="C543" s="1450"/>
      <c r="D543" s="634"/>
      <c r="E543" s="634"/>
      <c r="F543" s="634"/>
      <c r="G543" s="634"/>
      <c r="H543" s="634"/>
      <c r="I543" s="634"/>
      <c r="J543" s="634"/>
      <c r="K543" s="634"/>
      <c r="L543" s="634"/>
      <c r="M543" s="634"/>
      <c r="N543" s="634"/>
      <c r="O543" s="634"/>
      <c r="P543" s="634"/>
      <c r="Q543" s="634"/>
    </row>
    <row r="544" spans="2:17" ht="18.75">
      <c r="B544" s="634"/>
      <c r="C544" s="1450" t="s">
        <v>1126</v>
      </c>
      <c r="D544" s="634"/>
      <c r="E544" s="634"/>
      <c r="F544" s="634"/>
      <c r="G544" s="634"/>
      <c r="H544" s="634"/>
      <c r="I544" s="634"/>
      <c r="J544" s="634"/>
      <c r="K544" s="634"/>
      <c r="L544" s="634"/>
      <c r="M544" s="634"/>
      <c r="N544" s="634"/>
      <c r="O544" s="634"/>
      <c r="P544" s="634"/>
      <c r="Q544" s="634"/>
    </row>
    <row r="545" spans="2:17">
      <c r="B545" s="634"/>
      <c r="C545" s="634"/>
      <c r="D545" s="634"/>
      <c r="E545" s="634"/>
      <c r="F545" s="634"/>
      <c r="G545" s="634"/>
      <c r="H545" s="634"/>
      <c r="I545" s="634"/>
      <c r="J545" s="634"/>
      <c r="K545" s="634"/>
      <c r="L545" s="634"/>
      <c r="M545" s="634"/>
      <c r="N545" s="634"/>
      <c r="O545" s="634"/>
      <c r="P545" s="634"/>
      <c r="Q545" s="634"/>
    </row>
    <row r="546" spans="2:17">
      <c r="B546" s="634"/>
      <c r="C546" s="1449" t="s">
        <v>1127</v>
      </c>
      <c r="D546" s="634"/>
      <c r="E546" s="634"/>
      <c r="F546" s="634"/>
      <c r="G546" s="634"/>
      <c r="H546" s="634"/>
      <c r="I546" s="634"/>
      <c r="J546" s="634"/>
      <c r="K546" s="634"/>
      <c r="L546" s="634"/>
      <c r="M546" s="634"/>
      <c r="N546" s="634"/>
      <c r="O546" s="634"/>
      <c r="P546" s="634"/>
      <c r="Q546" s="634"/>
    </row>
    <row r="547" spans="2:17">
      <c r="B547" s="634"/>
      <c r="C547" s="1449" t="s">
        <v>1128</v>
      </c>
      <c r="D547" s="634"/>
      <c r="E547" s="634"/>
      <c r="F547" s="634"/>
      <c r="G547" s="634"/>
      <c r="H547" s="634"/>
      <c r="I547" s="634"/>
      <c r="J547" s="634"/>
      <c r="K547" s="634"/>
      <c r="L547" s="634"/>
      <c r="M547" s="634"/>
      <c r="N547" s="634"/>
      <c r="O547" s="634"/>
      <c r="P547" s="634"/>
      <c r="Q547" s="634"/>
    </row>
    <row r="548" spans="2:17">
      <c r="B548" s="634"/>
      <c r="C548" s="1449" t="s">
        <v>1121</v>
      </c>
      <c r="D548" s="634"/>
      <c r="E548" s="634"/>
      <c r="F548" s="634"/>
      <c r="G548" s="634"/>
      <c r="H548" s="634"/>
      <c r="I548" s="634"/>
      <c r="J548" s="634"/>
      <c r="K548" s="634"/>
      <c r="L548" s="634"/>
      <c r="M548" s="634"/>
      <c r="N548" s="634"/>
      <c r="O548" s="634"/>
      <c r="P548" s="634"/>
      <c r="Q548" s="634"/>
    </row>
    <row r="549" spans="2:17">
      <c r="B549" s="634"/>
      <c r="C549" s="1449" t="s">
        <v>1122</v>
      </c>
      <c r="D549" s="634"/>
      <c r="E549" s="634"/>
      <c r="F549" s="634"/>
      <c r="G549" s="634"/>
      <c r="H549" s="634"/>
      <c r="I549" s="634"/>
      <c r="J549" s="634"/>
      <c r="K549" s="634"/>
      <c r="L549" s="634"/>
      <c r="M549" s="634"/>
      <c r="N549" s="634"/>
      <c r="O549" s="634"/>
      <c r="P549" s="634"/>
      <c r="Q549" s="634"/>
    </row>
    <row r="550" spans="2:17">
      <c r="B550" s="634"/>
      <c r="C550" s="1449" t="s">
        <v>1123</v>
      </c>
      <c r="D550" s="634"/>
      <c r="E550" s="634"/>
      <c r="F550" s="634"/>
      <c r="G550" s="634"/>
      <c r="H550" s="634"/>
      <c r="I550" s="634"/>
      <c r="J550" s="634"/>
      <c r="K550" s="634"/>
      <c r="L550" s="634"/>
      <c r="M550" s="634"/>
      <c r="N550" s="634"/>
      <c r="O550" s="634"/>
      <c r="P550" s="634"/>
      <c r="Q550" s="634"/>
    </row>
    <row r="551" spans="2:17">
      <c r="B551" s="634"/>
      <c r="C551" s="634"/>
      <c r="D551" s="634"/>
      <c r="E551" s="634"/>
      <c r="F551" s="634"/>
      <c r="G551" s="634"/>
      <c r="H551" s="634"/>
      <c r="I551" s="634"/>
      <c r="J551" s="634"/>
      <c r="K551" s="634"/>
      <c r="L551" s="634"/>
      <c r="M551" s="634"/>
      <c r="N551" s="634"/>
      <c r="O551" s="634"/>
      <c r="P551" s="634"/>
      <c r="Q551" s="634"/>
    </row>
    <row r="552" spans="2:17" ht="18.75">
      <c r="B552" s="634"/>
      <c r="C552" s="1450" t="s">
        <v>1129</v>
      </c>
      <c r="D552" s="634"/>
      <c r="E552" s="634"/>
      <c r="F552" s="634"/>
      <c r="G552" s="634"/>
      <c r="H552" s="634"/>
      <c r="I552" s="634"/>
      <c r="J552" s="634"/>
      <c r="K552" s="634"/>
      <c r="L552" s="634"/>
      <c r="M552" s="634"/>
      <c r="N552" s="634"/>
      <c r="O552" s="634"/>
      <c r="P552" s="634"/>
      <c r="Q552" s="634"/>
    </row>
    <row r="553" spans="2:17">
      <c r="B553" s="634"/>
      <c r="C553" s="634"/>
      <c r="D553" s="634"/>
      <c r="E553" s="634"/>
      <c r="F553" s="634"/>
      <c r="G553" s="634"/>
      <c r="H553" s="634"/>
      <c r="I553" s="634"/>
      <c r="J553" s="634"/>
      <c r="K553" s="634"/>
      <c r="L553" s="634"/>
      <c r="M553" s="634"/>
      <c r="N553" s="634"/>
      <c r="O553" s="634"/>
      <c r="P553" s="634"/>
      <c r="Q553" s="634"/>
    </row>
    <row r="554" spans="2:17">
      <c r="B554" s="634"/>
      <c r="C554" s="1449" t="s">
        <v>1130</v>
      </c>
      <c r="D554" s="634"/>
      <c r="E554" s="634"/>
      <c r="F554" s="634"/>
      <c r="G554" s="634"/>
      <c r="H554" s="634"/>
      <c r="I554" s="634"/>
      <c r="J554" s="634"/>
      <c r="K554" s="634"/>
      <c r="L554" s="634"/>
      <c r="M554" s="634"/>
      <c r="N554" s="634"/>
      <c r="O554" s="634"/>
      <c r="P554" s="634"/>
      <c r="Q554" s="634"/>
    </row>
    <row r="555" spans="2:17">
      <c r="B555" s="634"/>
      <c r="C555" s="1449" t="s">
        <v>1122</v>
      </c>
      <c r="D555" s="634"/>
      <c r="E555" s="634"/>
      <c r="F555" s="634"/>
      <c r="G555" s="634"/>
      <c r="H555" s="634"/>
      <c r="I555" s="634"/>
      <c r="J555" s="634"/>
      <c r="K555" s="634"/>
      <c r="L555" s="634"/>
      <c r="M555" s="634"/>
      <c r="N555" s="634"/>
      <c r="O555" s="634"/>
      <c r="P555" s="634"/>
      <c r="Q555" s="634"/>
    </row>
    <row r="556" spans="2:17">
      <c r="B556" s="634"/>
      <c r="C556" s="1449" t="s">
        <v>1123</v>
      </c>
      <c r="D556" s="634"/>
      <c r="E556" s="634"/>
      <c r="F556" s="634"/>
      <c r="G556" s="634"/>
      <c r="H556" s="634"/>
      <c r="I556" s="634"/>
      <c r="J556" s="634"/>
      <c r="K556" s="634"/>
      <c r="L556" s="634"/>
      <c r="M556" s="634"/>
      <c r="N556" s="634"/>
      <c r="O556" s="634"/>
      <c r="P556" s="634"/>
      <c r="Q556" s="634"/>
    </row>
    <row r="557" spans="2:17">
      <c r="B557" s="634"/>
      <c r="C557" s="634"/>
      <c r="D557" s="634"/>
      <c r="E557" s="634"/>
      <c r="F557" s="634"/>
      <c r="G557" s="634"/>
      <c r="H557" s="634"/>
      <c r="I557" s="634"/>
      <c r="J557" s="634"/>
      <c r="K557" s="634"/>
      <c r="L557" s="634"/>
      <c r="M557" s="634"/>
      <c r="N557" s="634"/>
      <c r="O557" s="634"/>
      <c r="P557" s="634"/>
      <c r="Q557" s="634"/>
    </row>
    <row r="558" spans="2:17" ht="18.75">
      <c r="B558" s="634"/>
      <c r="C558" s="1450" t="s">
        <v>1131</v>
      </c>
      <c r="D558" s="634"/>
      <c r="E558" s="634"/>
      <c r="F558" s="634"/>
      <c r="G558" s="634"/>
      <c r="H558" s="634"/>
      <c r="I558" s="634"/>
      <c r="J558" s="634"/>
      <c r="K558" s="634"/>
      <c r="L558" s="634"/>
      <c r="M558" s="634"/>
      <c r="N558" s="634"/>
      <c r="O558" s="634"/>
      <c r="P558" s="634"/>
      <c r="Q558" s="634"/>
    </row>
    <row r="559" spans="2:17">
      <c r="B559" s="634"/>
      <c r="C559" s="634"/>
      <c r="D559" s="634"/>
      <c r="E559" s="634"/>
      <c r="F559" s="634"/>
      <c r="G559" s="634"/>
      <c r="H559" s="634"/>
      <c r="I559" s="634"/>
      <c r="J559" s="634"/>
      <c r="K559" s="634"/>
      <c r="L559" s="634"/>
      <c r="M559" s="634"/>
      <c r="N559" s="634"/>
      <c r="O559" s="634"/>
      <c r="P559" s="634"/>
      <c r="Q559" s="634"/>
    </row>
    <row r="560" spans="2:17">
      <c r="B560" s="634"/>
      <c r="C560" s="1449" t="s">
        <v>1132</v>
      </c>
      <c r="D560" s="634"/>
      <c r="E560" s="634"/>
      <c r="F560" s="634"/>
      <c r="G560" s="634"/>
      <c r="H560" s="634"/>
      <c r="I560" s="634"/>
      <c r="J560" s="634"/>
      <c r="K560" s="634"/>
      <c r="L560" s="634"/>
      <c r="M560" s="634"/>
      <c r="N560" s="634"/>
      <c r="O560" s="634"/>
      <c r="P560" s="634"/>
      <c r="Q560" s="634"/>
    </row>
    <row r="561" spans="2:17">
      <c r="B561" s="634"/>
      <c r="C561" s="1449" t="s">
        <v>1133</v>
      </c>
      <c r="D561" s="634"/>
      <c r="E561" s="634"/>
      <c r="F561" s="634"/>
      <c r="G561" s="634"/>
      <c r="H561" s="634"/>
      <c r="I561" s="634"/>
      <c r="J561" s="634"/>
      <c r="K561" s="634"/>
      <c r="L561" s="634"/>
      <c r="M561" s="634"/>
      <c r="N561" s="634"/>
      <c r="O561" s="634"/>
      <c r="P561" s="634"/>
      <c r="Q561" s="634"/>
    </row>
    <row r="562" spans="2:17">
      <c r="B562" s="634"/>
      <c r="C562" s="634"/>
      <c r="D562" s="634"/>
      <c r="E562" s="634"/>
      <c r="F562" s="634"/>
      <c r="G562" s="634"/>
      <c r="H562" s="634"/>
      <c r="I562" s="634"/>
      <c r="J562" s="634"/>
      <c r="K562" s="634"/>
      <c r="L562" s="634"/>
      <c r="M562" s="634"/>
      <c r="N562" s="634"/>
      <c r="O562" s="634"/>
      <c r="P562" s="634"/>
      <c r="Q562" s="634"/>
    </row>
    <row r="563" spans="2:17" ht="18.75">
      <c r="B563" s="634"/>
      <c r="C563" s="1450" t="s">
        <v>1134</v>
      </c>
      <c r="D563" s="634"/>
      <c r="E563" s="634"/>
      <c r="F563" s="634"/>
      <c r="G563" s="634"/>
      <c r="H563" s="634"/>
      <c r="I563" s="634"/>
      <c r="J563" s="634"/>
      <c r="K563" s="634"/>
      <c r="L563" s="634"/>
      <c r="M563" s="634"/>
      <c r="N563" s="634"/>
      <c r="O563" s="634"/>
      <c r="P563" s="634"/>
      <c r="Q563" s="634"/>
    </row>
    <row r="564" spans="2:17">
      <c r="B564" s="634"/>
      <c r="C564" s="634"/>
      <c r="D564" s="634"/>
      <c r="E564" s="634"/>
      <c r="F564" s="634"/>
      <c r="G564" s="634"/>
      <c r="H564" s="634"/>
      <c r="I564" s="634"/>
      <c r="J564" s="634"/>
      <c r="K564" s="634"/>
      <c r="L564" s="634"/>
      <c r="M564" s="634"/>
      <c r="N564" s="634"/>
      <c r="O564" s="634"/>
      <c r="P564" s="634"/>
      <c r="Q564" s="634"/>
    </row>
    <row r="565" spans="2:17">
      <c r="B565" s="634"/>
      <c r="C565" s="1449" t="s">
        <v>1135</v>
      </c>
      <c r="D565" s="634"/>
      <c r="E565" s="634"/>
      <c r="F565" s="634"/>
      <c r="G565" s="634"/>
      <c r="H565" s="634"/>
      <c r="I565" s="634"/>
      <c r="J565" s="634"/>
      <c r="K565" s="634"/>
      <c r="L565" s="634"/>
      <c r="M565" s="634"/>
      <c r="N565" s="634"/>
      <c r="O565" s="634"/>
      <c r="P565" s="634"/>
      <c r="Q565" s="634"/>
    </row>
    <row r="566" spans="2:17">
      <c r="B566" s="634"/>
      <c r="C566" s="1449" t="s">
        <v>1119</v>
      </c>
      <c r="D566" s="634"/>
      <c r="E566" s="634"/>
      <c r="F566" s="634"/>
      <c r="G566" s="634"/>
      <c r="H566" s="634"/>
      <c r="I566" s="634"/>
      <c r="J566" s="634"/>
      <c r="K566" s="634"/>
      <c r="L566" s="634"/>
      <c r="M566" s="634"/>
      <c r="N566" s="634"/>
      <c r="O566" s="634"/>
      <c r="P566" s="634"/>
      <c r="Q566" s="634"/>
    </row>
    <row r="567" spans="2:17">
      <c r="B567" s="634"/>
      <c r="C567" s="1449" t="s">
        <v>1136</v>
      </c>
      <c r="D567" s="634"/>
      <c r="E567" s="634"/>
      <c r="F567" s="634"/>
      <c r="G567" s="634"/>
      <c r="H567" s="634"/>
      <c r="I567" s="634"/>
      <c r="J567" s="634"/>
      <c r="K567" s="634"/>
      <c r="L567" s="634"/>
      <c r="M567" s="634"/>
      <c r="N567" s="634"/>
      <c r="O567" s="634"/>
      <c r="P567" s="634"/>
      <c r="Q567" s="634"/>
    </row>
    <row r="568" spans="2:17">
      <c r="B568" s="634"/>
      <c r="C568" s="1449" t="s">
        <v>1130</v>
      </c>
      <c r="D568" s="634"/>
      <c r="E568" s="634"/>
      <c r="F568" s="634"/>
      <c r="G568" s="634"/>
      <c r="H568" s="634"/>
      <c r="I568" s="634"/>
      <c r="J568" s="634"/>
      <c r="K568" s="634"/>
      <c r="L568" s="634"/>
      <c r="M568" s="634"/>
      <c r="N568" s="634"/>
      <c r="O568" s="634"/>
      <c r="P568" s="634"/>
      <c r="Q568" s="634"/>
    </row>
    <row r="569" spans="2:17">
      <c r="B569" s="634"/>
      <c r="C569" s="1449" t="s">
        <v>1122</v>
      </c>
      <c r="D569" s="634"/>
      <c r="E569" s="634"/>
      <c r="F569" s="634"/>
      <c r="G569" s="634"/>
      <c r="H569" s="634"/>
      <c r="I569" s="634"/>
      <c r="J569" s="634"/>
      <c r="K569" s="634"/>
      <c r="L569" s="634"/>
      <c r="M569" s="634"/>
      <c r="N569" s="634"/>
      <c r="O569" s="634"/>
      <c r="P569" s="634"/>
      <c r="Q569" s="634"/>
    </row>
    <row r="570" spans="2:17">
      <c r="B570" s="634"/>
      <c r="C570" s="1449" t="s">
        <v>1137</v>
      </c>
      <c r="D570" s="634"/>
      <c r="E570" s="634"/>
      <c r="F570" s="634"/>
      <c r="G570" s="634"/>
      <c r="H570" s="634"/>
      <c r="I570" s="634"/>
      <c r="J570" s="634"/>
      <c r="K570" s="634"/>
      <c r="L570" s="634"/>
      <c r="M570" s="634"/>
      <c r="N570" s="634"/>
      <c r="O570" s="634"/>
      <c r="P570" s="634"/>
      <c r="Q570" s="634"/>
    </row>
    <row r="571" spans="2:17">
      <c r="B571" s="634"/>
      <c r="C571" s="634"/>
      <c r="D571" s="634"/>
      <c r="E571" s="634"/>
      <c r="F571" s="634"/>
      <c r="G571" s="634"/>
      <c r="H571" s="634"/>
      <c r="I571" s="634"/>
      <c r="J571" s="634"/>
      <c r="K571" s="634"/>
      <c r="L571" s="634"/>
      <c r="M571" s="634"/>
      <c r="N571" s="634"/>
      <c r="O571" s="634"/>
      <c r="P571" s="634"/>
      <c r="Q571" s="634"/>
    </row>
    <row r="572" spans="2:17" ht="18.75">
      <c r="B572" s="634"/>
      <c r="C572" s="1450" t="s">
        <v>1138</v>
      </c>
      <c r="D572" s="634"/>
      <c r="E572" s="634"/>
      <c r="F572" s="634"/>
      <c r="G572" s="634"/>
      <c r="H572" s="634"/>
      <c r="I572" s="634"/>
      <c r="J572" s="634"/>
      <c r="K572" s="634"/>
      <c r="L572" s="634"/>
      <c r="M572" s="634"/>
      <c r="N572" s="634"/>
      <c r="O572" s="634"/>
      <c r="P572" s="634"/>
      <c r="Q572" s="634"/>
    </row>
    <row r="573" spans="2:17">
      <c r="B573" s="634"/>
      <c r="C573" s="634"/>
      <c r="D573" s="634"/>
      <c r="E573" s="634"/>
      <c r="F573" s="634"/>
      <c r="G573" s="634"/>
      <c r="H573" s="634"/>
      <c r="I573" s="634"/>
      <c r="J573" s="634"/>
      <c r="K573" s="634"/>
      <c r="L573" s="634"/>
      <c r="M573" s="634"/>
      <c r="N573" s="634"/>
      <c r="O573" s="634"/>
      <c r="P573" s="634"/>
      <c r="Q573" s="634"/>
    </row>
    <row r="574" spans="2:17" ht="18.75">
      <c r="B574" s="634"/>
      <c r="C574" s="1450" t="s">
        <v>1139</v>
      </c>
      <c r="D574" s="634"/>
      <c r="E574" s="634"/>
      <c r="F574" s="634"/>
      <c r="G574" s="634"/>
      <c r="H574" s="634"/>
      <c r="I574" s="634"/>
      <c r="J574" s="634"/>
      <c r="K574" s="634"/>
      <c r="L574" s="634"/>
      <c r="M574" s="634"/>
      <c r="N574" s="634"/>
      <c r="O574" s="634"/>
      <c r="P574" s="634"/>
      <c r="Q574" s="634"/>
    </row>
    <row r="575" spans="2:17">
      <c r="B575" s="634"/>
      <c r="C575" s="634"/>
      <c r="D575" s="634"/>
      <c r="E575" s="634"/>
      <c r="F575" s="634"/>
      <c r="G575" s="634"/>
      <c r="H575" s="634"/>
      <c r="I575" s="634"/>
      <c r="J575" s="634"/>
      <c r="K575" s="634"/>
      <c r="L575" s="634"/>
      <c r="M575" s="634"/>
      <c r="N575" s="634"/>
      <c r="O575" s="634"/>
      <c r="P575" s="634"/>
      <c r="Q575" s="634"/>
    </row>
    <row r="576" spans="2:17" ht="18.75">
      <c r="B576" s="634"/>
      <c r="C576" s="1450" t="s">
        <v>1140</v>
      </c>
      <c r="D576" s="634"/>
      <c r="E576" s="634"/>
      <c r="F576" s="634"/>
      <c r="G576" s="634"/>
      <c r="H576" s="634"/>
      <c r="I576" s="634"/>
      <c r="J576" s="634"/>
      <c r="K576" s="634"/>
      <c r="L576" s="634"/>
      <c r="M576" s="634"/>
      <c r="N576" s="634"/>
      <c r="O576" s="634"/>
      <c r="P576" s="634"/>
      <c r="Q576" s="634"/>
    </row>
    <row r="577" spans="2:17">
      <c r="B577" s="634"/>
      <c r="C577" s="634"/>
      <c r="D577" s="634"/>
      <c r="E577" s="634"/>
      <c r="F577" s="634"/>
      <c r="G577" s="634"/>
      <c r="H577" s="634"/>
      <c r="I577" s="634"/>
      <c r="J577" s="634"/>
      <c r="K577" s="634"/>
      <c r="L577" s="634"/>
      <c r="M577" s="634"/>
      <c r="N577" s="634"/>
      <c r="O577" s="634"/>
      <c r="P577" s="634"/>
      <c r="Q577" s="634"/>
    </row>
    <row r="578" spans="2:17">
      <c r="B578" s="634"/>
      <c r="C578" s="1449" t="s">
        <v>1141</v>
      </c>
      <c r="D578" s="634"/>
      <c r="E578" s="634"/>
      <c r="F578" s="634"/>
      <c r="G578" s="634"/>
      <c r="H578" s="634"/>
      <c r="I578" s="634"/>
      <c r="J578" s="634"/>
      <c r="K578" s="634"/>
      <c r="L578" s="634"/>
      <c r="M578" s="634"/>
      <c r="N578" s="634"/>
      <c r="O578" s="634"/>
      <c r="P578" s="634"/>
      <c r="Q578" s="634"/>
    </row>
    <row r="579" spans="2:17">
      <c r="B579" s="634"/>
      <c r="C579" s="1449" t="s">
        <v>1142</v>
      </c>
      <c r="D579" s="634"/>
      <c r="E579" s="634"/>
      <c r="F579" s="634"/>
      <c r="G579" s="634"/>
      <c r="H579" s="634"/>
      <c r="I579" s="634"/>
      <c r="J579" s="634"/>
      <c r="K579" s="634"/>
      <c r="L579" s="634"/>
      <c r="M579" s="634"/>
      <c r="N579" s="634"/>
      <c r="O579" s="634"/>
      <c r="P579" s="634"/>
      <c r="Q579" s="634"/>
    </row>
    <row r="580" spans="2:17">
      <c r="B580" s="634"/>
      <c r="C580" s="1449" t="s">
        <v>1143</v>
      </c>
      <c r="D580" s="634"/>
      <c r="E580" s="634"/>
      <c r="F580" s="634"/>
      <c r="G580" s="634"/>
      <c r="H580" s="634"/>
      <c r="I580" s="634"/>
      <c r="J580" s="634"/>
      <c r="K580" s="634"/>
      <c r="L580" s="634"/>
      <c r="M580" s="634"/>
      <c r="N580" s="634"/>
      <c r="O580" s="634"/>
      <c r="P580" s="634"/>
      <c r="Q580" s="634"/>
    </row>
    <row r="581" spans="2:17">
      <c r="B581" s="634"/>
      <c r="C581" s="1449" t="s">
        <v>1144</v>
      </c>
      <c r="D581" s="634"/>
      <c r="E581" s="634"/>
      <c r="F581" s="634"/>
      <c r="G581" s="634"/>
      <c r="H581" s="634"/>
      <c r="I581" s="634"/>
      <c r="J581" s="634"/>
      <c r="K581" s="634"/>
      <c r="L581" s="634"/>
      <c r="M581" s="634"/>
      <c r="N581" s="634"/>
      <c r="O581" s="634"/>
      <c r="P581" s="634"/>
      <c r="Q581" s="634"/>
    </row>
    <row r="582" spans="2:17">
      <c r="B582" s="634"/>
      <c r="C582" s="634"/>
      <c r="D582" s="634"/>
      <c r="E582" s="634"/>
      <c r="F582" s="634"/>
      <c r="G582" s="634"/>
      <c r="H582" s="634"/>
      <c r="I582" s="634"/>
      <c r="J582" s="634"/>
      <c r="K582" s="634"/>
      <c r="L582" s="634"/>
      <c r="M582" s="634"/>
      <c r="N582" s="634"/>
      <c r="O582" s="634"/>
      <c r="P582" s="634"/>
      <c r="Q582" s="634"/>
    </row>
    <row r="583" spans="2:17" ht="18.75">
      <c r="B583" s="634"/>
      <c r="C583" s="1450" t="s">
        <v>1145</v>
      </c>
      <c r="D583" s="634"/>
      <c r="E583" s="634"/>
      <c r="F583" s="634"/>
      <c r="G583" s="634"/>
      <c r="H583" s="634"/>
      <c r="I583" s="634"/>
      <c r="J583" s="634"/>
      <c r="K583" s="634"/>
      <c r="L583" s="634"/>
      <c r="M583" s="634"/>
      <c r="N583" s="634"/>
      <c r="O583" s="634"/>
      <c r="P583" s="634"/>
      <c r="Q583" s="634"/>
    </row>
    <row r="584" spans="2:17">
      <c r="B584" s="634"/>
      <c r="C584" s="634"/>
      <c r="D584" s="634"/>
      <c r="E584" s="634"/>
      <c r="F584" s="634"/>
      <c r="G584" s="634"/>
      <c r="H584" s="634"/>
      <c r="I584" s="634"/>
      <c r="J584" s="634"/>
      <c r="K584" s="634"/>
      <c r="L584" s="634"/>
      <c r="M584" s="634"/>
      <c r="N584" s="634"/>
      <c r="O584" s="634"/>
      <c r="P584" s="634"/>
      <c r="Q584" s="634"/>
    </row>
    <row r="585" spans="2:17">
      <c r="B585" s="634"/>
      <c r="C585" s="1449" t="s">
        <v>1146</v>
      </c>
      <c r="D585" s="634"/>
      <c r="E585" s="634"/>
      <c r="F585" s="634"/>
      <c r="G585" s="634"/>
      <c r="H585" s="634"/>
      <c r="I585" s="634"/>
      <c r="J585" s="634"/>
      <c r="K585" s="634"/>
      <c r="L585" s="634"/>
      <c r="M585" s="634"/>
      <c r="N585" s="634"/>
      <c r="O585" s="634"/>
      <c r="P585" s="634"/>
      <c r="Q585" s="634"/>
    </row>
    <row r="586" spans="2:17">
      <c r="B586" s="634"/>
      <c r="C586" s="634"/>
      <c r="D586" s="634"/>
      <c r="E586" s="634"/>
      <c r="F586" s="634"/>
      <c r="G586" s="634"/>
      <c r="H586" s="634"/>
      <c r="I586" s="634"/>
      <c r="J586" s="634"/>
      <c r="K586" s="634"/>
      <c r="L586" s="634"/>
      <c r="M586" s="634"/>
      <c r="N586" s="634"/>
      <c r="O586" s="634"/>
      <c r="P586" s="634"/>
      <c r="Q586" s="634"/>
    </row>
    <row r="587" spans="2:17" ht="18.75">
      <c r="B587" s="634"/>
      <c r="C587" s="1450" t="s">
        <v>1147</v>
      </c>
      <c r="D587" s="634"/>
      <c r="E587" s="634"/>
      <c r="F587" s="634"/>
      <c r="G587" s="634"/>
      <c r="H587" s="634"/>
      <c r="I587" s="634"/>
      <c r="J587" s="634"/>
      <c r="K587" s="634"/>
      <c r="L587" s="634"/>
      <c r="M587" s="634"/>
      <c r="N587" s="634"/>
      <c r="O587" s="634"/>
      <c r="P587" s="634"/>
      <c r="Q587" s="634"/>
    </row>
    <row r="588" spans="2:17">
      <c r="B588" s="634"/>
      <c r="C588" s="1444"/>
      <c r="D588" s="634"/>
      <c r="E588" s="634"/>
      <c r="F588" s="634"/>
      <c r="G588" s="634"/>
      <c r="H588" s="634"/>
      <c r="I588" s="634"/>
      <c r="J588" s="634"/>
      <c r="K588" s="634"/>
      <c r="L588" s="634"/>
      <c r="M588" s="634"/>
      <c r="N588" s="634"/>
      <c r="O588" s="634"/>
      <c r="P588" s="634"/>
      <c r="Q588" s="634"/>
    </row>
    <row r="589" spans="2:17">
      <c r="B589" s="634"/>
      <c r="C589" s="1444" t="s">
        <v>1111</v>
      </c>
      <c r="D589" s="634"/>
      <c r="E589" s="634"/>
      <c r="F589" s="634"/>
      <c r="G589" s="634"/>
      <c r="H589" s="634"/>
      <c r="I589" s="634"/>
      <c r="J589" s="634"/>
      <c r="K589" s="634"/>
      <c r="L589" s="634"/>
      <c r="M589" s="634"/>
      <c r="N589" s="634"/>
      <c r="O589" s="634"/>
      <c r="P589" s="634"/>
      <c r="Q589" s="634"/>
    </row>
    <row r="590" spans="2:17">
      <c r="B590" s="634"/>
      <c r="C590" s="1444" t="s">
        <v>1112</v>
      </c>
      <c r="D590" s="634"/>
      <c r="E590" s="634"/>
      <c r="F590" s="634"/>
      <c r="G590" s="634"/>
      <c r="H590" s="634"/>
      <c r="I590" s="634"/>
      <c r="J590" s="634"/>
      <c r="K590" s="634"/>
      <c r="L590" s="634"/>
      <c r="M590" s="634"/>
      <c r="N590" s="634"/>
      <c r="O590" s="634"/>
      <c r="P590" s="634"/>
      <c r="Q590" s="634"/>
    </row>
    <row r="591" spans="2:17">
      <c r="B591" s="634"/>
      <c r="C591" s="1444" t="s">
        <v>1113</v>
      </c>
      <c r="D591" s="634"/>
      <c r="E591" s="634"/>
      <c r="F591" s="634"/>
      <c r="G591" s="634"/>
      <c r="H591" s="634"/>
      <c r="I591" s="634"/>
      <c r="J591" s="634"/>
      <c r="K591" s="634"/>
      <c r="L591" s="634"/>
      <c r="M591" s="634"/>
      <c r="N591" s="634"/>
      <c r="O591" s="634"/>
      <c r="P591" s="634"/>
      <c r="Q591" s="634"/>
    </row>
    <row r="592" spans="2:17">
      <c r="B592" s="634"/>
      <c r="C592" s="1444" t="s">
        <v>1114</v>
      </c>
      <c r="D592" s="634"/>
      <c r="E592" s="634"/>
      <c r="F592" s="634"/>
      <c r="G592" s="634"/>
      <c r="H592" s="634"/>
      <c r="I592" s="634"/>
      <c r="J592" s="634"/>
      <c r="K592" s="634"/>
      <c r="L592" s="634"/>
      <c r="M592" s="634"/>
      <c r="N592" s="634"/>
      <c r="O592" s="634"/>
      <c r="P592" s="634"/>
      <c r="Q592" s="634"/>
    </row>
    <row r="593" spans="2:17">
      <c r="B593" s="634"/>
      <c r="C593" s="634"/>
      <c r="D593" s="634"/>
      <c r="E593" s="634"/>
      <c r="F593" s="634"/>
      <c r="G593" s="634"/>
      <c r="H593" s="634"/>
      <c r="I593" s="634"/>
      <c r="J593" s="634"/>
      <c r="K593" s="634"/>
      <c r="L593" s="634"/>
      <c r="M593" s="634"/>
      <c r="N593" s="634"/>
      <c r="O593" s="634"/>
      <c r="P593" s="634"/>
      <c r="Q593" s="634"/>
    </row>
    <row r="594" spans="2:17" ht="18.75">
      <c r="B594" s="634"/>
      <c r="C594" s="1450" t="s">
        <v>1148</v>
      </c>
      <c r="D594" s="634"/>
      <c r="E594" s="634"/>
      <c r="F594" s="634"/>
      <c r="G594" s="634"/>
      <c r="H594" s="634"/>
      <c r="I594" s="634"/>
      <c r="J594" s="634"/>
      <c r="K594" s="634"/>
      <c r="L594" s="634"/>
      <c r="M594" s="634"/>
      <c r="N594" s="634"/>
      <c r="O594" s="634"/>
      <c r="P594" s="634"/>
      <c r="Q594" s="634"/>
    </row>
    <row r="595" spans="2:17">
      <c r="B595" s="634"/>
      <c r="C595" s="1444"/>
      <c r="D595" s="634"/>
      <c r="E595" s="634"/>
      <c r="F595" s="634"/>
      <c r="G595" s="634"/>
      <c r="H595" s="634"/>
      <c r="I595" s="634"/>
      <c r="J595" s="634"/>
      <c r="K595" s="634"/>
      <c r="L595" s="634"/>
      <c r="M595" s="634"/>
      <c r="N595" s="634"/>
      <c r="O595" s="634"/>
      <c r="P595" s="634"/>
      <c r="Q595" s="634"/>
    </row>
    <row r="596" spans="2:17">
      <c r="B596" s="634"/>
      <c r="C596" s="1444" t="s">
        <v>1115</v>
      </c>
      <c r="D596" s="634"/>
      <c r="E596" s="634"/>
      <c r="F596" s="634"/>
      <c r="G596" s="634"/>
      <c r="H596" s="634"/>
      <c r="I596" s="634"/>
      <c r="J596" s="634"/>
      <c r="K596" s="634"/>
      <c r="L596" s="634"/>
      <c r="M596" s="634"/>
      <c r="N596" s="634"/>
      <c r="O596" s="634"/>
      <c r="P596" s="634"/>
      <c r="Q596" s="634"/>
    </row>
    <row r="597" spans="2:17">
      <c r="B597" s="634"/>
      <c r="C597" s="1444" t="s">
        <v>1116</v>
      </c>
      <c r="D597" s="634"/>
      <c r="E597" s="634"/>
      <c r="F597" s="634"/>
      <c r="G597" s="634"/>
      <c r="H597" s="634"/>
      <c r="I597" s="634"/>
      <c r="J597" s="634"/>
      <c r="K597" s="634"/>
      <c r="L597" s="634"/>
      <c r="M597" s="634"/>
      <c r="N597" s="634"/>
      <c r="O597" s="634"/>
      <c r="P597" s="634"/>
      <c r="Q597" s="634"/>
    </row>
    <row r="598" spans="2:17">
      <c r="B598" s="634"/>
      <c r="C598" s="1444" t="s">
        <v>1149</v>
      </c>
      <c r="D598" s="634"/>
      <c r="E598" s="634"/>
      <c r="F598" s="634"/>
      <c r="G598" s="634"/>
      <c r="H598" s="634"/>
      <c r="I598" s="634"/>
      <c r="J598" s="634"/>
      <c r="K598" s="634"/>
      <c r="L598" s="634"/>
      <c r="M598" s="634"/>
      <c r="N598" s="634"/>
      <c r="O598" s="634"/>
      <c r="P598" s="634"/>
      <c r="Q598" s="634"/>
    </row>
    <row r="599" spans="2:17">
      <c r="B599" s="634"/>
      <c r="C599" s="634"/>
      <c r="D599" s="634"/>
      <c r="E599" s="634"/>
      <c r="F599" s="634"/>
      <c r="G599" s="634"/>
      <c r="H599" s="634"/>
      <c r="I599" s="634"/>
      <c r="J599" s="634"/>
      <c r="K599" s="634"/>
      <c r="L599" s="634"/>
      <c r="M599" s="634"/>
      <c r="N599" s="634"/>
      <c r="O599" s="634"/>
      <c r="P599" s="634"/>
      <c r="Q599" s="634"/>
    </row>
    <row r="600" spans="2:17" ht="18.75">
      <c r="B600" s="634"/>
      <c r="C600" s="1450" t="s">
        <v>1150</v>
      </c>
      <c r="D600" s="634"/>
      <c r="E600" s="634"/>
      <c r="F600" s="634"/>
      <c r="G600" s="634"/>
      <c r="H600" s="634"/>
      <c r="I600" s="634"/>
      <c r="J600" s="634"/>
      <c r="K600" s="634"/>
      <c r="L600" s="634"/>
      <c r="M600" s="634"/>
      <c r="N600" s="634"/>
      <c r="O600" s="634"/>
      <c r="P600" s="634"/>
      <c r="Q600" s="634"/>
    </row>
    <row r="601" spans="2:17">
      <c r="B601" s="634"/>
      <c r="C601" s="634"/>
      <c r="D601" s="634"/>
      <c r="E601" s="634"/>
      <c r="F601" s="634"/>
      <c r="G601" s="634"/>
      <c r="H601" s="634"/>
      <c r="I601" s="634"/>
      <c r="J601" s="634"/>
      <c r="K601" s="634"/>
      <c r="L601" s="634"/>
      <c r="M601" s="634"/>
      <c r="N601" s="634"/>
      <c r="O601" s="634"/>
      <c r="P601" s="634"/>
      <c r="Q601" s="634"/>
    </row>
    <row r="602" spans="2:17" ht="18.75">
      <c r="B602" s="634"/>
      <c r="C602" s="1450" t="s">
        <v>1151</v>
      </c>
      <c r="D602" s="634"/>
      <c r="E602" s="634"/>
      <c r="F602" s="634"/>
      <c r="G602" s="634"/>
      <c r="H602" s="634"/>
      <c r="I602" s="634"/>
      <c r="J602" s="634"/>
      <c r="K602" s="634"/>
      <c r="L602" s="634"/>
      <c r="M602" s="634"/>
      <c r="N602" s="634"/>
      <c r="O602" s="634"/>
      <c r="P602" s="634"/>
      <c r="Q602" s="634"/>
    </row>
    <row r="603" spans="2:17">
      <c r="B603" s="634"/>
      <c r="C603" s="634"/>
      <c r="D603" s="634"/>
      <c r="E603" s="634"/>
      <c r="F603" s="634"/>
      <c r="G603" s="634"/>
      <c r="H603" s="634"/>
      <c r="I603" s="634"/>
      <c r="J603" s="634"/>
      <c r="K603" s="634"/>
      <c r="L603" s="634"/>
      <c r="M603" s="634"/>
      <c r="N603" s="634"/>
      <c r="O603" s="634"/>
      <c r="P603" s="634"/>
      <c r="Q603" s="634"/>
    </row>
    <row r="604" spans="2:17">
      <c r="B604" s="634"/>
      <c r="C604" s="1449" t="s">
        <v>1152</v>
      </c>
      <c r="D604" s="634"/>
      <c r="E604" s="634"/>
      <c r="F604" s="634"/>
      <c r="G604" s="634"/>
      <c r="H604" s="634"/>
      <c r="I604" s="634"/>
      <c r="J604" s="634"/>
      <c r="K604" s="634"/>
      <c r="L604" s="634"/>
      <c r="M604" s="634"/>
      <c r="N604" s="634"/>
      <c r="O604" s="634"/>
      <c r="P604" s="634"/>
      <c r="Q604" s="634"/>
    </row>
    <row r="605" spans="2:17">
      <c r="B605" s="634"/>
      <c r="C605" s="1449" t="s">
        <v>1153</v>
      </c>
      <c r="D605" s="634"/>
      <c r="E605" s="634"/>
      <c r="F605" s="634"/>
      <c r="G605" s="634"/>
      <c r="H605" s="634"/>
      <c r="I605" s="634"/>
      <c r="J605" s="634"/>
      <c r="K605" s="634"/>
      <c r="L605" s="634"/>
      <c r="M605" s="634"/>
      <c r="N605" s="634"/>
      <c r="O605" s="634"/>
      <c r="P605" s="634"/>
      <c r="Q605" s="634"/>
    </row>
    <row r="606" spans="2:17">
      <c r="B606" s="634"/>
      <c r="C606" s="1449" t="s">
        <v>1154</v>
      </c>
      <c r="D606" s="634"/>
      <c r="E606" s="634"/>
      <c r="F606" s="634"/>
      <c r="G606" s="634"/>
      <c r="H606" s="634"/>
      <c r="I606" s="634"/>
      <c r="J606" s="634"/>
      <c r="K606" s="634"/>
      <c r="L606" s="634"/>
      <c r="M606" s="634"/>
      <c r="N606" s="634"/>
      <c r="O606" s="634"/>
      <c r="P606" s="634"/>
      <c r="Q606" s="634"/>
    </row>
    <row r="607" spans="2:17">
      <c r="B607" s="634"/>
      <c r="C607" s="1449" t="s">
        <v>1155</v>
      </c>
      <c r="D607" s="634"/>
      <c r="E607" s="634"/>
      <c r="F607" s="634"/>
      <c r="G607" s="634"/>
      <c r="H607" s="634"/>
      <c r="I607" s="634"/>
      <c r="J607" s="634"/>
      <c r="K607" s="634"/>
      <c r="L607" s="634"/>
      <c r="M607" s="634"/>
      <c r="N607" s="634"/>
      <c r="O607" s="634"/>
      <c r="P607" s="634"/>
      <c r="Q607" s="634"/>
    </row>
    <row r="608" spans="2:17">
      <c r="B608" s="634"/>
      <c r="C608" s="634"/>
      <c r="D608" s="634"/>
      <c r="E608" s="634"/>
      <c r="F608" s="634"/>
      <c r="G608" s="634"/>
      <c r="H608" s="634"/>
      <c r="I608" s="634"/>
      <c r="J608" s="634"/>
      <c r="K608" s="634"/>
      <c r="L608" s="634"/>
      <c r="M608" s="634"/>
      <c r="N608" s="634"/>
      <c r="O608" s="634"/>
      <c r="P608" s="634"/>
      <c r="Q608" s="634"/>
    </row>
    <row r="609" spans="2:17" ht="18.75">
      <c r="B609" s="634"/>
      <c r="C609" s="1450" t="s">
        <v>1156</v>
      </c>
      <c r="D609" s="634"/>
      <c r="E609" s="634"/>
      <c r="F609" s="634"/>
      <c r="G609" s="634"/>
      <c r="H609" s="634"/>
      <c r="I609" s="634"/>
      <c r="J609" s="634"/>
      <c r="K609" s="634"/>
      <c r="L609" s="634"/>
      <c r="M609" s="634"/>
      <c r="N609" s="634"/>
      <c r="O609" s="634"/>
      <c r="P609" s="634"/>
      <c r="Q609" s="634"/>
    </row>
    <row r="610" spans="2:17">
      <c r="B610" s="634"/>
      <c r="C610" s="634"/>
      <c r="D610" s="634"/>
      <c r="E610" s="634"/>
      <c r="F610" s="634"/>
      <c r="G610" s="634"/>
      <c r="H610" s="634"/>
      <c r="I610" s="634"/>
      <c r="J610" s="634"/>
      <c r="K610" s="634"/>
      <c r="L610" s="634"/>
      <c r="M610" s="634"/>
      <c r="N610" s="634"/>
      <c r="O610" s="634"/>
      <c r="P610" s="634"/>
      <c r="Q610" s="634"/>
    </row>
    <row r="611" spans="2:17">
      <c r="B611" s="634"/>
      <c r="C611" s="1449" t="s">
        <v>1157</v>
      </c>
      <c r="D611" s="634"/>
      <c r="E611" s="634"/>
      <c r="F611" s="634"/>
      <c r="G611" s="634"/>
      <c r="H611" s="634"/>
      <c r="I611" s="634"/>
      <c r="J611" s="634"/>
      <c r="K611" s="634"/>
      <c r="L611" s="634"/>
      <c r="M611" s="634"/>
      <c r="N611" s="634"/>
      <c r="O611" s="634"/>
      <c r="P611" s="634"/>
      <c r="Q611" s="634"/>
    </row>
    <row r="612" spans="2:17">
      <c r="B612" s="634"/>
      <c r="C612" s="1449" t="s">
        <v>1158</v>
      </c>
      <c r="D612" s="634"/>
      <c r="E612" s="634"/>
      <c r="F612" s="634"/>
      <c r="G612" s="634"/>
      <c r="H612" s="634"/>
      <c r="I612" s="634"/>
      <c r="J612" s="634"/>
      <c r="K612" s="634"/>
      <c r="L612" s="634"/>
      <c r="M612" s="634"/>
      <c r="N612" s="634"/>
      <c r="O612" s="634"/>
      <c r="P612" s="634"/>
      <c r="Q612" s="634"/>
    </row>
    <row r="613" spans="2:17">
      <c r="B613" s="634"/>
      <c r="C613" s="1449" t="s">
        <v>1159</v>
      </c>
      <c r="D613" s="634"/>
      <c r="E613" s="634"/>
      <c r="F613" s="634"/>
      <c r="G613" s="634"/>
      <c r="H613" s="634"/>
      <c r="I613" s="634"/>
      <c r="J613" s="634"/>
      <c r="K613" s="634"/>
      <c r="L613" s="634"/>
      <c r="M613" s="634"/>
      <c r="N613" s="634"/>
      <c r="O613" s="634"/>
      <c r="P613" s="634"/>
      <c r="Q613" s="634"/>
    </row>
    <row r="614" spans="2:17">
      <c r="B614" s="634"/>
      <c r="C614" s="1449" t="s">
        <v>1160</v>
      </c>
      <c r="D614" s="634"/>
      <c r="E614" s="634"/>
      <c r="F614" s="634"/>
      <c r="G614" s="634"/>
      <c r="H614" s="634"/>
      <c r="I614" s="634"/>
      <c r="J614" s="634"/>
      <c r="K614" s="634"/>
      <c r="L614" s="634"/>
      <c r="M614" s="634"/>
      <c r="N614" s="634"/>
      <c r="O614" s="634"/>
      <c r="P614" s="634"/>
      <c r="Q614" s="634"/>
    </row>
    <row r="615" spans="2:17">
      <c r="B615" s="634"/>
      <c r="C615" s="1449" t="s">
        <v>1161</v>
      </c>
      <c r="D615" s="634"/>
      <c r="E615" s="634"/>
      <c r="F615" s="634"/>
      <c r="G615" s="634"/>
      <c r="H615" s="634"/>
      <c r="I615" s="634"/>
      <c r="J615" s="634"/>
      <c r="K615" s="634"/>
      <c r="L615" s="634"/>
      <c r="M615" s="634"/>
      <c r="N615" s="634"/>
      <c r="O615" s="634"/>
      <c r="P615" s="634"/>
      <c r="Q615" s="634"/>
    </row>
    <row r="616" spans="2:17">
      <c r="B616" s="634"/>
      <c r="C616" s="1449" t="s">
        <v>1162</v>
      </c>
      <c r="D616" s="634"/>
      <c r="E616" s="634"/>
      <c r="F616" s="634"/>
      <c r="G616" s="634"/>
      <c r="H616" s="634"/>
      <c r="I616" s="634"/>
      <c r="J616" s="634"/>
      <c r="K616" s="634"/>
      <c r="L616" s="634"/>
      <c r="M616" s="634"/>
      <c r="N616" s="634"/>
      <c r="O616" s="634"/>
      <c r="P616" s="634"/>
      <c r="Q616" s="634"/>
    </row>
    <row r="617" spans="2:17">
      <c r="B617" s="634"/>
      <c r="C617" s="1449" t="s">
        <v>1163</v>
      </c>
      <c r="D617" s="634"/>
      <c r="E617" s="634"/>
      <c r="F617" s="634"/>
      <c r="G617" s="634"/>
      <c r="H617" s="634"/>
      <c r="I617" s="634"/>
      <c r="J617" s="634"/>
      <c r="K617" s="634"/>
      <c r="L617" s="634"/>
      <c r="M617" s="634"/>
      <c r="N617" s="634"/>
      <c r="O617" s="634"/>
      <c r="P617" s="634"/>
      <c r="Q617" s="634"/>
    </row>
    <row r="618" spans="2:17" ht="16.5" thickBot="1">
      <c r="B618" s="634"/>
      <c r="C618" s="1449"/>
      <c r="D618" s="634"/>
      <c r="E618" s="634"/>
      <c r="F618" s="634"/>
      <c r="G618" s="634"/>
      <c r="H618" s="634"/>
      <c r="I618" s="634"/>
      <c r="J618" s="634"/>
      <c r="K618" s="634"/>
      <c r="L618" s="634"/>
      <c r="M618" s="634"/>
      <c r="N618" s="634"/>
      <c r="O618" s="634"/>
      <c r="P618" s="634"/>
      <c r="Q618" s="634"/>
    </row>
    <row r="619" spans="2:17" ht="21">
      <c r="B619" s="1192" t="s">
        <v>70</v>
      </c>
      <c r="C619" s="5892" t="s">
        <v>1301</v>
      </c>
      <c r="D619" s="5893"/>
      <c r="E619" s="5893"/>
      <c r="F619" s="5893"/>
      <c r="G619" s="5893"/>
      <c r="H619" s="5893"/>
      <c r="I619" s="5893"/>
      <c r="J619" s="5893"/>
      <c r="K619" s="5894"/>
      <c r="L619" s="634"/>
      <c r="M619" s="634"/>
      <c r="N619" s="634"/>
      <c r="O619" s="634"/>
      <c r="P619" s="634"/>
      <c r="Q619" s="634"/>
    </row>
    <row r="620" spans="2:17" ht="16.5" thickBot="1">
      <c r="B620" s="4717" t="str">
        <f>C619</f>
        <v>Calcul de la température de l'eau de coulage et de la Base</v>
      </c>
      <c r="C620" s="1483" t="str">
        <f>ADDRESS(ROW(),COLUMN(),4)</f>
        <v>C620</v>
      </c>
      <c r="D620" s="1484" t="s">
        <v>691</v>
      </c>
      <c r="E620" s="1224"/>
      <c r="F620" s="1224"/>
      <c r="G620" s="1224"/>
      <c r="H620" s="1224"/>
      <c r="I620" s="1225"/>
      <c r="J620" s="1225" t="str">
        <f ca="1">MID(CELL("filename",C620),SEARCH("[",CELL("filename",C620))+1,SEARCH("]",CELL("filename",C620))-SEARCH("[",CELL("filename",C620))-1)</f>
        <v>ff-22-formats-formules-pourcentages.xlsx</v>
      </c>
      <c r="K620" s="1226">
        <v>4</v>
      </c>
      <c r="L620" s="634"/>
      <c r="M620" s="634"/>
      <c r="N620" s="634"/>
      <c r="O620" s="634"/>
      <c r="P620" s="634"/>
      <c r="Q620" s="634"/>
    </row>
    <row r="621" spans="2:17">
      <c r="B621" s="4717"/>
      <c r="C621" s="1627"/>
      <c r="D621" s="729"/>
      <c r="E621" s="729"/>
      <c r="F621" s="729"/>
      <c r="G621" s="729"/>
      <c r="H621" s="729"/>
      <c r="I621" s="729"/>
      <c r="J621" s="729"/>
      <c r="K621" s="730"/>
      <c r="L621" s="634"/>
      <c r="M621" s="634"/>
      <c r="N621" s="634"/>
      <c r="O621" s="634"/>
      <c r="P621" s="634"/>
      <c r="Q621" s="634"/>
    </row>
    <row r="622" spans="2:17" ht="18.75">
      <c r="B622" s="4717"/>
      <c r="C622" s="633"/>
      <c r="D622" s="1623" t="s">
        <v>1300</v>
      </c>
      <c r="E622" s="634"/>
      <c r="F622" s="634"/>
      <c r="G622" s="634"/>
      <c r="H622" s="634"/>
      <c r="I622" s="634"/>
      <c r="J622" s="634"/>
      <c r="K622" s="517"/>
      <c r="L622" s="634"/>
      <c r="M622" s="634"/>
      <c r="N622" s="634"/>
      <c r="O622" s="634"/>
      <c r="P622" s="634"/>
      <c r="Q622" s="634"/>
    </row>
    <row r="623" spans="2:17" ht="18.75">
      <c r="B623" s="4717"/>
      <c r="C623" s="633"/>
      <c r="D623" s="1623"/>
      <c r="E623" s="634"/>
      <c r="F623" s="634"/>
      <c r="G623" s="634"/>
      <c r="H623" s="634"/>
      <c r="I623" s="634"/>
      <c r="J623" s="634"/>
      <c r="K623" s="517"/>
      <c r="L623" s="634"/>
      <c r="M623" s="634"/>
      <c r="N623" s="634"/>
      <c r="O623" s="634"/>
      <c r="P623" s="634"/>
      <c r="Q623" s="634"/>
    </row>
    <row r="624" spans="2:17" ht="18.75">
      <c r="B624" s="4717"/>
      <c r="C624" s="633"/>
      <c r="D624" s="1623" t="s">
        <v>1266</v>
      </c>
      <c r="E624" s="634"/>
      <c r="F624" s="634" t="s">
        <v>1299</v>
      </c>
      <c r="G624" s="634"/>
      <c r="H624" s="634"/>
      <c r="I624" s="634"/>
      <c r="J624" s="634"/>
      <c r="K624" s="517"/>
      <c r="L624" s="634"/>
      <c r="M624" s="634"/>
      <c r="N624" s="634"/>
      <c r="O624" s="634"/>
      <c r="P624" s="634"/>
      <c r="Q624" s="634"/>
    </row>
    <row r="625" spans="2:17">
      <c r="B625" s="4717"/>
      <c r="C625" s="633"/>
      <c r="D625" s="1626"/>
      <c r="E625" s="634"/>
      <c r="F625" s="634"/>
      <c r="G625" s="634"/>
      <c r="H625" s="634"/>
      <c r="I625" s="634"/>
      <c r="J625" s="634"/>
      <c r="K625" s="517"/>
      <c r="L625" s="634"/>
      <c r="M625" s="634"/>
      <c r="N625" s="634"/>
      <c r="O625" s="634"/>
      <c r="P625" s="634"/>
      <c r="Q625" s="634"/>
    </row>
    <row r="626" spans="2:17" ht="18.75">
      <c r="B626" s="4717"/>
      <c r="C626" s="633"/>
      <c r="D626" s="1010" t="s">
        <v>1279</v>
      </c>
      <c r="E626" s="892"/>
      <c r="F626" s="1010" t="s">
        <v>1268</v>
      </c>
      <c r="G626" s="1587"/>
      <c r="H626" s="1010" t="s">
        <v>1267</v>
      </c>
      <c r="I626" s="1625"/>
      <c r="J626" s="1608" t="s">
        <v>1265</v>
      </c>
      <c r="K626" s="517"/>
      <c r="L626" s="634"/>
      <c r="M626" s="634"/>
      <c r="N626" s="634"/>
      <c r="O626" s="634"/>
      <c r="P626" s="634"/>
      <c r="Q626" s="634"/>
    </row>
    <row r="627" spans="2:17" ht="18.75">
      <c r="B627" s="4717"/>
      <c r="C627" s="633"/>
      <c r="D627" s="1586">
        <v>55</v>
      </c>
      <c r="E627" s="1607" t="s">
        <v>1290</v>
      </c>
      <c r="F627" s="1586">
        <v>30</v>
      </c>
      <c r="G627" s="1606" t="s">
        <v>1289</v>
      </c>
      <c r="H627" s="1586">
        <v>18</v>
      </c>
      <c r="I627" s="1605" t="s">
        <v>1288</v>
      </c>
      <c r="J627" s="1624">
        <f>D627-(F627+H627)</f>
        <v>7</v>
      </c>
      <c r="K627" s="1410"/>
      <c r="L627" s="634"/>
      <c r="M627" s="634"/>
      <c r="N627" s="634"/>
      <c r="O627" s="634"/>
      <c r="P627" s="634"/>
      <c r="Q627" s="634"/>
    </row>
    <row r="628" spans="2:17">
      <c r="B628" s="4717"/>
      <c r="C628" s="633"/>
      <c r="D628" s="1253" t="str">
        <f>ADDRESS(ROW(D627),COLUMN(D627),4)</f>
        <v>D627</v>
      </c>
      <c r="F628" s="1253" t="str">
        <f>ADDRESS(ROW(F627),COLUMN(F627),4)</f>
        <v>F627</v>
      </c>
      <c r="G628" s="634"/>
      <c r="H628" s="1253" t="str">
        <f>ADDRESS(ROW(H627),COLUMN(H627),4)</f>
        <v>H627</v>
      </c>
      <c r="I628" s="634"/>
      <c r="J628" s="680" t="str">
        <f ca="1">_xlfn.FORMULATEXT(J627)</f>
        <v>=D627-(F627+H627)</v>
      </c>
      <c r="K628" s="517"/>
      <c r="L628" s="634"/>
      <c r="M628" s="634"/>
      <c r="N628" s="634"/>
      <c r="O628" s="634"/>
      <c r="P628" s="634"/>
      <c r="Q628" s="634"/>
    </row>
    <row r="629" spans="2:17">
      <c r="B629" s="4717"/>
      <c r="C629" s="1351"/>
      <c r="D629" s="1012"/>
      <c r="E629" s="1012"/>
      <c r="F629" s="1012"/>
      <c r="G629" s="1012"/>
      <c r="H629" s="1012"/>
      <c r="I629" s="1012"/>
      <c r="J629" s="1601"/>
      <c r="K629" s="1194"/>
      <c r="L629" s="634"/>
      <c r="M629" s="634"/>
      <c r="N629" s="634"/>
      <c r="O629" s="634"/>
      <c r="P629" s="634"/>
      <c r="Q629" s="634"/>
    </row>
    <row r="630" spans="2:17">
      <c r="B630" s="4717"/>
      <c r="C630" s="633"/>
      <c r="D630" s="634"/>
      <c r="E630" s="634"/>
      <c r="F630" s="634"/>
      <c r="G630" s="634"/>
      <c r="H630" s="634"/>
      <c r="I630" s="634"/>
      <c r="J630" s="680"/>
      <c r="K630" s="517"/>
      <c r="L630" s="634"/>
      <c r="M630" s="634"/>
      <c r="N630" s="634"/>
      <c r="O630" s="634"/>
      <c r="P630" s="634"/>
      <c r="Q630" s="634"/>
    </row>
    <row r="631" spans="2:17" ht="18.75">
      <c r="B631" s="4717"/>
      <c r="C631" s="633"/>
      <c r="D631" s="1623" t="s">
        <v>1298</v>
      </c>
      <c r="E631" s="634"/>
      <c r="F631" s="634"/>
      <c r="G631" s="634"/>
      <c r="H631" s="634"/>
      <c r="I631" s="634"/>
      <c r="J631" s="680"/>
      <c r="K631" s="517"/>
      <c r="L631" s="634"/>
      <c r="M631" s="634"/>
      <c r="N631" s="634"/>
      <c r="O631" s="634"/>
      <c r="P631" s="634"/>
      <c r="Q631" s="634"/>
    </row>
    <row r="632" spans="2:17">
      <c r="B632" s="4717"/>
      <c r="C632" s="633"/>
      <c r="D632" s="634"/>
      <c r="E632" s="634"/>
      <c r="F632" s="634"/>
      <c r="G632" s="634"/>
      <c r="H632" s="634"/>
      <c r="I632" s="634"/>
      <c r="J632" s="680"/>
      <c r="K632" s="517"/>
      <c r="L632" s="634"/>
      <c r="M632" s="634"/>
      <c r="N632" s="634"/>
      <c r="O632" s="634"/>
      <c r="P632" s="634"/>
      <c r="Q632" s="634"/>
    </row>
    <row r="633" spans="2:17">
      <c r="B633" s="4717"/>
      <c r="C633" s="633"/>
      <c r="D633" s="1587" t="s">
        <v>1268</v>
      </c>
      <c r="E633" s="634"/>
      <c r="F633" s="1587" t="s">
        <v>1267</v>
      </c>
      <c r="G633" s="634"/>
      <c r="H633" s="1587" t="s">
        <v>1265</v>
      </c>
      <c r="I633" s="634"/>
      <c r="J633" s="1587" t="s">
        <v>1279</v>
      </c>
      <c r="K633" s="517"/>
      <c r="L633" s="634"/>
      <c r="M633" s="634"/>
      <c r="N633" s="634"/>
      <c r="O633" s="634"/>
      <c r="P633" s="634"/>
      <c r="Q633" s="634"/>
    </row>
    <row r="634" spans="2:17" ht="18.75">
      <c r="B634" s="4717"/>
      <c r="C634" s="633"/>
      <c r="D634" s="1586">
        <v>30</v>
      </c>
      <c r="E634" s="1606" t="s">
        <v>1289</v>
      </c>
      <c r="F634" s="1586">
        <v>30</v>
      </c>
      <c r="G634" s="1606" t="s">
        <v>1289</v>
      </c>
      <c r="H634" s="1586">
        <v>0</v>
      </c>
      <c r="I634" s="1605" t="s">
        <v>1288</v>
      </c>
      <c r="J634" s="1582">
        <f>D634+F634+H634</f>
        <v>60</v>
      </c>
      <c r="K634" s="517"/>
      <c r="L634" s="634"/>
      <c r="M634" s="634"/>
      <c r="N634" s="634"/>
      <c r="O634" s="634"/>
      <c r="P634" s="634"/>
      <c r="Q634" s="634"/>
    </row>
    <row r="635" spans="2:17" ht="18.75">
      <c r="B635" s="4717"/>
      <c r="C635" s="633"/>
      <c r="D635" s="1586">
        <v>18</v>
      </c>
      <c r="E635" s="1606" t="s">
        <v>1289</v>
      </c>
      <c r="F635" s="1586">
        <v>17</v>
      </c>
      <c r="G635" s="1606" t="s">
        <v>1289</v>
      </c>
      <c r="H635" s="1586">
        <v>33</v>
      </c>
      <c r="I635" s="1605" t="s">
        <v>1288</v>
      </c>
      <c r="J635" s="1582">
        <f>D635+F635+H635</f>
        <v>68</v>
      </c>
      <c r="K635" s="517"/>
      <c r="L635" s="634"/>
      <c r="M635" s="634"/>
      <c r="N635" s="634"/>
      <c r="O635" s="634"/>
      <c r="P635" s="634"/>
      <c r="Q635" s="634"/>
    </row>
    <row r="636" spans="2:17">
      <c r="B636" s="4717"/>
      <c r="C636" s="1351"/>
      <c r="D636" s="1012"/>
      <c r="E636" s="1012"/>
      <c r="F636" s="1012"/>
      <c r="G636" s="1012"/>
      <c r="H636" s="1012"/>
      <c r="I636" s="1012"/>
      <c r="J636" s="1601" t="str">
        <f ca="1">_xlfn.FORMULATEXT(J635)</f>
        <v>=D635+F635+H635</v>
      </c>
      <c r="K636" s="1194"/>
      <c r="L636" s="634"/>
      <c r="M636" s="634"/>
      <c r="N636" s="634"/>
      <c r="O636" s="634"/>
      <c r="P636" s="634"/>
      <c r="Q636" s="634"/>
    </row>
    <row r="637" spans="2:17">
      <c r="B637" s="4717"/>
      <c r="C637" s="633"/>
      <c r="D637" s="634"/>
      <c r="E637" s="634"/>
      <c r="F637" s="634"/>
      <c r="G637" s="634"/>
      <c r="H637" s="634"/>
      <c r="I637" s="634"/>
      <c r="J637" s="680"/>
      <c r="K637" s="517"/>
      <c r="L637" s="634"/>
      <c r="M637" s="634"/>
      <c r="N637" s="634"/>
      <c r="O637" s="634"/>
      <c r="P637" s="634"/>
      <c r="Q637" s="634"/>
    </row>
    <row r="638" spans="2:17">
      <c r="B638" s="4717"/>
      <c r="C638" s="1592" t="s">
        <v>1277</v>
      </c>
      <c r="D638" s="1422"/>
      <c r="E638" s="1422"/>
      <c r="F638" s="1422"/>
      <c r="G638" s="1422"/>
      <c r="H638" s="1422"/>
      <c r="I638" s="1422"/>
      <c r="J638" s="1422"/>
      <c r="K638" s="1562"/>
      <c r="L638" s="634"/>
      <c r="M638" s="634"/>
      <c r="N638" s="634"/>
      <c r="O638" s="634"/>
      <c r="P638" s="634"/>
      <c r="Q638" s="634"/>
    </row>
    <row r="639" spans="2:17">
      <c r="B639" s="4717"/>
      <c r="C639" s="1592" t="s">
        <v>1276</v>
      </c>
      <c r="D639" s="1422"/>
      <c r="E639" s="1422"/>
      <c r="F639" s="1422"/>
      <c r="G639" s="1422"/>
      <c r="H639" s="1422"/>
      <c r="I639" s="1422"/>
      <c r="J639" s="1422"/>
      <c r="K639" s="1562"/>
      <c r="L639" s="634"/>
      <c r="M639" s="634"/>
      <c r="N639" s="634"/>
      <c r="O639" s="634"/>
      <c r="P639" s="634"/>
      <c r="Q639" s="634"/>
    </row>
    <row r="640" spans="2:17">
      <c r="B640" s="4717"/>
      <c r="C640" s="1622"/>
      <c r="D640" s="1620"/>
      <c r="E640" s="1620"/>
      <c r="F640" s="1620"/>
      <c r="G640" s="1620"/>
      <c r="H640" s="1620"/>
      <c r="I640" s="1620"/>
      <c r="J640" s="1620"/>
      <c r="K640" s="1619"/>
      <c r="L640" s="634"/>
      <c r="M640" s="634"/>
      <c r="N640" s="634"/>
      <c r="O640" s="634"/>
      <c r="P640" s="634"/>
      <c r="Q640" s="634"/>
    </row>
    <row r="641" spans="2:17">
      <c r="B641" s="4717"/>
      <c r="C641" s="633" t="s">
        <v>1048</v>
      </c>
      <c r="D641" s="1422"/>
      <c r="E641" s="1422"/>
      <c r="F641" s="1422"/>
      <c r="G641" s="1422"/>
      <c r="H641" s="1422"/>
      <c r="I641" s="1422"/>
      <c r="J641" s="1422"/>
      <c r="K641" s="1562"/>
      <c r="L641" s="634"/>
      <c r="M641" s="634"/>
      <c r="N641" s="634"/>
      <c r="O641" s="634"/>
      <c r="P641" s="634"/>
      <c r="Q641" s="634"/>
    </row>
    <row r="642" spans="2:17">
      <c r="B642" s="4717"/>
      <c r="C642" s="656" t="s">
        <v>1264</v>
      </c>
      <c r="D642" s="1422"/>
      <c r="E642" s="1422"/>
      <c r="F642" s="1422"/>
      <c r="G642" s="1422"/>
      <c r="H642" s="1422"/>
      <c r="I642" s="1422"/>
      <c r="J642" s="1422"/>
      <c r="K642" s="1562"/>
      <c r="L642" s="634"/>
      <c r="M642" s="634"/>
      <c r="N642" s="634"/>
      <c r="O642" s="634"/>
      <c r="P642" s="634"/>
      <c r="Q642" s="634"/>
    </row>
    <row r="643" spans="2:17">
      <c r="B643" s="4717"/>
      <c r="C643" s="1621" t="s">
        <v>1263</v>
      </c>
      <c r="D643" s="1620"/>
      <c r="E643" s="1620"/>
      <c r="F643" s="1620"/>
      <c r="G643" s="1620"/>
      <c r="H643" s="1620"/>
      <c r="I643" s="1620"/>
      <c r="J643" s="1620"/>
      <c r="K643" s="1619"/>
      <c r="L643" s="634"/>
      <c r="M643" s="634"/>
      <c r="N643" s="634"/>
      <c r="O643" s="634"/>
      <c r="P643" s="634"/>
      <c r="Q643" s="634"/>
    </row>
    <row r="644" spans="2:17">
      <c r="B644" s="4717"/>
      <c r="C644" s="656"/>
      <c r="D644" s="1422"/>
      <c r="E644" s="1422"/>
      <c r="F644" s="1422"/>
      <c r="G644" s="1422"/>
      <c r="H644" s="1422"/>
      <c r="I644" s="1422"/>
      <c r="J644" s="1422"/>
      <c r="K644" s="1562"/>
      <c r="L644" s="634"/>
      <c r="M644" s="634"/>
      <c r="N644" s="634"/>
      <c r="O644" s="634"/>
      <c r="P644" s="634"/>
      <c r="Q644" s="634"/>
    </row>
    <row r="645" spans="2:17" ht="21">
      <c r="B645" s="4717"/>
      <c r="C645" s="1452" t="s">
        <v>365</v>
      </c>
      <c r="D645" s="1565" t="s">
        <v>1262</v>
      </c>
      <c r="E645" s="1567"/>
      <c r="F645" s="1422"/>
      <c r="G645" s="1422"/>
      <c r="H645" s="1422"/>
      <c r="I645" s="1422"/>
      <c r="J645" s="1422"/>
      <c r="K645" s="1562"/>
      <c r="L645" s="634"/>
      <c r="M645" s="634"/>
      <c r="N645" s="634"/>
      <c r="O645" s="634"/>
      <c r="P645" s="634"/>
      <c r="Q645" s="634"/>
    </row>
    <row r="646" spans="2:17" ht="18.75">
      <c r="B646" s="4717"/>
      <c r="C646" s="1566"/>
      <c r="D646" s="1422"/>
      <c r="E646" s="1422"/>
      <c r="F646" s="1422"/>
      <c r="G646" s="1422"/>
      <c r="H646" s="1422"/>
      <c r="I646" s="1422"/>
      <c r="J646" s="1422"/>
      <c r="K646" s="1562"/>
      <c r="L646" s="634"/>
      <c r="M646" s="634"/>
      <c r="N646" s="634"/>
      <c r="O646" s="634"/>
      <c r="P646" s="634"/>
      <c r="Q646" s="634"/>
    </row>
    <row r="647" spans="2:17" ht="21">
      <c r="B647" s="4717"/>
      <c r="C647" s="1452" t="s">
        <v>365</v>
      </c>
      <c r="D647" s="1565" t="s">
        <v>1261</v>
      </c>
      <c r="E647" s="1564"/>
      <c r="F647" s="1563"/>
      <c r="G647" s="1565" t="s">
        <v>1260</v>
      </c>
      <c r="H647" s="1564"/>
      <c r="I647" s="1563"/>
      <c r="J647" s="1422"/>
      <c r="K647" s="1562"/>
      <c r="L647" s="634"/>
      <c r="M647" s="634"/>
      <c r="N647" s="634"/>
      <c r="O647" s="634"/>
      <c r="P647" s="634"/>
      <c r="Q647" s="634"/>
    </row>
    <row r="648" spans="2:17" ht="18.75">
      <c r="B648" s="4717"/>
      <c r="C648" s="1566"/>
      <c r="D648" s="1422"/>
      <c r="E648" s="1422"/>
      <c r="F648" s="1422"/>
      <c r="G648" s="1422"/>
      <c r="H648" s="1422"/>
      <c r="I648" s="1422"/>
      <c r="J648" s="1422"/>
      <c r="K648" s="1562"/>
      <c r="L648" s="634"/>
      <c r="M648" s="634"/>
      <c r="N648" s="634"/>
      <c r="O648" s="634"/>
      <c r="P648" s="634"/>
      <c r="Q648" s="634"/>
    </row>
    <row r="649" spans="2:17" ht="21">
      <c r="B649" s="4717"/>
      <c r="C649" s="1452" t="s">
        <v>365</v>
      </c>
      <c r="D649" s="1565" t="s">
        <v>1259</v>
      </c>
      <c r="E649" s="1564"/>
      <c r="F649" s="1563"/>
      <c r="G649" s="1565" t="s">
        <v>1258</v>
      </c>
      <c r="H649" s="1564"/>
      <c r="I649" s="1563"/>
      <c r="J649" s="1422"/>
      <c r="K649" s="1562"/>
      <c r="L649" s="634"/>
      <c r="M649" s="634"/>
      <c r="N649" s="634"/>
      <c r="O649" s="634"/>
      <c r="P649" s="634"/>
      <c r="Q649" s="634"/>
    </row>
    <row r="650" spans="2:17" ht="16.5" thickBot="1">
      <c r="B650" s="4717"/>
      <c r="C650" s="1618"/>
      <c r="D650" s="580"/>
      <c r="E650" s="580"/>
      <c r="F650" s="580"/>
      <c r="G650" s="580"/>
      <c r="H650" s="580"/>
      <c r="I650" s="580"/>
      <c r="J650" s="580"/>
      <c r="K650" s="581"/>
      <c r="L650" s="634"/>
      <c r="M650" s="634"/>
      <c r="N650" s="634"/>
      <c r="O650" s="634"/>
      <c r="P650" s="634"/>
      <c r="Q650" s="634"/>
    </row>
    <row r="651" spans="2:17" ht="16.5" thickBot="1">
      <c r="B651" s="634"/>
      <c r="C651" s="1449"/>
      <c r="D651" s="634"/>
      <c r="E651" s="634"/>
      <c r="F651" s="634"/>
      <c r="G651" s="634"/>
      <c r="H651" s="634"/>
      <c r="I651" s="634"/>
      <c r="J651" s="634"/>
      <c r="K651" s="634"/>
      <c r="L651" s="634"/>
      <c r="M651" s="634"/>
      <c r="N651" s="634"/>
      <c r="O651" s="634"/>
      <c r="P651" s="634"/>
      <c r="Q651" s="634"/>
    </row>
    <row r="652" spans="2:17" ht="21">
      <c r="B652" s="1192" t="s">
        <v>70</v>
      </c>
      <c r="C652" s="5892" t="s">
        <v>1275</v>
      </c>
      <c r="D652" s="5893"/>
      <c r="E652" s="5893"/>
      <c r="F652" s="5893"/>
      <c r="G652" s="5893"/>
      <c r="H652" s="5893"/>
      <c r="I652" s="5893"/>
      <c r="J652" s="5893"/>
      <c r="K652" s="5894"/>
      <c r="L652" s="634"/>
      <c r="M652" s="634"/>
      <c r="N652" s="634"/>
      <c r="O652" s="634"/>
      <c r="P652" s="634"/>
      <c r="Q652" s="634"/>
    </row>
    <row r="653" spans="2:17" ht="15.75" customHeight="1">
      <c r="B653" s="4717" t="str">
        <f>C652</f>
        <v>Température de la Base Perso</v>
      </c>
      <c r="C653" s="1483" t="str">
        <f>ADDRESS(ROW(),COLUMN(),4)</f>
        <v>C653</v>
      </c>
      <c r="D653" s="1484" t="s">
        <v>691</v>
      </c>
      <c r="E653" s="1224"/>
      <c r="F653" s="1224"/>
      <c r="G653" s="1224"/>
      <c r="H653" s="1224"/>
      <c r="I653" s="1225"/>
      <c r="J653" s="1225" t="str">
        <f ca="1">MID(CELL("filename",C653),SEARCH("[",CELL("filename",C653))+1,SEARCH("]",CELL("filename",C653))-SEARCH("[",CELL("filename",C653))-1)</f>
        <v>ff-22-formats-formules-pourcentages.xlsx</v>
      </c>
      <c r="K653" s="1226">
        <v>5</v>
      </c>
      <c r="L653" s="634"/>
      <c r="M653" s="634"/>
      <c r="N653" s="634"/>
      <c r="O653" s="634"/>
      <c r="P653" s="634"/>
      <c r="Q653" s="634"/>
    </row>
    <row r="654" spans="2:17">
      <c r="B654" s="4717"/>
      <c r="C654" s="633"/>
      <c r="D654" s="634"/>
      <c r="E654" s="634"/>
      <c r="F654" s="634"/>
      <c r="G654" s="634"/>
      <c r="H654" s="634"/>
      <c r="I654" s="634"/>
      <c r="J654" s="680"/>
      <c r="K654" s="517"/>
      <c r="L654" s="634"/>
      <c r="M654" s="634"/>
      <c r="N654" s="634"/>
      <c r="O654" s="634"/>
      <c r="P654" s="634"/>
      <c r="Q654" s="634"/>
    </row>
    <row r="655" spans="2:17" ht="18.75">
      <c r="B655" s="4717"/>
      <c r="C655" s="1867" t="s">
        <v>1297</v>
      </c>
      <c r="D655" s="1616"/>
      <c r="E655" s="1616"/>
      <c r="F655" s="1616"/>
      <c r="G655" s="1616"/>
      <c r="H655" s="1616"/>
      <c r="I655" s="1616"/>
      <c r="J655" s="1616"/>
      <c r="K655" s="1615"/>
      <c r="L655" s="634"/>
      <c r="M655" s="634"/>
      <c r="N655" s="634"/>
      <c r="O655" s="634"/>
      <c r="P655" s="634"/>
      <c r="Q655" s="634"/>
    </row>
    <row r="656" spans="2:17" ht="18.75">
      <c r="B656" s="4717"/>
      <c r="C656" s="1617"/>
      <c r="D656" s="1616"/>
      <c r="E656" s="1616"/>
      <c r="F656" s="1616"/>
      <c r="G656" s="1616"/>
      <c r="H656" s="1616"/>
      <c r="I656" s="1616"/>
      <c r="J656" s="1616"/>
      <c r="K656" s="1615"/>
      <c r="L656" s="634"/>
      <c r="M656" s="634"/>
      <c r="N656" s="634"/>
      <c r="O656" s="634"/>
      <c r="P656" s="634"/>
      <c r="Q656" s="634"/>
    </row>
    <row r="657" spans="2:17" ht="18.75">
      <c r="B657" s="4717"/>
      <c r="C657" s="633"/>
      <c r="D657" s="1200"/>
      <c r="E657" s="6016" t="s">
        <v>1296</v>
      </c>
      <c r="F657" s="6016"/>
      <c r="G657" s="6016"/>
      <c r="H657" s="6016"/>
      <c r="I657" s="6002">
        <v>23</v>
      </c>
      <c r="J657" s="6002"/>
      <c r="K657" s="517"/>
      <c r="L657" s="634"/>
      <c r="M657" s="634"/>
      <c r="N657" s="634"/>
      <c r="O657" s="634"/>
      <c r="P657" s="634"/>
      <c r="Q657" s="634"/>
    </row>
    <row r="658" spans="2:17" ht="15.75" customHeight="1">
      <c r="B658" s="4717"/>
      <c r="C658" s="633"/>
      <c r="D658" s="1587"/>
      <c r="E658" s="6016"/>
      <c r="F658" s="6016"/>
      <c r="G658" s="6016"/>
      <c r="H658" s="6016"/>
      <c r="I658" s="6002"/>
      <c r="J658" s="6002"/>
      <c r="K658" s="517"/>
      <c r="L658" s="634"/>
      <c r="M658" s="634"/>
      <c r="N658" s="634"/>
      <c r="O658" s="634"/>
      <c r="P658" s="634"/>
      <c r="Q658" s="634"/>
    </row>
    <row r="659" spans="2:17">
      <c r="B659" s="4717"/>
      <c r="C659" s="1614" t="s">
        <v>1295</v>
      </c>
      <c r="D659" s="1613"/>
      <c r="E659" s="1613"/>
      <c r="F659" s="1613"/>
      <c r="G659" s="1613"/>
      <c r="H659" s="1613"/>
      <c r="I659" s="1613"/>
      <c r="J659" s="1613"/>
      <c r="K659" s="1612"/>
      <c r="L659" s="634"/>
      <c r="M659" s="634"/>
      <c r="N659" s="634"/>
      <c r="O659" s="634"/>
      <c r="P659" s="634"/>
      <c r="Q659" s="634"/>
    </row>
    <row r="660" spans="2:17">
      <c r="B660" s="4717"/>
      <c r="C660" s="1614" t="s">
        <v>1294</v>
      </c>
      <c r="D660" s="1613"/>
      <c r="E660" s="1613"/>
      <c r="F660" s="1613"/>
      <c r="G660" s="1613"/>
      <c r="H660" s="1613"/>
      <c r="I660" s="1613"/>
      <c r="J660" s="1613"/>
      <c r="K660" s="1612"/>
      <c r="L660" s="634"/>
      <c r="M660" s="634"/>
      <c r="N660" s="634"/>
      <c r="O660" s="634"/>
      <c r="P660" s="634"/>
      <c r="Q660" s="634"/>
    </row>
    <row r="661" spans="2:17">
      <c r="B661" s="4717"/>
      <c r="C661" s="1611" t="s">
        <v>1293</v>
      </c>
      <c r="D661" s="1610"/>
      <c r="E661" s="1610"/>
      <c r="F661" s="1610"/>
      <c r="G661" s="1610"/>
      <c r="H661" s="1610"/>
      <c r="I661" s="1610"/>
      <c r="J661" s="1610"/>
      <c r="K661" s="1609"/>
      <c r="L661" s="634"/>
      <c r="M661" s="634"/>
      <c r="N661" s="634"/>
      <c r="O661" s="634"/>
      <c r="P661" s="634"/>
      <c r="Q661" s="634"/>
    </row>
    <row r="662" spans="2:17">
      <c r="B662" s="4717"/>
      <c r="C662" s="1516" t="s">
        <v>1292</v>
      </c>
      <c r="D662" s="1269"/>
      <c r="E662" s="1269"/>
      <c r="F662" s="1269"/>
      <c r="G662" s="1269"/>
      <c r="H662" s="1269"/>
      <c r="I662" s="1269"/>
      <c r="J662" s="1269"/>
      <c r="K662" s="1517"/>
      <c r="L662" s="634"/>
      <c r="M662" s="634"/>
      <c r="N662" s="634"/>
      <c r="O662" s="634"/>
      <c r="P662" s="634"/>
      <c r="Q662" s="634"/>
    </row>
    <row r="663" spans="2:17">
      <c r="B663" s="4717"/>
      <c r="C663" s="633"/>
      <c r="D663" s="1587"/>
      <c r="E663" s="634"/>
      <c r="F663" s="634"/>
      <c r="G663" s="634"/>
      <c r="H663" s="634"/>
      <c r="I663" s="1010"/>
      <c r="J663" s="1346"/>
      <c r="K663" s="517"/>
      <c r="L663" s="634"/>
      <c r="M663" s="634"/>
      <c r="N663" s="634"/>
      <c r="O663" s="634"/>
      <c r="P663" s="634"/>
      <c r="Q663" s="634"/>
    </row>
    <row r="664" spans="2:17">
      <c r="B664" s="4717"/>
      <c r="C664" s="633"/>
      <c r="D664" s="634"/>
      <c r="E664" s="634"/>
      <c r="F664" s="634"/>
      <c r="G664" s="634"/>
      <c r="H664" s="634"/>
      <c r="I664" s="1010"/>
      <c r="J664" s="1206" t="s">
        <v>1291</v>
      </c>
      <c r="K664" s="517"/>
      <c r="L664" s="634"/>
      <c r="M664" s="634"/>
      <c r="N664" s="634"/>
      <c r="O664" s="634"/>
      <c r="P664" s="634"/>
      <c r="Q664" s="634"/>
    </row>
    <row r="665" spans="2:17">
      <c r="B665" s="4717"/>
      <c r="C665" s="633"/>
      <c r="D665" s="1587" t="s">
        <v>1279</v>
      </c>
      <c r="E665" s="892"/>
      <c r="F665" s="1587" t="s">
        <v>1268</v>
      </c>
      <c r="G665" s="1587"/>
      <c r="H665" s="1587" t="s">
        <v>1267</v>
      </c>
      <c r="I665" s="634"/>
      <c r="J665" s="1608" t="s">
        <v>1265</v>
      </c>
      <c r="K665" s="517"/>
      <c r="L665" s="634"/>
      <c r="M665" s="634"/>
      <c r="N665" s="634"/>
      <c r="O665" s="634"/>
      <c r="P665" s="634"/>
      <c r="Q665" s="634"/>
    </row>
    <row r="666" spans="2:17" ht="18.75">
      <c r="B666" s="4717"/>
      <c r="C666" s="633"/>
      <c r="D666" s="1586">
        <v>58</v>
      </c>
      <c r="E666" s="1607" t="s">
        <v>1290</v>
      </c>
      <c r="F666" s="1586">
        <v>18</v>
      </c>
      <c r="G666" s="1606" t="s">
        <v>1289</v>
      </c>
      <c r="H666" s="1586">
        <v>18</v>
      </c>
      <c r="I666" s="1605" t="s">
        <v>1288</v>
      </c>
      <c r="J666" s="1582">
        <f>D666-(F666+H666)</f>
        <v>22</v>
      </c>
      <c r="K666" s="517"/>
      <c r="L666" s="634"/>
      <c r="M666" s="634"/>
      <c r="N666" s="634"/>
      <c r="O666" s="634"/>
      <c r="P666" s="634"/>
      <c r="Q666" s="634"/>
    </row>
    <row r="667" spans="2:17">
      <c r="B667" s="4717"/>
      <c r="C667" s="633"/>
      <c r="D667" s="1253" t="str">
        <f>ADDRESS(ROW(D666),COLUMN(D666),4)</f>
        <v>D666</v>
      </c>
      <c r="E667" s="634"/>
      <c r="F667" s="1253" t="str">
        <f>ADDRESS(ROW(F666),COLUMN(F666),4)</f>
        <v>F666</v>
      </c>
      <c r="G667" s="634"/>
      <c r="H667" s="1253" t="str">
        <f>ADDRESS(ROW(H666),COLUMN(H666),4)</f>
        <v>H666</v>
      </c>
      <c r="I667" s="634"/>
      <c r="J667" s="680" t="str">
        <f ca="1">_xlfn.FORMULATEXT(J666)</f>
        <v>=D666-(F666+H666)</v>
      </c>
      <c r="K667" s="517"/>
      <c r="L667" s="634"/>
      <c r="M667" s="634"/>
      <c r="N667" s="634"/>
      <c r="O667" s="634"/>
      <c r="P667" s="634"/>
      <c r="Q667" s="634"/>
    </row>
    <row r="668" spans="2:17">
      <c r="B668" s="4717"/>
      <c r="C668" s="1351"/>
      <c r="D668" s="1012"/>
      <c r="E668" s="1012"/>
      <c r="F668" s="1012"/>
      <c r="G668" s="1012"/>
      <c r="H668" s="1012"/>
      <c r="I668" s="1012"/>
      <c r="J668" s="1601"/>
      <c r="K668" s="1194"/>
      <c r="L668" s="634"/>
      <c r="M668" s="634"/>
      <c r="N668" s="634"/>
      <c r="O668" s="634"/>
      <c r="P668" s="634"/>
      <c r="Q668" s="634"/>
    </row>
    <row r="669" spans="2:17">
      <c r="B669" s="4717"/>
      <c r="C669" s="1353" t="s">
        <v>1287</v>
      </c>
      <c r="D669" s="1206"/>
      <c r="E669" s="1206"/>
      <c r="F669" s="1206"/>
      <c r="G669" s="1206"/>
      <c r="H669" s="1206"/>
      <c r="I669" s="1206"/>
      <c r="J669" s="1206"/>
      <c r="K669" s="1354"/>
      <c r="L669" s="634"/>
      <c r="M669" s="634"/>
      <c r="N669" s="634"/>
      <c r="O669" s="634"/>
      <c r="P669" s="634"/>
      <c r="Q669" s="634"/>
    </row>
    <row r="670" spans="2:17">
      <c r="B670" s="4717"/>
      <c r="C670" s="1353" t="s">
        <v>1286</v>
      </c>
      <c r="D670" s="1206"/>
      <c r="E670" s="1206"/>
      <c r="F670" s="1206"/>
      <c r="G670" s="1206"/>
      <c r="H670" s="1206"/>
      <c r="I670" s="1206"/>
      <c r="J670" s="1206"/>
      <c r="K670" s="1354"/>
      <c r="L670" s="634"/>
      <c r="M670" s="634"/>
      <c r="N670" s="634"/>
      <c r="O670" s="634"/>
      <c r="P670" s="634"/>
      <c r="Q670" s="634"/>
    </row>
    <row r="671" spans="2:17">
      <c r="B671" s="4717"/>
      <c r="C671" s="1353" t="s">
        <v>1285</v>
      </c>
      <c r="D671" s="1206"/>
      <c r="E671" s="1206"/>
      <c r="F671" s="1206"/>
      <c r="G671" s="1206"/>
      <c r="H671" s="1206"/>
      <c r="I671" s="1206"/>
      <c r="J671" s="1206"/>
      <c r="K671" s="1354"/>
      <c r="L671" s="634"/>
      <c r="M671" s="634"/>
      <c r="N671" s="634"/>
      <c r="O671" s="634"/>
      <c r="P671" s="634"/>
      <c r="Q671" s="634"/>
    </row>
    <row r="672" spans="2:17">
      <c r="B672" s="4717"/>
      <c r="C672" s="1353" t="s">
        <v>1284</v>
      </c>
      <c r="D672" s="1206"/>
      <c r="E672" s="1206"/>
      <c r="F672" s="1206"/>
      <c r="G672" s="1206"/>
      <c r="H672" s="1206"/>
      <c r="I672" s="1206"/>
      <c r="J672" s="1206"/>
      <c r="K672" s="1354"/>
      <c r="L672" s="634"/>
      <c r="M672" s="634"/>
      <c r="N672" s="634"/>
      <c r="O672" s="634"/>
      <c r="P672" s="634"/>
      <c r="Q672" s="634"/>
    </row>
    <row r="673" spans="2:17">
      <c r="B673" s="4717"/>
      <c r="C673" s="633"/>
      <c r="D673" s="634"/>
      <c r="E673" s="634"/>
      <c r="F673" s="634"/>
      <c r="G673" s="634"/>
      <c r="H673" s="634"/>
      <c r="I673" s="634"/>
      <c r="J673" s="634"/>
      <c r="K673" s="517"/>
      <c r="L673" s="634"/>
      <c r="M673" s="634"/>
      <c r="N673" s="634"/>
      <c r="O673" s="634"/>
      <c r="P673" s="634"/>
      <c r="Q673" s="634"/>
    </row>
    <row r="674" spans="2:17">
      <c r="B674" s="4717"/>
      <c r="C674" s="1600" t="s">
        <v>1283</v>
      </c>
      <c r="D674" s="1599"/>
      <c r="E674" s="1599"/>
      <c r="F674" s="1599"/>
      <c r="G674" s="1599"/>
      <c r="H674" s="1599"/>
      <c r="I674" s="1599"/>
      <c r="J674" s="1599"/>
      <c r="K674" s="1598"/>
      <c r="L674" s="634"/>
      <c r="M674" s="634"/>
      <c r="N674" s="634"/>
      <c r="O674" s="634"/>
      <c r="P674" s="634"/>
      <c r="Q674" s="634"/>
    </row>
    <row r="675" spans="2:17" ht="18.75">
      <c r="B675" s="4717"/>
      <c r="C675" s="1597"/>
      <c r="D675" s="634"/>
      <c r="E675" s="634"/>
      <c r="F675" s="634"/>
      <c r="G675" s="634"/>
      <c r="H675" s="634"/>
      <c r="I675" s="1595"/>
      <c r="J675" s="1595"/>
      <c r="K675" s="1594"/>
      <c r="L675" s="634"/>
      <c r="M675" s="634"/>
      <c r="N675" s="634"/>
      <c r="O675" s="634"/>
      <c r="P675" s="634"/>
      <c r="Q675" s="634"/>
    </row>
    <row r="676" spans="2:17" ht="15.75" customHeight="1">
      <c r="B676" s="4717"/>
      <c r="C676" s="633"/>
      <c r="D676" s="6026" t="s">
        <v>1282</v>
      </c>
      <c r="E676" s="634"/>
      <c r="F676" s="6026" t="s">
        <v>1281</v>
      </c>
      <c r="G676" s="634"/>
      <c r="H676" s="1604" t="s">
        <v>55</v>
      </c>
      <c r="I676" s="634"/>
      <c r="J676" s="680"/>
      <c r="K676" s="517"/>
      <c r="L676" s="634"/>
      <c r="M676" s="634"/>
      <c r="N676" s="634"/>
      <c r="O676" s="634"/>
      <c r="P676" s="634"/>
      <c r="Q676" s="634"/>
    </row>
    <row r="677" spans="2:17">
      <c r="B677" s="4717"/>
      <c r="C677" s="633"/>
      <c r="D677" s="6026"/>
      <c r="E677" s="634"/>
      <c r="F677" s="6026"/>
      <c r="G677" s="634"/>
      <c r="H677" s="1181" t="s">
        <v>1272</v>
      </c>
      <c r="I677" s="634"/>
      <c r="J677" s="680"/>
      <c r="K677" s="517"/>
      <c r="L677" s="634"/>
      <c r="M677" s="634"/>
      <c r="N677" s="634"/>
      <c r="O677" s="634"/>
      <c r="P677" s="634"/>
      <c r="Q677" s="634"/>
    </row>
    <row r="678" spans="2:17">
      <c r="B678" s="4717"/>
      <c r="C678" s="633"/>
      <c r="D678" s="1588">
        <v>21</v>
      </c>
      <c r="E678" s="634"/>
      <c r="F678" s="1586">
        <v>23</v>
      </c>
      <c r="G678" s="1602"/>
      <c r="H678" s="1582">
        <f>IF(F678&gt;D678,F678-D678,D678-F678)</f>
        <v>2</v>
      </c>
      <c r="I678" s="1572" t="str">
        <f ca="1">_xlfn.FORMULATEXT(H678)</f>
        <v>=SI(F678&gt;D678;F678-D678;D678-F678)</v>
      </c>
      <c r="J678" s="680"/>
      <c r="K678" s="517"/>
      <c r="L678" s="634"/>
      <c r="M678" s="634"/>
      <c r="N678" s="634"/>
      <c r="O678" s="634"/>
      <c r="P678" s="634"/>
      <c r="Q678" s="634"/>
    </row>
    <row r="679" spans="2:17" ht="18.75">
      <c r="B679" s="4717"/>
      <c r="C679" s="633"/>
      <c r="D679" s="1253" t="str">
        <f>ADDRESS(ROW(D678),COLUMN(D678),4)</f>
        <v>D678</v>
      </c>
      <c r="E679" s="1595"/>
      <c r="F679" s="1253" t="str">
        <f>ADDRESS(ROW(F678),COLUMN(F678),4)</f>
        <v>F678</v>
      </c>
      <c r="G679" s="1595"/>
      <c r="H679" s="1253" t="str">
        <f>ADDRESS(ROW(H678),COLUMN(H678),4)</f>
        <v>H678</v>
      </c>
      <c r="I679" s="680"/>
      <c r="J679" s="680"/>
      <c r="K679" s="517"/>
      <c r="L679" s="634"/>
      <c r="M679" s="634"/>
      <c r="N679" s="634"/>
      <c r="O679" s="634"/>
      <c r="P679" s="634"/>
      <c r="Q679" s="634"/>
    </row>
    <row r="680" spans="2:17">
      <c r="B680" s="4717"/>
      <c r="C680" s="1351"/>
      <c r="D680" s="1012"/>
      <c r="E680" s="1012"/>
      <c r="F680" s="1012"/>
      <c r="G680" s="1012"/>
      <c r="H680" s="1012"/>
      <c r="I680" s="1012"/>
      <c r="J680" s="1601"/>
      <c r="K680" s="1194"/>
      <c r="L680" s="634"/>
      <c r="M680" s="634"/>
      <c r="N680" s="634"/>
      <c r="O680" s="634"/>
      <c r="P680" s="634"/>
      <c r="Q680" s="634"/>
    </row>
    <row r="681" spans="2:17">
      <c r="B681" s="4717"/>
      <c r="C681" s="633"/>
      <c r="D681" s="634"/>
      <c r="E681" s="634"/>
      <c r="F681" s="634"/>
      <c r="G681" s="634"/>
      <c r="H681" s="634"/>
      <c r="I681" s="634"/>
      <c r="J681" s="680"/>
      <c r="K681" s="517"/>
      <c r="L681" s="634"/>
      <c r="M681" s="634"/>
      <c r="N681" s="634"/>
      <c r="O681" s="634"/>
      <c r="P681" s="634"/>
      <c r="Q681" s="634"/>
    </row>
    <row r="682" spans="2:17">
      <c r="B682" s="4717"/>
      <c r="C682" s="1600" t="s">
        <v>1280</v>
      </c>
      <c r="D682" s="1599"/>
      <c r="E682" s="1599"/>
      <c r="F682" s="1599"/>
      <c r="G682" s="1599"/>
      <c r="H682" s="1599"/>
      <c r="I682" s="1599"/>
      <c r="J682" s="1599"/>
      <c r="K682" s="1598"/>
      <c r="L682" s="634"/>
      <c r="M682" s="634"/>
      <c r="N682" s="634"/>
      <c r="O682" s="634"/>
      <c r="P682" s="634"/>
      <c r="Q682" s="634"/>
    </row>
    <row r="683" spans="2:17" ht="19.5" thickBot="1">
      <c r="B683" s="4717"/>
      <c r="C683" s="1597"/>
      <c r="D683" s="1596"/>
      <c r="E683" s="1595"/>
      <c r="F683" s="1595"/>
      <c r="G683" s="1595"/>
      <c r="H683" s="1595"/>
      <c r="I683" s="1595"/>
      <c r="J683" s="1595"/>
      <c r="K683" s="1594"/>
      <c r="L683" s="634"/>
      <c r="M683" s="634"/>
      <c r="N683" s="634"/>
      <c r="O683" s="634"/>
      <c r="P683" s="634"/>
      <c r="Q683" s="634"/>
    </row>
    <row r="684" spans="2:17" ht="16.5" customHeight="1" thickBot="1">
      <c r="B684" s="4717"/>
      <c r="C684" s="633"/>
      <c r="D684" s="6027" t="s">
        <v>1279</v>
      </c>
      <c r="E684" s="634"/>
      <c r="F684" s="6029" t="s">
        <v>1271</v>
      </c>
      <c r="G684" s="634"/>
      <c r="H684" s="1181"/>
      <c r="I684" s="634"/>
      <c r="J684" s="634"/>
      <c r="K684" s="1572"/>
      <c r="L684" s="634"/>
      <c r="M684" s="634"/>
      <c r="N684" s="634"/>
      <c r="O684" s="634"/>
      <c r="P684" s="634"/>
      <c r="Q684" s="634"/>
    </row>
    <row r="685" spans="2:17">
      <c r="B685" s="4717"/>
      <c r="C685" s="633"/>
      <c r="D685" s="6028"/>
      <c r="E685" s="1593" t="s">
        <v>55</v>
      </c>
      <c r="F685" s="6029"/>
      <c r="G685" s="634"/>
      <c r="H685" s="6030" t="s">
        <v>1278</v>
      </c>
      <c r="I685" s="6031"/>
      <c r="J685" s="634"/>
      <c r="K685" s="517"/>
      <c r="L685" s="634"/>
      <c r="M685" s="634"/>
      <c r="N685" s="634"/>
      <c r="O685" s="634"/>
      <c r="P685" s="634"/>
      <c r="Q685" s="634"/>
    </row>
    <row r="686" spans="2:17" ht="15.75" customHeight="1">
      <c r="B686" s="4717"/>
      <c r="C686" s="633"/>
      <c r="D686" s="6032">
        <v>58</v>
      </c>
      <c r="E686" s="634"/>
      <c r="F686" s="1582">
        <f>H678*3</f>
        <v>6</v>
      </c>
      <c r="G686" s="634"/>
      <c r="H686" s="6034">
        <f>D686+F686</f>
        <v>64</v>
      </c>
      <c r="I686" s="6035"/>
      <c r="J686" s="680" t="str">
        <f ca="1">_xlfn.FORMULATEXT(H686)</f>
        <v>=D686+F686</v>
      </c>
      <c r="K686" s="517"/>
      <c r="L686" s="634"/>
      <c r="M686" s="634"/>
      <c r="N686" s="634"/>
      <c r="O686" s="634"/>
      <c r="P686" s="634"/>
      <c r="Q686" s="634"/>
    </row>
    <row r="687" spans="2:17" ht="16.5" customHeight="1" thickBot="1">
      <c r="B687" s="4717"/>
      <c r="C687" s="633"/>
      <c r="D687" s="6033"/>
      <c r="E687" s="634"/>
      <c r="F687" s="680" t="str">
        <f ca="1">_xlfn.FORMULATEXT(F686)</f>
        <v>=H678*3</v>
      </c>
      <c r="G687" s="634"/>
      <c r="H687" s="6036"/>
      <c r="I687" s="6037"/>
      <c r="J687" s="634"/>
      <c r="K687" s="517"/>
      <c r="L687" s="634"/>
      <c r="M687" s="634"/>
      <c r="N687" s="634"/>
      <c r="O687" s="634"/>
      <c r="P687" s="634"/>
      <c r="Q687" s="634"/>
    </row>
    <row r="688" spans="2:17">
      <c r="B688" s="4717"/>
      <c r="C688" s="633"/>
      <c r="D688" s="1253" t="str">
        <f>ADDRESS(ROW(D686),COLUMN(D686),4)</f>
        <v>D686</v>
      </c>
      <c r="E688" s="634"/>
      <c r="F688" s="1253" t="str">
        <f>ADDRESS(ROW(F686),COLUMN(F686),4)</f>
        <v>F686</v>
      </c>
      <c r="G688" s="634"/>
      <c r="H688" s="634"/>
      <c r="I688" s="634"/>
      <c r="J688" s="680"/>
      <c r="K688" s="517"/>
      <c r="L688" s="634"/>
      <c r="M688" s="634"/>
      <c r="N688" s="634"/>
      <c r="O688" s="634"/>
      <c r="P688" s="634"/>
      <c r="Q688" s="634"/>
    </row>
    <row r="689" spans="2:17">
      <c r="B689" s="4717"/>
      <c r="C689" s="633"/>
      <c r="D689" s="634"/>
      <c r="E689" s="634"/>
      <c r="F689" s="634"/>
      <c r="G689" s="634"/>
      <c r="H689" s="634"/>
      <c r="I689" s="634"/>
      <c r="J689" s="680"/>
      <c r="K689" s="517"/>
      <c r="L689" s="634"/>
      <c r="M689" s="634"/>
      <c r="N689" s="634"/>
      <c r="O689" s="634"/>
      <c r="P689" s="634"/>
      <c r="Q689" s="634"/>
    </row>
    <row r="690" spans="2:17">
      <c r="B690" s="4717"/>
      <c r="C690" s="1592" t="s">
        <v>1277</v>
      </c>
      <c r="D690" s="634"/>
      <c r="E690" s="634"/>
      <c r="F690" s="634"/>
      <c r="G690" s="634"/>
      <c r="H690" s="634"/>
      <c r="I690" s="634"/>
      <c r="J690" s="680"/>
      <c r="K690" s="517"/>
      <c r="L690" s="634"/>
      <c r="M690" s="634"/>
      <c r="N690" s="634"/>
      <c r="O690" s="634"/>
      <c r="P690" s="634"/>
      <c r="Q690" s="634"/>
    </row>
    <row r="691" spans="2:17">
      <c r="B691" s="4717"/>
      <c r="C691" s="1592" t="s">
        <v>1276</v>
      </c>
      <c r="D691" s="634"/>
      <c r="E691" s="634"/>
      <c r="F691" s="634"/>
      <c r="G691" s="634"/>
      <c r="H691" s="634"/>
      <c r="I691" s="634"/>
      <c r="J691" s="680"/>
      <c r="K691" s="517"/>
      <c r="L691" s="634"/>
      <c r="M691" s="634"/>
      <c r="N691" s="634"/>
      <c r="O691" s="634"/>
      <c r="P691" s="634"/>
      <c r="Q691" s="634"/>
    </row>
    <row r="692" spans="2:17">
      <c r="B692" s="4717"/>
      <c r="C692" s="633"/>
      <c r="D692" s="634"/>
      <c r="E692" s="634"/>
      <c r="F692" s="634"/>
      <c r="G692" s="634"/>
      <c r="H692" s="634"/>
      <c r="I692" s="634"/>
      <c r="J692" s="680"/>
      <c r="K692" s="517"/>
      <c r="L692" s="634"/>
      <c r="M692" s="634"/>
      <c r="N692" s="634"/>
      <c r="O692" s="634"/>
      <c r="P692" s="634"/>
      <c r="Q692" s="634"/>
    </row>
    <row r="693" spans="2:17">
      <c r="B693" s="4717"/>
      <c r="C693" s="1591" t="s">
        <v>1266</v>
      </c>
      <c r="D693" s="634"/>
      <c r="E693" s="634"/>
      <c r="F693" s="634"/>
      <c r="G693" s="634"/>
      <c r="H693" s="634"/>
      <c r="I693" s="634"/>
      <c r="J693" s="680"/>
      <c r="K693" s="517"/>
      <c r="L693" s="634"/>
      <c r="M693" s="634"/>
      <c r="N693" s="634"/>
      <c r="O693" s="634"/>
      <c r="P693" s="634"/>
      <c r="Q693" s="634"/>
    </row>
    <row r="694" spans="2:17" ht="15.75" customHeight="1">
      <c r="B694" s="4717"/>
      <c r="C694" s="5919" t="s">
        <v>998</v>
      </c>
      <c r="D694" s="5920"/>
      <c r="E694" s="5920"/>
      <c r="F694" s="5920"/>
      <c r="G694" s="5920"/>
      <c r="H694" s="5920"/>
      <c r="I694" s="5920"/>
      <c r="J694" s="5920"/>
      <c r="K694" s="5921"/>
      <c r="L694" s="634"/>
      <c r="M694" s="634"/>
      <c r="N694" s="634"/>
      <c r="O694" s="634"/>
      <c r="P694" s="634"/>
      <c r="Q694" s="634"/>
    </row>
    <row r="695" spans="2:17">
      <c r="B695" s="4717"/>
      <c r="C695" s="633"/>
      <c r="D695" s="634"/>
      <c r="E695" s="634"/>
      <c r="F695" s="634"/>
      <c r="G695" s="634"/>
      <c r="H695" s="634"/>
      <c r="I695" s="634"/>
      <c r="J695" s="680"/>
      <c r="K695" s="517"/>
      <c r="L695" s="634"/>
      <c r="M695" s="634"/>
      <c r="N695" s="634"/>
      <c r="O695" s="634"/>
      <c r="P695" s="634"/>
      <c r="Q695" s="634"/>
    </row>
    <row r="696" spans="2:17" ht="16.5" thickBot="1">
      <c r="B696" s="4717"/>
      <c r="C696" s="633"/>
      <c r="D696" s="634"/>
      <c r="E696" s="634"/>
      <c r="F696" s="634"/>
      <c r="G696" s="634"/>
      <c r="H696" s="634"/>
      <c r="I696" s="634"/>
      <c r="J696" s="680"/>
      <c r="K696" s="517"/>
      <c r="L696" s="634"/>
      <c r="M696" s="634"/>
      <c r="N696" s="634"/>
      <c r="O696" s="634"/>
      <c r="P696" s="634"/>
      <c r="Q696" s="634"/>
    </row>
    <row r="697" spans="2:17" ht="21">
      <c r="B697" s="4717"/>
      <c r="C697" s="633"/>
      <c r="D697" s="1192" t="s">
        <v>70</v>
      </c>
      <c r="E697" s="5892" t="s">
        <v>1275</v>
      </c>
      <c r="F697" s="5893"/>
      <c r="G697" s="5893"/>
      <c r="H697" s="5893"/>
      <c r="I697" s="5893"/>
      <c r="J697" s="5894"/>
      <c r="K697" s="517"/>
      <c r="L697" s="634"/>
      <c r="M697" s="634"/>
      <c r="N697" s="634"/>
      <c r="O697" s="634"/>
      <c r="P697" s="634"/>
      <c r="Q697" s="634"/>
    </row>
    <row r="698" spans="2:17" ht="15.75" customHeight="1">
      <c r="B698" s="4717"/>
      <c r="C698" s="633"/>
      <c r="D698" s="4752" t="str">
        <f>E697</f>
        <v>Température de la Base Perso</v>
      </c>
      <c r="E698" s="1483" t="str">
        <f>ADDRESS(ROW(),COLUMN(),4)</f>
        <v>E698</v>
      </c>
      <c r="F698" s="1484"/>
      <c r="G698" s="1590"/>
      <c r="H698" s="1590"/>
      <c r="I698" s="1589" t="str">
        <f ca="1">MID(CELL("filename",E698),SEARCH("[",CELL("filename",E698))+1,SEARCH("]",CELL("filename",E698))-SEARCH("[",CELL("filename",E698))-1)</f>
        <v>ff-22-formats-formules-pourcentages.xlsx</v>
      </c>
      <c r="J698" s="1226">
        <v>5</v>
      </c>
      <c r="K698" s="517"/>
      <c r="L698" s="634"/>
      <c r="M698" s="634"/>
      <c r="N698" s="634"/>
      <c r="O698" s="634"/>
      <c r="P698" s="634"/>
      <c r="Q698" s="634"/>
    </row>
    <row r="699" spans="2:17" ht="15.75" customHeight="1">
      <c r="B699" s="4717"/>
      <c r="C699" s="633"/>
      <c r="D699" s="4752"/>
      <c r="E699" s="6000" t="s">
        <v>1274</v>
      </c>
      <c r="F699" s="5419"/>
      <c r="G699" s="634"/>
      <c r="H699" s="634"/>
      <c r="I699" s="634"/>
      <c r="J699" s="1572"/>
      <c r="K699" s="517"/>
      <c r="L699" s="634"/>
      <c r="M699" s="634"/>
      <c r="N699" s="634"/>
      <c r="O699" s="634"/>
      <c r="P699" s="634"/>
      <c r="Q699" s="634"/>
    </row>
    <row r="700" spans="2:17">
      <c r="B700" s="4717"/>
      <c r="C700" s="633"/>
      <c r="D700" s="4752"/>
      <c r="E700" s="6000"/>
      <c r="F700" s="5419"/>
      <c r="G700" s="634"/>
      <c r="H700" s="634"/>
      <c r="I700" s="634"/>
      <c r="J700" s="1572"/>
      <c r="K700" s="517"/>
      <c r="L700" s="634"/>
      <c r="M700" s="634"/>
      <c r="N700" s="634"/>
      <c r="O700" s="634"/>
      <c r="P700" s="634"/>
      <c r="Q700" s="634"/>
    </row>
    <row r="701" spans="2:17" ht="15.75" customHeight="1">
      <c r="B701" s="4717"/>
      <c r="C701" s="633"/>
      <c r="D701" s="4752"/>
      <c r="E701" s="6001">
        <v>23</v>
      </c>
      <c r="F701" s="6002"/>
      <c r="G701" s="634"/>
      <c r="H701" s="1403" t="s">
        <v>1273</v>
      </c>
      <c r="I701" s="1588">
        <v>21</v>
      </c>
      <c r="J701" s="1581">
        <f>E701</f>
        <v>23</v>
      </c>
      <c r="K701" s="517"/>
      <c r="L701" s="634"/>
      <c r="M701" s="634"/>
      <c r="N701" s="634"/>
      <c r="O701" s="634"/>
      <c r="P701" s="634"/>
      <c r="Q701" s="634"/>
    </row>
    <row r="702" spans="2:17" ht="15.75" customHeight="1">
      <c r="B702" s="4717"/>
      <c r="C702" s="633"/>
      <c r="D702" s="4752"/>
      <c r="E702" s="6001"/>
      <c r="F702" s="6002"/>
      <c r="G702" s="634"/>
      <c r="H702" s="1182" t="s">
        <v>1272</v>
      </c>
      <c r="I702" s="1582">
        <f>IF(E701&gt;I701,E701-I701,I701-E701)</f>
        <v>2</v>
      </c>
      <c r="J702" s="1572"/>
      <c r="K702" s="517"/>
      <c r="L702" s="634"/>
      <c r="M702" s="634"/>
      <c r="N702" s="634"/>
      <c r="O702" s="634"/>
      <c r="P702" s="634"/>
      <c r="Q702" s="634"/>
    </row>
    <row r="703" spans="2:17" ht="16.5" customHeight="1" thickBot="1">
      <c r="B703" s="4717"/>
      <c r="C703" s="633"/>
      <c r="D703" s="4752"/>
      <c r="E703" s="6001"/>
      <c r="F703" s="6002"/>
      <c r="G703" s="634"/>
      <c r="H703" s="1182" t="s">
        <v>1271</v>
      </c>
      <c r="I703" s="1582">
        <f>I702*3</f>
        <v>6</v>
      </c>
      <c r="J703" s="1572"/>
      <c r="K703" s="517"/>
      <c r="L703" s="634"/>
      <c r="M703" s="634"/>
      <c r="N703" s="634"/>
      <c r="O703" s="634"/>
      <c r="P703" s="634"/>
      <c r="Q703" s="634"/>
    </row>
    <row r="704" spans="2:17" ht="15.75" customHeight="1">
      <c r="B704" s="4717"/>
      <c r="C704" s="633"/>
      <c r="D704" s="4752"/>
      <c r="E704" s="6003" t="s">
        <v>1270</v>
      </c>
      <c r="F704" s="6004"/>
      <c r="G704" s="634"/>
      <c r="H704" s="1587" t="s">
        <v>1269</v>
      </c>
      <c r="I704" s="1586">
        <v>58</v>
      </c>
      <c r="J704" s="1581">
        <f>E706</f>
        <v>64</v>
      </c>
      <c r="K704" s="517"/>
      <c r="L704" s="634"/>
      <c r="M704" s="634"/>
      <c r="N704" s="634"/>
      <c r="O704" s="634"/>
      <c r="P704" s="634"/>
      <c r="Q704" s="634"/>
    </row>
    <row r="705" spans="2:17">
      <c r="B705" s="4717"/>
      <c r="C705" s="633"/>
      <c r="D705" s="4752"/>
      <c r="E705" s="6000"/>
      <c r="F705" s="6005"/>
      <c r="G705" s="634"/>
      <c r="H705" s="634"/>
      <c r="I705" s="634"/>
      <c r="J705" s="1572"/>
      <c r="K705" s="517"/>
      <c r="L705" s="634"/>
      <c r="M705" s="634"/>
      <c r="N705" s="634"/>
      <c r="O705" s="634"/>
      <c r="P705" s="634"/>
      <c r="Q705" s="634"/>
    </row>
    <row r="706" spans="2:17" ht="15.75" customHeight="1">
      <c r="B706" s="4717"/>
      <c r="C706" s="633"/>
      <c r="D706" s="4752"/>
      <c r="E706" s="6006">
        <f>I704+I703</f>
        <v>64</v>
      </c>
      <c r="F706" s="6007"/>
      <c r="G706" s="634"/>
      <c r="H706" s="1583" t="s">
        <v>1268</v>
      </c>
      <c r="I706" s="1586">
        <v>18</v>
      </c>
      <c r="J706" s="1585">
        <v>18</v>
      </c>
      <c r="K706" s="517"/>
      <c r="L706" s="634"/>
      <c r="M706" s="634"/>
      <c r="N706" s="634"/>
      <c r="O706" s="634"/>
      <c r="P706" s="634"/>
      <c r="Q706" s="634"/>
    </row>
    <row r="707" spans="2:17" ht="16.5" customHeight="1" thickBot="1">
      <c r="B707" s="4717"/>
      <c r="C707" s="633"/>
      <c r="D707" s="4752"/>
      <c r="E707" s="6008"/>
      <c r="F707" s="6009"/>
      <c r="G707" s="634"/>
      <c r="H707" s="1583" t="s">
        <v>1267</v>
      </c>
      <c r="I707" s="1586">
        <v>18</v>
      </c>
      <c r="J707" s="1585">
        <v>18</v>
      </c>
      <c r="K707" s="517"/>
      <c r="L707" s="634"/>
      <c r="M707" s="634"/>
      <c r="N707" s="634"/>
      <c r="O707" s="634"/>
      <c r="P707" s="634"/>
      <c r="Q707" s="634"/>
    </row>
    <row r="708" spans="2:17">
      <c r="B708" s="4717"/>
      <c r="C708" s="633"/>
      <c r="D708" s="4752"/>
      <c r="E708" s="1584" t="s">
        <v>1266</v>
      </c>
      <c r="F708" s="634"/>
      <c r="G708" s="634"/>
      <c r="H708" s="1583" t="s">
        <v>1265</v>
      </c>
      <c r="I708" s="1582">
        <f>I704-(I706+I707)</f>
        <v>22</v>
      </c>
      <c r="J708" s="1581">
        <f>J704-(J706+J707)</f>
        <v>28</v>
      </c>
      <c r="K708" s="517"/>
      <c r="L708" s="634"/>
      <c r="M708" s="634"/>
      <c r="N708" s="634"/>
      <c r="O708" s="634"/>
      <c r="P708" s="634"/>
      <c r="Q708" s="634"/>
    </row>
    <row r="709" spans="2:17">
      <c r="B709" s="4717"/>
      <c r="C709" s="633"/>
      <c r="D709" s="4752"/>
      <c r="E709" s="6010" t="s">
        <v>998</v>
      </c>
      <c r="F709" s="6011"/>
      <c r="G709" s="6011"/>
      <c r="H709" s="6011"/>
      <c r="I709" s="6011"/>
      <c r="J709" s="6012"/>
      <c r="K709" s="517"/>
      <c r="L709" s="634"/>
      <c r="M709" s="634"/>
      <c r="N709" s="634"/>
      <c r="O709" s="634"/>
      <c r="P709" s="634"/>
      <c r="Q709" s="634"/>
    </row>
    <row r="710" spans="2:17">
      <c r="B710" s="4717"/>
      <c r="C710" s="633"/>
      <c r="D710" s="4752"/>
      <c r="E710" s="1580" t="s">
        <v>1048</v>
      </c>
      <c r="F710" s="1267"/>
      <c r="G710" s="1267"/>
      <c r="H710" s="1267"/>
      <c r="I710" s="1267"/>
      <c r="J710" s="1578"/>
      <c r="K710" s="517"/>
      <c r="L710" s="634"/>
      <c r="M710" s="634"/>
      <c r="N710" s="634"/>
      <c r="O710" s="634"/>
      <c r="P710" s="634"/>
      <c r="Q710" s="634"/>
    </row>
    <row r="711" spans="2:17">
      <c r="B711" s="4717"/>
      <c r="C711" s="633"/>
      <c r="D711" s="4752"/>
      <c r="E711" s="1579" t="s">
        <v>1264</v>
      </c>
      <c r="F711" s="1267"/>
      <c r="G711" s="1267"/>
      <c r="H711" s="1267"/>
      <c r="I711" s="1267"/>
      <c r="J711" s="1578"/>
      <c r="K711" s="517"/>
      <c r="L711" s="634"/>
      <c r="M711" s="634"/>
      <c r="N711" s="634"/>
      <c r="O711" s="634"/>
      <c r="P711" s="634"/>
      <c r="Q711" s="634"/>
    </row>
    <row r="712" spans="2:17">
      <c r="B712" s="4717"/>
      <c r="C712" s="633"/>
      <c r="D712" s="4752"/>
      <c r="E712" s="1577" t="s">
        <v>1263</v>
      </c>
      <c r="F712" s="1576"/>
      <c r="G712" s="1576"/>
      <c r="H712" s="1576"/>
      <c r="I712" s="1576"/>
      <c r="J712" s="1575"/>
      <c r="K712" s="517"/>
      <c r="L712" s="634"/>
      <c r="M712" s="634"/>
      <c r="N712" s="634"/>
      <c r="O712" s="634"/>
      <c r="P712" s="634"/>
      <c r="Q712" s="634"/>
    </row>
    <row r="713" spans="2:17">
      <c r="B713" s="4717"/>
      <c r="C713" s="633"/>
      <c r="D713" s="4752"/>
      <c r="E713" s="1280" t="s">
        <v>1186</v>
      </c>
      <c r="F713" s="634"/>
      <c r="G713" s="634"/>
      <c r="H713" s="634"/>
      <c r="I713" s="634"/>
      <c r="J713" s="1572"/>
      <c r="K713" s="517"/>
      <c r="L713" s="634"/>
      <c r="M713" s="634"/>
      <c r="N713" s="634"/>
      <c r="O713" s="634"/>
      <c r="P713" s="634"/>
      <c r="Q713" s="634"/>
    </row>
    <row r="714" spans="2:17">
      <c r="B714" s="4717"/>
      <c r="C714" s="633"/>
      <c r="D714" s="4752"/>
      <c r="E714" s="1574" t="s">
        <v>365</v>
      </c>
      <c r="F714" s="1573" t="s">
        <v>1080</v>
      </c>
      <c r="G714" s="1573"/>
      <c r="H714" s="1573"/>
      <c r="I714" s="634"/>
      <c r="J714" s="1572"/>
      <c r="K714" s="517"/>
      <c r="L714" s="634"/>
      <c r="M714" s="634"/>
      <c r="N714" s="634"/>
      <c r="O714" s="634"/>
      <c r="P714" s="634"/>
      <c r="Q714" s="634"/>
    </row>
    <row r="715" spans="2:17" ht="16.5" thickBot="1">
      <c r="B715" s="4717"/>
      <c r="C715" s="633"/>
      <c r="D715" s="4752"/>
      <c r="E715" s="1571" t="s">
        <v>1002</v>
      </c>
      <c r="F715" s="1373"/>
      <c r="G715" s="1373"/>
      <c r="H715" s="580"/>
      <c r="I715" s="580"/>
      <c r="J715" s="1570"/>
      <c r="K715" s="517"/>
      <c r="L715" s="634"/>
      <c r="M715" s="634"/>
      <c r="N715" s="634"/>
      <c r="O715" s="634"/>
      <c r="P715" s="634"/>
      <c r="Q715" s="634"/>
    </row>
    <row r="716" spans="2:17">
      <c r="B716" s="4717"/>
      <c r="C716" s="633"/>
      <c r="D716" s="634"/>
      <c r="E716" s="634"/>
      <c r="F716" s="634"/>
      <c r="G716" s="634"/>
      <c r="H716" s="634"/>
      <c r="I716" s="634"/>
      <c r="J716" s="680"/>
      <c r="K716" s="517"/>
      <c r="L716" s="634"/>
      <c r="M716" s="634"/>
      <c r="N716" s="634"/>
      <c r="O716" s="634"/>
      <c r="P716" s="634"/>
      <c r="Q716" s="634"/>
    </row>
    <row r="717" spans="2:17">
      <c r="B717" s="4717"/>
      <c r="C717" s="633"/>
      <c r="D717" s="634"/>
      <c r="E717" s="634"/>
      <c r="F717" s="634"/>
      <c r="G717" s="634"/>
      <c r="H717" s="634"/>
      <c r="I717" s="634"/>
      <c r="J717" s="680"/>
      <c r="K717" s="517"/>
      <c r="L717" s="634"/>
      <c r="M717" s="634"/>
      <c r="N717" s="634"/>
      <c r="O717" s="634"/>
      <c r="P717" s="634"/>
      <c r="Q717" s="634"/>
    </row>
    <row r="718" spans="2:17">
      <c r="B718" s="4717"/>
      <c r="C718" s="633"/>
      <c r="D718" s="634"/>
      <c r="E718" s="634"/>
      <c r="F718" s="634"/>
      <c r="G718" s="634"/>
      <c r="H718" s="634"/>
      <c r="I718" s="634"/>
      <c r="J718" s="680"/>
      <c r="K718" s="517"/>
      <c r="L718" s="634"/>
      <c r="M718" s="634"/>
      <c r="N718" s="634"/>
      <c r="O718" s="634"/>
      <c r="P718" s="634"/>
      <c r="Q718" s="634"/>
    </row>
    <row r="719" spans="2:17">
      <c r="B719" s="4717"/>
      <c r="C719" s="633" t="s">
        <v>1048</v>
      </c>
      <c r="D719" s="634"/>
      <c r="E719" s="634"/>
      <c r="F719" s="634"/>
      <c r="G719" s="634"/>
      <c r="H719" s="634"/>
      <c r="I719" s="634"/>
      <c r="J719" s="680"/>
      <c r="K719" s="517"/>
      <c r="L719" s="634"/>
      <c r="M719" s="634"/>
      <c r="N719" s="634"/>
      <c r="O719" s="634"/>
      <c r="P719" s="634"/>
      <c r="Q719" s="634"/>
    </row>
    <row r="720" spans="2:17">
      <c r="B720" s="4717"/>
      <c r="C720" s="656" t="s">
        <v>1264</v>
      </c>
      <c r="D720" s="634"/>
      <c r="E720" s="634"/>
      <c r="F720" s="634"/>
      <c r="G720" s="634"/>
      <c r="H720" s="634"/>
      <c r="I720" s="634"/>
      <c r="J720" s="680"/>
      <c r="K720" s="517"/>
      <c r="L720" s="634"/>
      <c r="M720" s="634"/>
      <c r="N720" s="634"/>
      <c r="O720" s="634"/>
      <c r="P720" s="634"/>
      <c r="Q720" s="634"/>
    </row>
    <row r="721" spans="2:17">
      <c r="B721" s="4717"/>
      <c r="C721" s="522" t="s">
        <v>1263</v>
      </c>
      <c r="D721" s="634"/>
      <c r="E721" s="634"/>
      <c r="F721" s="634"/>
      <c r="G721" s="634"/>
      <c r="H721" s="634"/>
      <c r="I721" s="634"/>
      <c r="J721" s="680"/>
      <c r="K721" s="517"/>
      <c r="L721" s="634"/>
      <c r="M721" s="634"/>
      <c r="N721" s="634"/>
      <c r="O721" s="634"/>
      <c r="P721" s="634"/>
      <c r="Q721" s="634"/>
    </row>
    <row r="722" spans="2:17">
      <c r="B722" s="4717"/>
      <c r="C722" s="633"/>
      <c r="D722" s="634"/>
      <c r="E722" s="634"/>
      <c r="F722" s="634"/>
      <c r="G722" s="634"/>
      <c r="H722" s="634"/>
      <c r="I722" s="634"/>
      <c r="J722" s="680"/>
      <c r="K722" s="517"/>
      <c r="L722" s="634"/>
      <c r="M722" s="634"/>
      <c r="N722" s="634"/>
      <c r="O722" s="634"/>
      <c r="P722" s="634"/>
      <c r="Q722" s="634"/>
    </row>
    <row r="723" spans="2:17">
      <c r="B723" s="4717"/>
      <c r="C723" s="1569" t="s">
        <v>1186</v>
      </c>
      <c r="D723" s="1568"/>
      <c r="E723" s="1568"/>
      <c r="F723" s="1568"/>
      <c r="G723" s="1568"/>
      <c r="H723" s="1568"/>
      <c r="I723" s="1568"/>
      <c r="J723" s="1568"/>
      <c r="K723" s="1377"/>
      <c r="L723" s="634"/>
      <c r="M723" s="634"/>
      <c r="N723" s="634"/>
      <c r="O723" s="634"/>
      <c r="P723" s="634"/>
      <c r="Q723" s="634"/>
    </row>
    <row r="724" spans="2:17" ht="21">
      <c r="B724" s="4717"/>
      <c r="C724" s="1452" t="s">
        <v>365</v>
      </c>
      <c r="D724" s="1565" t="s">
        <v>1080</v>
      </c>
      <c r="E724" s="634"/>
      <c r="F724" s="634"/>
      <c r="G724" s="634"/>
      <c r="H724" s="634"/>
      <c r="I724" s="634"/>
      <c r="J724" s="680"/>
      <c r="K724" s="517"/>
      <c r="L724" s="634"/>
      <c r="M724" s="634"/>
      <c r="N724" s="634"/>
      <c r="O724" s="634"/>
      <c r="P724" s="634"/>
      <c r="Q724" s="634"/>
    </row>
    <row r="725" spans="2:17" ht="18.75">
      <c r="B725" s="4717"/>
      <c r="C725" s="1566"/>
      <c r="D725" s="1422"/>
      <c r="E725" s="1422"/>
      <c r="F725" s="1422"/>
      <c r="G725" s="1422"/>
      <c r="H725" s="1422"/>
      <c r="I725" s="1422"/>
      <c r="J725" s="1422"/>
      <c r="K725" s="1562"/>
      <c r="L725" s="634"/>
      <c r="M725" s="634"/>
      <c r="N725" s="634"/>
      <c r="O725" s="634"/>
      <c r="P725" s="634"/>
      <c r="Q725" s="634"/>
    </row>
    <row r="726" spans="2:17" ht="21">
      <c r="B726" s="4717"/>
      <c r="C726" s="1452" t="s">
        <v>365</v>
      </c>
      <c r="D726" s="1565" t="s">
        <v>1262</v>
      </c>
      <c r="E726" s="1567"/>
      <c r="F726" s="1422"/>
      <c r="G726" s="1422"/>
      <c r="H726" s="1422"/>
      <c r="I726" s="1422"/>
      <c r="J726" s="1422"/>
      <c r="K726" s="1562"/>
      <c r="L726" s="634"/>
      <c r="M726" s="634"/>
      <c r="N726" s="634"/>
      <c r="O726" s="634"/>
      <c r="P726" s="634"/>
      <c r="Q726" s="634"/>
    </row>
    <row r="727" spans="2:17" ht="18.75">
      <c r="B727" s="4717"/>
      <c r="C727" s="1566"/>
      <c r="D727" s="1422"/>
      <c r="E727" s="1422"/>
      <c r="F727" s="1422"/>
      <c r="G727" s="1422"/>
      <c r="H727" s="1422"/>
      <c r="I727" s="1422"/>
      <c r="J727" s="1422"/>
      <c r="K727" s="1562"/>
      <c r="L727" s="634"/>
      <c r="M727" s="634"/>
      <c r="N727" s="634"/>
      <c r="O727" s="634"/>
      <c r="P727" s="634"/>
      <c r="Q727" s="634"/>
    </row>
    <row r="728" spans="2:17" ht="21">
      <c r="B728" s="4717"/>
      <c r="C728" s="1452" t="s">
        <v>365</v>
      </c>
      <c r="D728" s="1565" t="s">
        <v>1261</v>
      </c>
      <c r="E728" s="1564"/>
      <c r="F728" s="1563"/>
      <c r="G728" s="1565" t="s">
        <v>1260</v>
      </c>
      <c r="H728" s="1564"/>
      <c r="I728" s="1563"/>
      <c r="J728" s="1422"/>
      <c r="K728" s="1562"/>
      <c r="L728" s="634"/>
      <c r="M728" s="634"/>
      <c r="N728" s="634"/>
      <c r="O728" s="634"/>
      <c r="P728" s="634"/>
      <c r="Q728" s="634"/>
    </row>
    <row r="729" spans="2:17" ht="18.75">
      <c r="B729" s="4717"/>
      <c r="C729" s="1566"/>
      <c r="D729" s="1422"/>
      <c r="E729" s="1422"/>
      <c r="F729" s="1422"/>
      <c r="G729" s="1422"/>
      <c r="H729" s="1422"/>
      <c r="I729" s="1422"/>
      <c r="J729" s="1422"/>
      <c r="K729" s="1562"/>
      <c r="L729" s="634"/>
      <c r="M729" s="634"/>
      <c r="N729" s="634"/>
      <c r="O729" s="634"/>
      <c r="P729" s="634"/>
      <c r="Q729" s="634"/>
    </row>
    <row r="730" spans="2:17" ht="21">
      <c r="B730" s="4717"/>
      <c r="C730" s="1452" t="s">
        <v>365</v>
      </c>
      <c r="D730" s="1565" t="s">
        <v>1259</v>
      </c>
      <c r="E730" s="1564"/>
      <c r="F730" s="1563"/>
      <c r="G730" s="1565" t="s">
        <v>1258</v>
      </c>
      <c r="H730" s="1564"/>
      <c r="I730" s="1563"/>
      <c r="J730" s="1422"/>
      <c r="K730" s="1562"/>
      <c r="L730" s="634"/>
      <c r="M730" s="634"/>
      <c r="N730" s="634"/>
      <c r="O730" s="634"/>
      <c r="P730" s="634"/>
      <c r="Q730" s="634"/>
    </row>
    <row r="731" spans="2:17">
      <c r="B731" s="4717"/>
      <c r="C731" s="633"/>
      <c r="D731" s="634"/>
      <c r="E731" s="634"/>
      <c r="F731" s="634"/>
      <c r="G731" s="634"/>
      <c r="H731" s="634"/>
      <c r="I731" s="634"/>
      <c r="J731" s="634"/>
      <c r="K731" s="517"/>
      <c r="L731" s="634"/>
      <c r="M731" s="634"/>
      <c r="N731" s="634"/>
      <c r="O731" s="634"/>
      <c r="P731" s="634"/>
      <c r="Q731" s="634"/>
    </row>
    <row r="732" spans="2:17" ht="16.5" thickBot="1">
      <c r="B732" s="4717"/>
      <c r="C732" s="1482" t="s">
        <v>1002</v>
      </c>
      <c r="D732" s="1276"/>
      <c r="E732" s="1276"/>
      <c r="F732" s="1276"/>
      <c r="G732" s="1276"/>
      <c r="H732" s="1276"/>
      <c r="I732" s="1276"/>
      <c r="J732" s="1276"/>
      <c r="K732" s="581"/>
      <c r="L732" s="634"/>
      <c r="M732" s="634"/>
      <c r="N732" s="634"/>
      <c r="O732" s="634"/>
      <c r="P732" s="634"/>
      <c r="Q732" s="634"/>
    </row>
    <row r="733" spans="2:17">
      <c r="B733" s="634"/>
      <c r="C733" s="1449"/>
      <c r="D733" s="634"/>
      <c r="E733" s="634"/>
      <c r="F733" s="634"/>
      <c r="G733" s="634"/>
      <c r="H733" s="634"/>
      <c r="I733" s="634"/>
      <c r="J733" s="634"/>
      <c r="K733" s="634"/>
      <c r="L733" s="634"/>
      <c r="M733" s="634"/>
      <c r="N733" s="634"/>
      <c r="O733" s="634"/>
      <c r="P733" s="634"/>
      <c r="Q733" s="634"/>
    </row>
    <row r="734" spans="2:17" ht="23.25">
      <c r="B734" s="1445">
        <f>ROW()</f>
        <v>734</v>
      </c>
      <c r="C734" s="1446" t="s">
        <v>1164</v>
      </c>
      <c r="D734" s="1451"/>
      <c r="E734" s="1451"/>
      <c r="F734" s="1451"/>
      <c r="G734" s="1451"/>
      <c r="H734" s="1451"/>
      <c r="I734" s="1451"/>
      <c r="J734" s="1451"/>
      <c r="K734" s="1451"/>
      <c r="L734" s="1451"/>
      <c r="M734" s="1451"/>
      <c r="N734" s="1451"/>
      <c r="O734" s="1451"/>
      <c r="P734" s="1451"/>
      <c r="Q734" s="1451"/>
    </row>
    <row r="735" spans="2:17" ht="18.75">
      <c r="B735" s="634"/>
      <c r="C735" s="1450" t="s">
        <v>1165</v>
      </c>
      <c r="D735" s="634"/>
      <c r="E735" s="634"/>
      <c r="F735" s="634"/>
      <c r="G735" s="634"/>
      <c r="H735" s="634"/>
      <c r="I735" s="634"/>
      <c r="J735" s="634"/>
      <c r="K735" s="634"/>
      <c r="L735" s="634"/>
      <c r="M735" s="634"/>
      <c r="N735" s="634"/>
      <c r="O735" s="634"/>
      <c r="P735" s="634"/>
      <c r="Q735" s="634"/>
    </row>
    <row r="736" spans="2:17">
      <c r="B736" s="634"/>
      <c r="C736" s="634"/>
      <c r="D736" s="634"/>
      <c r="E736" s="634"/>
      <c r="F736" s="634"/>
      <c r="G736" s="634"/>
      <c r="H736" s="634"/>
      <c r="I736" s="634"/>
      <c r="J736" s="634"/>
      <c r="K736" s="634"/>
      <c r="L736" s="634"/>
      <c r="M736" s="634"/>
      <c r="N736" s="634"/>
      <c r="O736" s="634"/>
      <c r="P736" s="634"/>
      <c r="Q736" s="634"/>
    </row>
    <row r="737" spans="2:17" ht="18.75">
      <c r="B737" s="1452" t="s">
        <v>365</v>
      </c>
      <c r="C737" s="1453" t="s">
        <v>1166</v>
      </c>
    </row>
    <row r="738" spans="2:17">
      <c r="B738" s="634"/>
      <c r="C738" s="634"/>
      <c r="D738" s="634"/>
      <c r="E738" s="634"/>
      <c r="F738" s="634"/>
      <c r="G738" s="634"/>
      <c r="H738" s="634"/>
      <c r="I738" s="634"/>
      <c r="J738" s="634"/>
      <c r="K738" s="634"/>
      <c r="L738" s="634"/>
      <c r="M738" s="634"/>
      <c r="N738" s="634"/>
      <c r="O738" s="634"/>
      <c r="P738" s="634"/>
      <c r="Q738" s="634"/>
    </row>
    <row r="739" spans="2:17" ht="19.5" thickBot="1">
      <c r="B739" s="634"/>
      <c r="C739" s="1450" t="s">
        <v>1167</v>
      </c>
      <c r="D739" s="634"/>
      <c r="E739" s="634"/>
      <c r="F739" s="634"/>
      <c r="G739" s="634"/>
      <c r="H739" s="634"/>
      <c r="I739" s="634"/>
      <c r="J739" s="634"/>
      <c r="K739" s="634"/>
      <c r="L739" s="634"/>
      <c r="M739" s="634"/>
      <c r="N739" s="634"/>
      <c r="O739" s="634"/>
      <c r="P739" s="634"/>
      <c r="Q739" s="634"/>
    </row>
    <row r="740" spans="2:17" ht="129" customHeight="1" thickBot="1">
      <c r="B740" s="634"/>
      <c r="C740" s="1454"/>
      <c r="D740" s="1455"/>
      <c r="E740" s="1455"/>
      <c r="F740" s="1455"/>
      <c r="G740" s="1455"/>
      <c r="H740" s="1455"/>
      <c r="I740" s="1455"/>
      <c r="J740" s="1456"/>
      <c r="K740" s="634"/>
      <c r="L740" s="634"/>
      <c r="M740" s="634"/>
      <c r="N740" s="634"/>
      <c r="O740" s="634"/>
      <c r="P740" s="634"/>
      <c r="Q740" s="634"/>
    </row>
    <row r="741" spans="2:17" ht="19.5" thickBot="1">
      <c r="B741" s="634"/>
      <c r="C741" s="1450" t="s">
        <v>1168</v>
      </c>
      <c r="D741" s="634"/>
      <c r="E741" s="634"/>
      <c r="F741" s="634"/>
      <c r="G741" s="634"/>
      <c r="H741" s="634"/>
      <c r="I741" s="634"/>
      <c r="J741" s="634"/>
      <c r="K741" s="634"/>
      <c r="L741" s="634"/>
      <c r="M741" s="634"/>
      <c r="N741" s="634"/>
      <c r="O741" s="634"/>
      <c r="P741" s="634"/>
      <c r="Q741" s="634"/>
    </row>
    <row r="742" spans="2:17" ht="161.25" customHeight="1" thickBot="1">
      <c r="B742" s="634"/>
      <c r="C742" s="1454"/>
      <c r="D742" s="1455"/>
      <c r="E742" s="1455"/>
      <c r="F742" s="1455"/>
      <c r="G742" s="1455"/>
      <c r="H742" s="1455"/>
      <c r="I742" s="1455"/>
      <c r="J742" s="1456"/>
      <c r="K742" s="634"/>
      <c r="L742" s="634"/>
      <c r="M742" s="634"/>
      <c r="N742" s="634"/>
      <c r="O742" s="634"/>
      <c r="P742" s="634"/>
      <c r="Q742" s="634"/>
    </row>
    <row r="743" spans="2:17">
      <c r="B743" s="634"/>
      <c r="C743" s="634"/>
      <c r="D743" s="634"/>
      <c r="E743" s="634"/>
      <c r="F743" s="634"/>
      <c r="G743" s="634"/>
      <c r="H743" s="634"/>
      <c r="I743" s="634"/>
      <c r="J743" s="634"/>
      <c r="K743" s="634"/>
      <c r="L743" s="634"/>
      <c r="M743" s="634"/>
      <c r="N743" s="634"/>
      <c r="O743" s="634"/>
      <c r="P743" s="634"/>
      <c r="Q743" s="634"/>
    </row>
    <row r="744" spans="2:17" ht="21">
      <c r="B744" s="1192" t="s">
        <v>70</v>
      </c>
      <c r="C744" s="1519" t="s">
        <v>1169</v>
      </c>
      <c r="D744" s="1511"/>
      <c r="E744" s="1511"/>
      <c r="F744" s="1511"/>
      <c r="G744" s="1511"/>
      <c r="H744" s="1511"/>
      <c r="I744" s="1520"/>
      <c r="J744" s="634"/>
      <c r="K744" s="634"/>
      <c r="L744" s="634"/>
      <c r="M744" s="634"/>
      <c r="N744" s="634"/>
      <c r="O744" s="634"/>
      <c r="P744" s="634"/>
      <c r="Q744" s="634"/>
    </row>
    <row r="745" spans="2:17" ht="16.5" customHeight="1" thickBot="1">
      <c r="B745" s="4717" t="str">
        <f>C744</f>
        <v>Pâte imposée</v>
      </c>
      <c r="C745" s="1457" t="str">
        <f>ADDRESS(ROW(),COLUMN(),4)</f>
        <v>C745</v>
      </c>
      <c r="D745" s="1314"/>
      <c r="E745" s="814"/>
      <c r="F745" s="814"/>
      <c r="H745" s="1320" t="str">
        <f ca="1">MID(CELL("filename",C745),SEARCH("[",CELL("filename",C745))+1,SEARCH("]",CELL("filename",C745))-SEARCH("[",CELL("filename",C745))-1)</f>
        <v>ff-22-formats-formules-pourcentages.xlsx</v>
      </c>
      <c r="I745" s="1458">
        <v>6</v>
      </c>
      <c r="J745" s="634"/>
      <c r="K745" s="634"/>
      <c r="L745" s="634"/>
      <c r="M745" s="634"/>
      <c r="N745" s="634"/>
      <c r="O745" s="634"/>
      <c r="P745" s="634"/>
      <c r="Q745" s="634"/>
    </row>
    <row r="746" spans="2:17">
      <c r="B746" s="4717"/>
      <c r="C746" s="6064" t="s">
        <v>1170</v>
      </c>
      <c r="D746" s="6065" t="s">
        <v>1171</v>
      </c>
      <c r="E746" s="6066"/>
      <c r="F746" s="6067"/>
      <c r="G746" s="1459" t="s">
        <v>1172</v>
      </c>
      <c r="H746" s="1460">
        <v>1000</v>
      </c>
      <c r="I746" s="1461"/>
      <c r="J746" s="634"/>
      <c r="K746" s="634"/>
      <c r="L746" s="634"/>
      <c r="M746" s="634"/>
      <c r="N746" s="634"/>
      <c r="O746" s="634"/>
      <c r="P746" s="634"/>
      <c r="Q746" s="634"/>
    </row>
    <row r="747" spans="2:17">
      <c r="B747" s="4717"/>
      <c r="C747" s="6042"/>
      <c r="D747" s="6068" t="s">
        <v>1173</v>
      </c>
      <c r="E747" s="6069"/>
      <c r="F747" s="6070"/>
      <c r="G747" s="1462" t="s">
        <v>1174</v>
      </c>
      <c r="H747" s="1463">
        <v>0.6</v>
      </c>
      <c r="I747" s="1464">
        <v>0.8</v>
      </c>
      <c r="J747" s="634"/>
      <c r="K747" s="634"/>
      <c r="L747" s="634"/>
      <c r="M747" s="634"/>
      <c r="N747" s="634"/>
      <c r="O747" s="634"/>
      <c r="P747" s="634"/>
      <c r="Q747" s="634"/>
    </row>
    <row r="748" spans="2:17" ht="16.5" thickBot="1">
      <c r="B748" s="4717"/>
      <c r="C748" s="6043"/>
      <c r="D748" s="6071" t="s">
        <v>1175</v>
      </c>
      <c r="E748" s="6072"/>
      <c r="F748" s="6073"/>
      <c r="G748" s="1465" t="s">
        <v>1176</v>
      </c>
      <c r="H748" s="1466"/>
      <c r="I748" s="1467">
        <v>0.3</v>
      </c>
      <c r="J748" s="634"/>
      <c r="K748" s="634"/>
      <c r="L748" s="634"/>
      <c r="M748" s="634"/>
      <c r="N748" s="634"/>
      <c r="O748" s="634"/>
      <c r="P748" s="634"/>
      <c r="Q748" s="634"/>
    </row>
    <row r="749" spans="2:17">
      <c r="B749" s="4717"/>
      <c r="C749" s="6041" t="s">
        <v>1177</v>
      </c>
      <c r="D749" s="6050" t="s">
        <v>1178</v>
      </c>
      <c r="E749" s="6051"/>
      <c r="F749" s="6074"/>
      <c r="G749" s="1468" t="s">
        <v>1179</v>
      </c>
      <c r="H749" s="1469">
        <f>H746/(1+H747)</f>
        <v>625</v>
      </c>
      <c r="I749" s="1470">
        <f>H749*I748/(1+I748)</f>
        <v>144.23076923076923</v>
      </c>
      <c r="J749" s="634"/>
      <c r="K749" s="634"/>
      <c r="L749" s="634"/>
      <c r="M749" s="634"/>
      <c r="N749" s="634"/>
      <c r="O749" s="634"/>
      <c r="P749" s="634"/>
      <c r="Q749" s="634"/>
    </row>
    <row r="750" spans="2:17">
      <c r="B750" s="4717"/>
      <c r="C750" s="6042"/>
      <c r="D750" s="6052" t="s">
        <v>1180</v>
      </c>
      <c r="E750" s="6053"/>
      <c r="F750" s="6075"/>
      <c r="G750" s="1471" t="s">
        <v>1181</v>
      </c>
      <c r="H750" s="1472">
        <f>H746*H747/(1+H747)</f>
        <v>375</v>
      </c>
      <c r="I750" s="1473">
        <f>I749*I747</f>
        <v>115.38461538461539</v>
      </c>
      <c r="J750" s="634"/>
      <c r="K750" s="634"/>
      <c r="L750" s="634"/>
      <c r="M750" s="634"/>
      <c r="N750" s="634"/>
      <c r="O750" s="634"/>
      <c r="P750" s="634"/>
      <c r="Q750" s="634"/>
    </row>
    <row r="751" spans="2:17">
      <c r="B751" s="4717"/>
      <c r="C751" s="6042"/>
      <c r="D751" s="6052" t="s">
        <v>1182</v>
      </c>
      <c r="E751" s="6053"/>
      <c r="F751" s="6075"/>
      <c r="G751" s="1471" t="s">
        <v>1183</v>
      </c>
      <c r="H751" s="1472">
        <f>H749-I749</f>
        <v>480.76923076923077</v>
      </c>
      <c r="I751" s="1473"/>
      <c r="J751" s="634"/>
      <c r="K751" s="634"/>
      <c r="L751" s="634"/>
      <c r="M751" s="634"/>
      <c r="N751" s="634"/>
      <c r="O751" s="634"/>
      <c r="P751" s="634"/>
      <c r="Q751" s="634"/>
    </row>
    <row r="752" spans="2:17" ht="16.5" thickBot="1">
      <c r="B752" s="4717"/>
      <c r="C752" s="1474"/>
      <c r="D752" s="6054" t="s">
        <v>1184</v>
      </c>
      <c r="E752" s="6055"/>
      <c r="F752" s="6076"/>
      <c r="G752" s="1475" t="s">
        <v>1185</v>
      </c>
      <c r="H752" s="1476">
        <f>H750-I750</f>
        <v>259.61538461538464</v>
      </c>
      <c r="I752" s="1477"/>
      <c r="J752" s="634"/>
      <c r="K752" s="634"/>
      <c r="L752" s="634"/>
      <c r="M752" s="634"/>
      <c r="N752" s="634"/>
      <c r="O752" s="634"/>
      <c r="P752" s="634"/>
      <c r="Q752" s="634"/>
    </row>
    <row r="753" spans="2:17">
      <c r="B753" s="4717"/>
      <c r="C753" s="1478" t="s">
        <v>1186</v>
      </c>
      <c r="D753" s="1229"/>
      <c r="E753" s="1229"/>
      <c r="F753" s="1229"/>
      <c r="G753" s="1229"/>
      <c r="H753" s="1229"/>
      <c r="I753" s="517"/>
      <c r="J753" s="634"/>
      <c r="K753" s="634"/>
      <c r="L753" s="634"/>
      <c r="M753" s="634"/>
      <c r="N753" s="634"/>
      <c r="O753" s="634"/>
      <c r="P753" s="634"/>
      <c r="Q753" s="634"/>
    </row>
    <row r="754" spans="2:17">
      <c r="B754" s="4717"/>
      <c r="C754" s="1479" t="s">
        <v>365</v>
      </c>
      <c r="D754" s="1480" t="s">
        <v>1187</v>
      </c>
      <c r="E754" s="1481"/>
      <c r="F754" s="1481"/>
      <c r="G754" s="634"/>
      <c r="H754" s="634"/>
      <c r="I754" s="517"/>
      <c r="J754" s="634"/>
      <c r="K754" s="634"/>
      <c r="L754" s="634"/>
      <c r="M754" s="634"/>
      <c r="N754" s="634"/>
      <c r="O754" s="634"/>
      <c r="P754" s="634"/>
      <c r="Q754" s="634"/>
    </row>
    <row r="755" spans="2:17">
      <c r="B755" s="4717"/>
      <c r="C755" s="1479" t="s">
        <v>365</v>
      </c>
      <c r="D755" s="1480" t="s">
        <v>1080</v>
      </c>
      <c r="E755" s="1481"/>
      <c r="F755" s="1481"/>
      <c r="G755" s="634"/>
      <c r="H755" s="634"/>
      <c r="I755" s="517"/>
      <c r="J755" s="634"/>
      <c r="K755" s="634"/>
      <c r="L755" s="634"/>
      <c r="M755" s="634"/>
      <c r="N755" s="634"/>
      <c r="O755" s="634"/>
      <c r="P755" s="634"/>
      <c r="Q755" s="634"/>
    </row>
    <row r="756" spans="2:17" ht="16.5" thickBot="1">
      <c r="B756" s="4717"/>
      <c r="C756" s="1482" t="s">
        <v>1002</v>
      </c>
      <c r="D756" s="1276"/>
      <c r="E756" s="1276"/>
      <c r="F756" s="1276"/>
      <c r="G756" s="1276"/>
      <c r="H756" s="1276"/>
      <c r="I756" s="581"/>
      <c r="J756" s="634"/>
      <c r="K756" s="634"/>
      <c r="L756" s="634"/>
      <c r="M756" s="634"/>
      <c r="N756" s="634"/>
      <c r="O756" s="634"/>
      <c r="P756" s="634"/>
      <c r="Q756" s="634"/>
    </row>
    <row r="757" spans="2:17">
      <c r="B757" s="634"/>
      <c r="C757" s="634"/>
      <c r="D757" s="634"/>
      <c r="E757" s="634"/>
      <c r="F757" s="634"/>
      <c r="G757" s="634"/>
      <c r="H757" s="634"/>
      <c r="I757" s="634"/>
      <c r="J757" s="634"/>
      <c r="K757" s="634"/>
      <c r="L757" s="634"/>
      <c r="M757" s="634"/>
      <c r="N757" s="634"/>
      <c r="O757" s="634"/>
      <c r="P757" s="634"/>
      <c r="Q757" s="634"/>
    </row>
    <row r="758" spans="2:17">
      <c r="B758" s="634"/>
      <c r="C758" s="634"/>
      <c r="D758" s="634"/>
      <c r="E758" s="634"/>
      <c r="F758" s="634"/>
      <c r="G758" s="634"/>
      <c r="H758" s="634"/>
      <c r="I758" s="634"/>
      <c r="J758" s="634"/>
      <c r="K758" s="634"/>
      <c r="L758" s="634"/>
      <c r="M758" s="634"/>
      <c r="N758" s="634"/>
      <c r="O758" s="634"/>
      <c r="P758" s="634"/>
      <c r="Q758" s="634"/>
    </row>
    <row r="759" spans="2:17" ht="23.25">
      <c r="B759" s="1445">
        <f>ROW()</f>
        <v>759</v>
      </c>
      <c r="C759" s="1446" t="s">
        <v>1188</v>
      </c>
      <c r="D759" s="1451"/>
      <c r="E759" s="1451"/>
      <c r="F759" s="1451"/>
      <c r="G759" s="1451"/>
      <c r="H759" s="1451"/>
      <c r="I759" s="1451"/>
      <c r="J759" s="1451"/>
      <c r="K759" s="1451"/>
      <c r="L759" s="1451"/>
      <c r="M759" s="1451"/>
      <c r="N759" s="1451"/>
      <c r="O759" s="1451"/>
      <c r="P759" s="1451"/>
      <c r="Q759" s="1451"/>
    </row>
    <row r="760" spans="2:17">
      <c r="C760" s="634"/>
      <c r="D760" s="634"/>
      <c r="E760" s="634"/>
      <c r="F760" s="634"/>
      <c r="G760" s="634"/>
      <c r="H760" s="634"/>
      <c r="I760" s="634"/>
      <c r="J760" s="634"/>
      <c r="K760" s="634"/>
      <c r="L760" s="634"/>
      <c r="M760" s="634"/>
      <c r="N760" s="634"/>
      <c r="O760" s="634"/>
      <c r="P760" s="634"/>
      <c r="Q760" s="634"/>
    </row>
    <row r="761" spans="2:17">
      <c r="B761" s="1479" t="s">
        <v>365</v>
      </c>
      <c r="C761" s="1222" t="s">
        <v>1189</v>
      </c>
      <c r="D761" s="634"/>
      <c r="E761" s="634"/>
      <c r="F761" s="634"/>
      <c r="G761" s="634"/>
      <c r="H761" s="634"/>
      <c r="I761" s="634"/>
      <c r="J761" s="634"/>
      <c r="K761" s="634"/>
      <c r="L761" s="634"/>
      <c r="M761" s="634"/>
      <c r="N761" s="634"/>
      <c r="O761" s="634"/>
      <c r="P761" s="634"/>
      <c r="Q761" s="634"/>
    </row>
    <row r="762" spans="2:17">
      <c r="C762" s="634"/>
      <c r="D762" s="634"/>
      <c r="E762" s="634"/>
      <c r="F762" s="634"/>
      <c r="G762" s="634"/>
      <c r="H762" s="634"/>
      <c r="I762" s="634"/>
      <c r="J762" s="634"/>
      <c r="K762" s="634"/>
      <c r="L762" s="634"/>
      <c r="M762" s="634"/>
      <c r="N762" s="634"/>
      <c r="O762" s="634"/>
      <c r="P762" s="634"/>
      <c r="Q762" s="634"/>
    </row>
    <row r="763" spans="2:17" ht="19.5" thickBot="1">
      <c r="C763" s="1450" t="s">
        <v>1167</v>
      </c>
      <c r="D763" s="634"/>
      <c r="E763" s="634"/>
      <c r="F763" s="634"/>
      <c r="G763" s="634"/>
      <c r="H763" s="634"/>
      <c r="I763" s="634"/>
      <c r="J763" s="634"/>
      <c r="K763" s="634"/>
      <c r="L763" s="634"/>
      <c r="M763" s="634"/>
      <c r="N763" s="634"/>
      <c r="O763" s="634"/>
      <c r="P763" s="634"/>
      <c r="Q763" s="634"/>
    </row>
    <row r="764" spans="2:17" ht="131.25" customHeight="1" thickBot="1">
      <c r="C764" s="1454"/>
      <c r="D764" s="1455"/>
      <c r="E764" s="1455"/>
      <c r="F764" s="1455"/>
      <c r="G764" s="1455"/>
      <c r="H764" s="1455"/>
      <c r="I764" s="1455"/>
      <c r="J764" s="1455"/>
      <c r="K764" s="1455"/>
      <c r="L764" s="1455"/>
      <c r="M764" s="1455"/>
      <c r="N764" s="1455"/>
      <c r="O764" s="1455"/>
      <c r="P764" s="1456"/>
    </row>
    <row r="765" spans="2:17">
      <c r="B765" s="634"/>
      <c r="C765" s="634"/>
      <c r="D765" s="634"/>
      <c r="E765" s="634"/>
      <c r="F765" s="634"/>
      <c r="G765" s="634"/>
      <c r="H765" s="634"/>
      <c r="I765" s="634"/>
      <c r="J765" s="634"/>
      <c r="K765" s="634"/>
      <c r="L765" s="634"/>
      <c r="M765" s="634"/>
      <c r="N765" s="634"/>
      <c r="O765" s="634"/>
      <c r="P765" s="634"/>
      <c r="Q765" s="634"/>
    </row>
    <row r="766" spans="2:17" ht="18.75">
      <c r="B766" s="634"/>
      <c r="C766" s="1450" t="s">
        <v>1168</v>
      </c>
      <c r="D766" s="634"/>
      <c r="E766" s="634"/>
      <c r="F766" s="634"/>
      <c r="G766" s="634"/>
      <c r="H766" s="634"/>
      <c r="I766" s="634"/>
      <c r="J766" s="634"/>
      <c r="K766" s="634"/>
      <c r="L766" s="634"/>
      <c r="M766" s="634"/>
      <c r="N766" s="634"/>
      <c r="O766" s="634"/>
      <c r="P766" s="634"/>
      <c r="Q766" s="634"/>
    </row>
    <row r="767" spans="2:17" ht="16.5" thickBot="1">
      <c r="B767" s="634"/>
      <c r="C767" s="634"/>
      <c r="D767" s="634"/>
      <c r="E767" s="634"/>
      <c r="F767" s="634"/>
      <c r="G767" s="634"/>
      <c r="H767" s="634"/>
      <c r="I767" s="634"/>
      <c r="J767" s="634"/>
      <c r="K767" s="634"/>
      <c r="L767" s="634"/>
      <c r="M767" s="634"/>
      <c r="N767" s="634"/>
      <c r="O767" s="634"/>
      <c r="P767" s="634"/>
      <c r="Q767" s="634"/>
    </row>
    <row r="768" spans="2:17" ht="120.75" customHeight="1" thickBot="1">
      <c r="B768" s="634"/>
      <c r="C768" s="1454"/>
      <c r="D768" s="1455"/>
      <c r="E768" s="1455"/>
      <c r="F768" s="1455"/>
      <c r="G768" s="1455"/>
      <c r="H768" s="1455"/>
      <c r="I768" s="1455"/>
      <c r="J768" s="1455"/>
      <c r="K768" s="1455"/>
      <c r="L768" s="1455"/>
      <c r="M768" s="1455"/>
      <c r="N768" s="1455"/>
      <c r="O768" s="1455"/>
      <c r="P768" s="1456"/>
      <c r="Q768" s="634"/>
    </row>
    <row r="769" spans="2:17" ht="16.5" thickBot="1">
      <c r="B769" s="634"/>
      <c r="C769" s="634"/>
      <c r="D769" s="634"/>
      <c r="E769" s="634"/>
      <c r="F769" s="634"/>
      <c r="G769" s="634"/>
      <c r="H769" s="634"/>
      <c r="I769" s="634"/>
      <c r="J769" s="634"/>
      <c r="K769" s="634"/>
      <c r="L769" s="634"/>
      <c r="M769" s="634"/>
      <c r="N769" s="634"/>
      <c r="O769" s="634"/>
      <c r="P769" s="634"/>
      <c r="Q769" s="634"/>
    </row>
    <row r="770" spans="2:17" ht="21">
      <c r="B770" s="1192" t="s">
        <v>70</v>
      </c>
      <c r="C770" s="5892" t="s">
        <v>1188</v>
      </c>
      <c r="D770" s="5893"/>
      <c r="E770" s="5893"/>
      <c r="F770" s="5893"/>
      <c r="G770" s="5893"/>
      <c r="H770" s="5893"/>
      <c r="I770" s="5893"/>
      <c r="J770" s="5893"/>
      <c r="K770" s="5893"/>
      <c r="L770" s="5894"/>
      <c r="M770" s="634"/>
      <c r="N770" s="634"/>
      <c r="O770" s="634"/>
      <c r="P770" s="634"/>
      <c r="Q770" s="634"/>
    </row>
    <row r="771" spans="2:17" ht="15.75" customHeight="1">
      <c r="B771" s="4717" t="str">
        <f>C770</f>
        <v>Production d'une pâte par plusieurs rafraîchis</v>
      </c>
      <c r="C771" s="1483" t="str">
        <f>ADDRESS(ROW(),COLUMN(),4)</f>
        <v>C771</v>
      </c>
      <c r="D771" s="1484" t="s">
        <v>691</v>
      </c>
      <c r="E771" s="903"/>
      <c r="F771" s="903"/>
      <c r="G771" s="903"/>
      <c r="H771" s="1224"/>
      <c r="I771" s="1224"/>
      <c r="J771" s="1224"/>
      <c r="K771" s="1225" t="str">
        <f ca="1">MID(CELL("filename",C771),SEARCH("[",CELL("filename",C771))+1,SEARCH("]",CELL("filename",C771))-SEARCH("[",CELL("filename",C771))-1)</f>
        <v>ff-22-formats-formules-pourcentages.xlsx</v>
      </c>
      <c r="L771" s="1226">
        <v>7</v>
      </c>
      <c r="M771" s="634"/>
      <c r="N771" s="634"/>
      <c r="O771" s="634"/>
      <c r="P771" s="634"/>
      <c r="Q771" s="634"/>
    </row>
    <row r="772" spans="2:17">
      <c r="B772" s="4717"/>
      <c r="C772" s="6185" t="s">
        <v>1170</v>
      </c>
      <c r="D772" s="6172" t="s">
        <v>1190</v>
      </c>
      <c r="E772" s="6173"/>
      <c r="F772" s="6174"/>
      <c r="G772" s="1485">
        <v>0.6</v>
      </c>
      <c r="H772" s="1485">
        <v>0.8</v>
      </c>
      <c r="I772" s="1485">
        <v>0.8</v>
      </c>
      <c r="J772" s="1485">
        <v>0.8</v>
      </c>
      <c r="K772" s="1485">
        <v>0.8</v>
      </c>
      <c r="L772" s="1486">
        <v>0.8</v>
      </c>
      <c r="M772" s="634"/>
      <c r="N772" s="634"/>
      <c r="O772" s="634"/>
      <c r="P772" s="634"/>
      <c r="Q772" s="634"/>
    </row>
    <row r="773" spans="2:17">
      <c r="B773" s="4717"/>
      <c r="C773" s="6185"/>
      <c r="D773" s="6175" t="s">
        <v>1191</v>
      </c>
      <c r="E773" s="6176"/>
      <c r="F773" s="6177"/>
      <c r="G773" s="1487">
        <v>0.3</v>
      </c>
      <c r="H773" s="1488">
        <v>0.3</v>
      </c>
      <c r="I773" s="1488">
        <v>0.3</v>
      </c>
      <c r="J773" s="1488">
        <v>0.3</v>
      </c>
      <c r="K773" s="1488">
        <v>0.3</v>
      </c>
      <c r="L773" s="1489">
        <v>0.3</v>
      </c>
      <c r="M773" s="634"/>
      <c r="N773" s="634"/>
      <c r="O773" s="634"/>
      <c r="P773" s="634"/>
      <c r="Q773" s="634"/>
    </row>
    <row r="774" spans="2:17">
      <c r="B774" s="4717"/>
      <c r="C774" s="6185" t="s">
        <v>1177</v>
      </c>
      <c r="D774" s="6182" t="s">
        <v>1192</v>
      </c>
      <c r="E774" s="6183"/>
      <c r="F774" s="6184"/>
      <c r="G774" s="1490">
        <v>1000</v>
      </c>
      <c r="H774" s="1491">
        <f>H778*(1+H772)</f>
        <v>259.61538461538464</v>
      </c>
      <c r="I774" s="1491">
        <f>I778*(1+I772)</f>
        <v>59.911242603550292</v>
      </c>
      <c r="J774" s="1491">
        <f>J778*(1+J772)</f>
        <v>13.825671370050067</v>
      </c>
      <c r="K774" s="1491">
        <f>K778*(1+K772)</f>
        <v>3.1905395469346307</v>
      </c>
      <c r="L774" s="1492">
        <f>L778*(1+L772)</f>
        <v>0.73627835698491484</v>
      </c>
      <c r="M774" s="634"/>
      <c r="N774" s="634"/>
      <c r="O774" s="634"/>
      <c r="P774" s="634"/>
      <c r="Q774" s="634"/>
    </row>
    <row r="775" spans="2:17">
      <c r="B775" s="4717"/>
      <c r="C775" s="6185"/>
      <c r="D775" s="6166" t="s">
        <v>1193</v>
      </c>
      <c r="E775" s="6167"/>
      <c r="F775" s="6168"/>
      <c r="G775" s="1493"/>
      <c r="H775" s="1494">
        <f>H778/G773</f>
        <v>480.76923076923077</v>
      </c>
      <c r="I775" s="1494">
        <f>I778/H773</f>
        <v>110.94674556213018</v>
      </c>
      <c r="J775" s="1494">
        <f>J778/I773</f>
        <v>25.603095129722348</v>
      </c>
      <c r="K775" s="1494">
        <f>K778/J773</f>
        <v>5.9084065683974645</v>
      </c>
      <c r="L775" s="1495">
        <f>L778/K773</f>
        <v>1.3634784388609533</v>
      </c>
      <c r="M775" s="634"/>
      <c r="N775" s="634"/>
      <c r="O775" s="634"/>
      <c r="P775" s="634"/>
      <c r="Q775" s="634"/>
    </row>
    <row r="776" spans="2:17">
      <c r="B776" s="4717"/>
      <c r="C776" s="6185"/>
      <c r="D776" s="6166" t="s">
        <v>1194</v>
      </c>
      <c r="E776" s="6167"/>
      <c r="F776" s="6168"/>
      <c r="G776" s="1496"/>
      <c r="H776" s="1494">
        <f>G774-H774-H775</f>
        <v>259.61538461538458</v>
      </c>
      <c r="I776" s="1494">
        <f>H774-I774-I775</f>
        <v>88.75739644970416</v>
      </c>
      <c r="J776" s="1494">
        <f>I774-J774-J775</f>
        <v>20.482476103777877</v>
      </c>
      <c r="K776" s="1494">
        <f>J774-K774-K775</f>
        <v>4.7267252547179721</v>
      </c>
      <c r="L776" s="1495">
        <f>K774-L774-L775</f>
        <v>1.0907827510887624</v>
      </c>
      <c r="M776" s="634"/>
      <c r="N776" s="634"/>
      <c r="O776" s="634"/>
      <c r="P776" s="634"/>
      <c r="Q776" s="634"/>
    </row>
    <row r="777" spans="2:17">
      <c r="B777" s="4717"/>
      <c r="C777" s="6185"/>
      <c r="D777" s="6166" t="s">
        <v>1195</v>
      </c>
      <c r="E777" s="6167"/>
      <c r="F777" s="6168"/>
      <c r="G777" s="1497"/>
      <c r="H777" s="1498">
        <f>H775*0.02</f>
        <v>9.615384615384615</v>
      </c>
      <c r="I777" s="1499"/>
      <c r="J777" s="1499"/>
      <c r="K777" s="1499"/>
      <c r="L777" s="1500"/>
      <c r="M777" s="634"/>
      <c r="N777" s="634"/>
      <c r="O777" s="634"/>
      <c r="P777" s="634"/>
      <c r="Q777" s="634"/>
    </row>
    <row r="778" spans="2:17">
      <c r="B778" s="4717"/>
      <c r="C778" s="1518"/>
      <c r="D778" s="6169" t="s">
        <v>1196</v>
      </c>
      <c r="E778" s="6170"/>
      <c r="F778" s="6170"/>
      <c r="G778" s="6171"/>
      <c r="H778" s="1501">
        <f>G774*H773/(1+G772)/(1+H773)</f>
        <v>144.23076923076923</v>
      </c>
      <c r="I778" s="1501">
        <f>H774*I773/(1+H772)/(1+I773)</f>
        <v>33.284023668639051</v>
      </c>
      <c r="J778" s="1501">
        <f>I774*J773/(1+I772)/(1+J773)</f>
        <v>7.6809285389167039</v>
      </c>
      <c r="K778" s="1501">
        <f>J774*K773/(1+J772)/(1+K773)</f>
        <v>1.7725219705192392</v>
      </c>
      <c r="L778" s="1502">
        <f>K774*L773/(1+K772)/(1+L773)</f>
        <v>0.409043531658286</v>
      </c>
      <c r="M778" s="634"/>
      <c r="N778" s="634"/>
      <c r="O778" s="634"/>
      <c r="P778" s="634"/>
      <c r="Q778" s="634"/>
    </row>
    <row r="779" spans="2:17">
      <c r="B779" s="4717"/>
      <c r="C779" s="1478" t="s">
        <v>1186</v>
      </c>
      <c r="D779" s="1229"/>
      <c r="E779" s="1229"/>
      <c r="F779" s="1229"/>
      <c r="G779" s="1229"/>
      <c r="H779" s="1229"/>
      <c r="I779" s="634"/>
      <c r="J779" s="634"/>
      <c r="K779" s="634"/>
      <c r="L779" s="517"/>
      <c r="M779" s="634"/>
      <c r="N779" s="634"/>
      <c r="O779" s="634"/>
      <c r="P779" s="634"/>
      <c r="Q779" s="634"/>
    </row>
    <row r="780" spans="2:17">
      <c r="B780" s="4717"/>
      <c r="C780" s="1479" t="s">
        <v>365</v>
      </c>
      <c r="D780" s="1480" t="s">
        <v>1197</v>
      </c>
      <c r="E780" s="1480"/>
      <c r="F780" s="1480"/>
      <c r="G780" s="634"/>
      <c r="H780" s="634"/>
      <c r="I780" s="634"/>
      <c r="J780" s="634"/>
      <c r="K780" s="634"/>
      <c r="L780" s="517"/>
      <c r="M780" s="634"/>
      <c r="N780" s="634"/>
      <c r="O780" s="634"/>
      <c r="P780" s="634"/>
      <c r="Q780" s="634"/>
    </row>
    <row r="781" spans="2:17">
      <c r="B781" s="4717"/>
      <c r="C781" s="1479" t="s">
        <v>365</v>
      </c>
      <c r="D781" s="1480" t="s">
        <v>1080</v>
      </c>
      <c r="E781" s="1480"/>
      <c r="F781" s="1480"/>
      <c r="G781" s="634"/>
      <c r="H781" s="634"/>
      <c r="I781" s="634"/>
      <c r="J781" s="634"/>
      <c r="K781" s="634"/>
      <c r="L781" s="517"/>
      <c r="M781" s="634"/>
      <c r="N781" s="634"/>
      <c r="O781" s="634"/>
      <c r="P781" s="634"/>
      <c r="Q781" s="634"/>
    </row>
    <row r="782" spans="2:17" ht="16.5" thickBot="1">
      <c r="B782" s="4717"/>
      <c r="C782" s="1482" t="s">
        <v>1002</v>
      </c>
      <c r="D782" s="1276"/>
      <c r="E782" s="1276"/>
      <c r="F782" s="1276"/>
      <c r="G782" s="1276"/>
      <c r="H782" s="1276"/>
      <c r="I782" s="580"/>
      <c r="J782" s="580"/>
      <c r="K782" s="580"/>
      <c r="L782" s="581"/>
      <c r="M782" s="634"/>
      <c r="N782" s="634"/>
      <c r="O782" s="634"/>
      <c r="P782" s="634"/>
      <c r="Q782" s="634"/>
    </row>
    <row r="783" spans="2:17">
      <c r="B783" s="634"/>
      <c r="C783" s="634"/>
      <c r="D783" s="634"/>
      <c r="E783" s="634"/>
      <c r="F783" s="634"/>
      <c r="G783" s="634"/>
      <c r="H783" s="634"/>
      <c r="I783" s="634"/>
      <c r="J783" s="634"/>
      <c r="K783" s="634"/>
      <c r="L783" s="634"/>
      <c r="M783" s="634"/>
      <c r="N783" s="634"/>
      <c r="O783" s="634"/>
      <c r="P783" s="634"/>
      <c r="Q783" s="634"/>
    </row>
    <row r="784" spans="2:17" ht="18.75">
      <c r="B784" s="634"/>
      <c r="C784" s="1450" t="s">
        <v>1198</v>
      </c>
      <c r="D784" s="634"/>
      <c r="E784" s="634"/>
      <c r="F784" s="634"/>
      <c r="G784" s="634"/>
      <c r="H784" s="634"/>
      <c r="I784" s="634"/>
      <c r="J784" s="634"/>
      <c r="K784" s="634"/>
      <c r="L784" s="634"/>
      <c r="M784" s="634"/>
      <c r="N784" s="634"/>
      <c r="O784" s="634"/>
      <c r="P784" s="634"/>
      <c r="Q784" s="634"/>
    </row>
    <row r="785" spans="2:17" ht="15.75" customHeight="1">
      <c r="B785" s="634"/>
      <c r="C785" s="1444"/>
      <c r="D785" s="634"/>
      <c r="E785" s="634"/>
      <c r="F785" s="634"/>
      <c r="G785" s="634"/>
      <c r="H785" s="634"/>
      <c r="I785" s="634"/>
      <c r="J785" s="634"/>
      <c r="K785" s="634"/>
      <c r="L785" s="634"/>
      <c r="M785" s="634"/>
      <c r="N785" s="634"/>
      <c r="O785" s="634"/>
      <c r="P785" s="634"/>
      <c r="Q785" s="634"/>
    </row>
    <row r="786" spans="2:17">
      <c r="B786" s="634"/>
      <c r="C786" s="1444" t="s">
        <v>1199</v>
      </c>
      <c r="D786" s="634"/>
      <c r="E786" s="634"/>
      <c r="F786" s="634"/>
      <c r="G786" s="634"/>
      <c r="H786" s="634"/>
      <c r="I786" s="634"/>
      <c r="J786" s="634"/>
      <c r="K786" s="634"/>
      <c r="L786" s="634"/>
      <c r="M786" s="634"/>
      <c r="N786" s="634"/>
      <c r="O786" s="634"/>
      <c r="P786" s="634"/>
      <c r="Q786" s="634"/>
    </row>
    <row r="787" spans="2:17">
      <c r="B787" s="634"/>
      <c r="C787" s="1444" t="s">
        <v>1200</v>
      </c>
      <c r="D787" s="634"/>
      <c r="E787" s="634"/>
      <c r="F787" s="634"/>
      <c r="G787" s="634"/>
      <c r="H787" s="634"/>
      <c r="I787" s="634"/>
      <c r="J787" s="634"/>
      <c r="K787" s="634"/>
      <c r="L787" s="634"/>
      <c r="M787" s="634"/>
      <c r="N787" s="634"/>
      <c r="O787" s="634"/>
      <c r="P787" s="634"/>
      <c r="Q787" s="634"/>
    </row>
    <row r="788" spans="2:17">
      <c r="B788" s="634"/>
      <c r="C788" s="1444" t="s">
        <v>1201</v>
      </c>
      <c r="D788" s="634"/>
      <c r="E788" s="634"/>
      <c r="F788" s="634"/>
      <c r="G788" s="634"/>
      <c r="H788" s="634"/>
      <c r="I788" s="634"/>
      <c r="J788" s="634"/>
      <c r="K788" s="634"/>
      <c r="L788" s="634"/>
      <c r="M788" s="634"/>
      <c r="N788" s="634"/>
      <c r="O788" s="634"/>
      <c r="P788" s="634"/>
      <c r="Q788" s="634"/>
    </row>
    <row r="789" spans="2:17">
      <c r="B789" s="634"/>
      <c r="C789" s="634"/>
      <c r="D789" s="634"/>
      <c r="E789" s="634"/>
      <c r="F789" s="634"/>
      <c r="G789" s="634"/>
      <c r="H789" s="634"/>
      <c r="I789" s="634"/>
      <c r="J789" s="634"/>
      <c r="K789" s="634"/>
      <c r="L789" s="634"/>
      <c r="M789" s="634"/>
      <c r="N789" s="634"/>
      <c r="O789" s="634"/>
      <c r="P789" s="634"/>
      <c r="Q789" s="634"/>
    </row>
    <row r="790" spans="2:17">
      <c r="B790" s="634"/>
      <c r="C790" s="634" t="s">
        <v>1202</v>
      </c>
      <c r="D790" s="634"/>
      <c r="E790" s="634"/>
      <c r="F790" s="634"/>
      <c r="G790" s="634"/>
      <c r="H790" s="634"/>
      <c r="I790" s="634"/>
      <c r="J790" s="634"/>
      <c r="K790" s="634"/>
      <c r="L790" s="634"/>
      <c r="M790" s="634"/>
      <c r="N790" s="634"/>
      <c r="O790" s="634"/>
      <c r="P790" s="634"/>
      <c r="Q790" s="634"/>
    </row>
    <row r="791" spans="2:17">
      <c r="B791" s="634"/>
      <c r="C791" s="634"/>
      <c r="D791" s="634"/>
      <c r="E791" s="634"/>
      <c r="F791" s="634"/>
      <c r="G791" s="634"/>
      <c r="H791" s="634"/>
      <c r="I791" s="634"/>
      <c r="J791" s="634"/>
      <c r="K791" s="634"/>
      <c r="L791" s="634"/>
      <c r="M791" s="634"/>
      <c r="N791" s="634"/>
      <c r="O791" s="634"/>
      <c r="P791" s="634"/>
      <c r="Q791" s="634"/>
    </row>
    <row r="792" spans="2:17" ht="23.25">
      <c r="B792" s="1445">
        <f>ROW()</f>
        <v>792</v>
      </c>
      <c r="C792" s="1446" t="s">
        <v>1203</v>
      </c>
      <c r="D792" s="1451"/>
      <c r="E792" s="1451"/>
      <c r="F792" s="1451"/>
      <c r="G792" s="1451"/>
      <c r="H792" s="1451"/>
      <c r="I792" s="1451"/>
      <c r="J792" s="1451"/>
      <c r="K792" s="1451"/>
      <c r="L792" s="1451"/>
      <c r="M792" s="1451"/>
      <c r="N792" s="1451"/>
      <c r="O792" s="1451"/>
      <c r="P792" s="1451"/>
      <c r="Q792" s="1451"/>
    </row>
    <row r="793" spans="2:17">
      <c r="B793" s="634"/>
      <c r="C793" s="634"/>
      <c r="D793" s="634"/>
      <c r="E793" s="634"/>
      <c r="F793" s="634"/>
      <c r="G793" s="634"/>
      <c r="H793" s="634"/>
      <c r="I793" s="634"/>
      <c r="J793" s="634"/>
      <c r="K793" s="634"/>
      <c r="L793" s="634"/>
      <c r="M793" s="634"/>
      <c r="N793" s="634"/>
      <c r="O793" s="634"/>
      <c r="P793" s="634"/>
      <c r="Q793" s="634"/>
    </row>
    <row r="794" spans="2:17" ht="18.75">
      <c r="B794" s="634"/>
      <c r="C794" s="1450" t="s">
        <v>1204</v>
      </c>
      <c r="D794" s="634"/>
      <c r="E794" s="634"/>
      <c r="F794" s="634"/>
      <c r="G794" s="634"/>
      <c r="H794" s="634"/>
      <c r="I794" s="634"/>
      <c r="J794" s="634"/>
      <c r="K794" s="634"/>
      <c r="L794" s="634"/>
      <c r="M794" s="634"/>
      <c r="N794" s="634"/>
      <c r="O794" s="634"/>
      <c r="P794" s="634"/>
      <c r="Q794" s="634"/>
    </row>
    <row r="795" spans="2:17">
      <c r="B795" s="634"/>
      <c r="C795" s="634"/>
      <c r="D795" s="634"/>
      <c r="E795" s="634"/>
      <c r="F795" s="634"/>
      <c r="G795" s="634"/>
      <c r="H795" s="634"/>
      <c r="I795" s="634"/>
      <c r="J795" s="634"/>
      <c r="K795" s="634"/>
      <c r="L795" s="634"/>
      <c r="M795" s="634"/>
      <c r="N795" s="634"/>
      <c r="O795" s="634"/>
      <c r="P795" s="634"/>
      <c r="Q795" s="634"/>
    </row>
    <row r="796" spans="2:17">
      <c r="B796" s="634"/>
      <c r="C796" s="1449" t="s">
        <v>1205</v>
      </c>
      <c r="D796" s="634"/>
      <c r="E796" s="634"/>
      <c r="F796" s="634"/>
      <c r="G796" s="634"/>
      <c r="H796" s="634"/>
      <c r="I796" s="634"/>
      <c r="J796" s="634"/>
      <c r="K796" s="634"/>
      <c r="L796" s="634"/>
      <c r="M796" s="634"/>
      <c r="N796" s="634"/>
      <c r="O796" s="634"/>
      <c r="P796" s="634"/>
      <c r="Q796" s="634"/>
    </row>
    <row r="797" spans="2:17">
      <c r="B797" s="634"/>
      <c r="C797" s="634"/>
      <c r="D797" s="634"/>
      <c r="E797" s="634"/>
      <c r="F797" s="634"/>
      <c r="G797" s="634"/>
      <c r="H797" s="634"/>
      <c r="I797" s="634"/>
      <c r="J797" s="634"/>
      <c r="K797" s="634"/>
      <c r="L797" s="634"/>
      <c r="M797" s="634"/>
      <c r="N797" s="634"/>
      <c r="O797" s="634"/>
      <c r="P797" s="634"/>
      <c r="Q797" s="634"/>
    </row>
    <row r="798" spans="2:17" ht="18.75">
      <c r="B798" s="634"/>
      <c r="C798" s="1450" t="s">
        <v>1147</v>
      </c>
      <c r="D798" s="634"/>
      <c r="E798" s="634"/>
      <c r="F798" s="634"/>
      <c r="G798" s="634"/>
      <c r="H798" s="634"/>
      <c r="I798" s="634"/>
      <c r="J798" s="634"/>
      <c r="K798" s="634"/>
      <c r="L798" s="634"/>
      <c r="M798" s="634"/>
      <c r="N798" s="634"/>
      <c r="O798" s="634"/>
      <c r="P798" s="634"/>
      <c r="Q798" s="634"/>
    </row>
    <row r="799" spans="2:17">
      <c r="B799" s="634"/>
      <c r="C799" s="1444"/>
      <c r="D799" s="634"/>
      <c r="E799" s="634"/>
      <c r="F799" s="634"/>
      <c r="G799" s="634"/>
      <c r="H799" s="634"/>
      <c r="I799" s="634"/>
      <c r="J799" s="634"/>
      <c r="K799" s="634"/>
      <c r="L799" s="634"/>
      <c r="M799" s="634"/>
      <c r="N799" s="634"/>
      <c r="O799" s="634"/>
      <c r="P799" s="634"/>
      <c r="Q799" s="634"/>
    </row>
    <row r="800" spans="2:17">
      <c r="B800" s="634"/>
      <c r="C800" s="1444" t="s">
        <v>1149</v>
      </c>
      <c r="D800" s="634"/>
      <c r="E800" s="634"/>
      <c r="F800" s="634"/>
      <c r="G800" s="634"/>
      <c r="H800" s="634"/>
      <c r="I800" s="634"/>
      <c r="J800" s="634"/>
      <c r="K800" s="634"/>
      <c r="L800" s="634"/>
      <c r="M800" s="634"/>
      <c r="N800" s="634"/>
      <c r="O800" s="634"/>
      <c r="P800" s="634"/>
      <c r="Q800" s="634"/>
    </row>
    <row r="801" spans="2:17">
      <c r="B801" s="634"/>
      <c r="C801" s="1444" t="s">
        <v>1112</v>
      </c>
      <c r="D801" s="634"/>
      <c r="E801" s="634"/>
      <c r="F801" s="634"/>
      <c r="G801" s="634"/>
      <c r="H801" s="634"/>
      <c r="I801" s="634"/>
      <c r="J801" s="634"/>
      <c r="K801" s="634"/>
      <c r="L801" s="634"/>
      <c r="M801" s="634"/>
      <c r="N801" s="634"/>
      <c r="O801" s="634"/>
      <c r="P801" s="634"/>
      <c r="Q801" s="634"/>
    </row>
    <row r="802" spans="2:17">
      <c r="B802" s="634"/>
      <c r="C802" s="1444" t="s">
        <v>1113</v>
      </c>
      <c r="D802" s="634"/>
      <c r="E802" s="634"/>
      <c r="F802" s="634"/>
      <c r="G802" s="634"/>
      <c r="H802" s="634"/>
      <c r="I802" s="634"/>
      <c r="J802" s="634"/>
      <c r="K802" s="634"/>
      <c r="L802" s="634"/>
      <c r="M802" s="634"/>
      <c r="N802" s="634"/>
      <c r="O802" s="634"/>
      <c r="P802" s="634"/>
      <c r="Q802" s="634"/>
    </row>
    <row r="803" spans="2:17">
      <c r="B803" s="634"/>
      <c r="C803" s="1444" t="s">
        <v>1114</v>
      </c>
      <c r="D803" s="634"/>
      <c r="E803" s="634"/>
      <c r="F803" s="634"/>
      <c r="G803" s="634"/>
      <c r="H803" s="634"/>
      <c r="I803" s="634"/>
      <c r="J803" s="634"/>
      <c r="K803" s="634"/>
      <c r="L803" s="634"/>
      <c r="M803" s="634"/>
      <c r="N803" s="634"/>
      <c r="O803" s="634"/>
      <c r="P803" s="634"/>
      <c r="Q803" s="634"/>
    </row>
    <row r="804" spans="2:17">
      <c r="B804" s="634"/>
      <c r="C804" s="634"/>
      <c r="D804" s="634"/>
      <c r="E804" s="634"/>
      <c r="F804" s="634"/>
      <c r="G804" s="634"/>
      <c r="H804" s="634"/>
      <c r="I804" s="634"/>
      <c r="J804" s="634"/>
      <c r="K804" s="634"/>
      <c r="L804" s="634"/>
      <c r="M804" s="634"/>
      <c r="N804" s="634"/>
      <c r="O804" s="634"/>
      <c r="P804" s="634"/>
      <c r="Q804" s="634"/>
    </row>
    <row r="805" spans="2:17" ht="18.75">
      <c r="B805" s="634"/>
      <c r="C805" s="1450" t="s">
        <v>1206</v>
      </c>
      <c r="D805" s="634"/>
      <c r="E805" s="634"/>
      <c r="F805" s="634"/>
      <c r="G805" s="634"/>
      <c r="H805" s="634"/>
      <c r="I805" s="634"/>
      <c r="J805" s="634"/>
      <c r="K805" s="634"/>
      <c r="L805" s="634"/>
      <c r="M805" s="634"/>
      <c r="N805" s="634"/>
      <c r="O805" s="634"/>
      <c r="P805" s="634"/>
      <c r="Q805" s="634"/>
    </row>
    <row r="806" spans="2:17">
      <c r="B806" s="634"/>
      <c r="C806" s="1444"/>
      <c r="D806" s="634"/>
      <c r="E806" s="634"/>
      <c r="F806" s="634"/>
      <c r="G806" s="634"/>
      <c r="H806" s="634"/>
      <c r="I806" s="634"/>
      <c r="J806" s="634"/>
      <c r="K806" s="634"/>
      <c r="L806" s="634"/>
      <c r="M806" s="634"/>
      <c r="N806" s="634"/>
      <c r="O806" s="634"/>
      <c r="P806" s="634"/>
      <c r="Q806" s="634"/>
    </row>
    <row r="807" spans="2:17">
      <c r="B807" s="634"/>
      <c r="C807" s="1444" t="s">
        <v>1092</v>
      </c>
      <c r="D807" s="634"/>
      <c r="E807" s="634"/>
      <c r="F807" s="634"/>
      <c r="G807" s="634"/>
      <c r="H807" s="634"/>
      <c r="I807" s="634"/>
      <c r="J807" s="634"/>
      <c r="K807" s="634"/>
      <c r="L807" s="634"/>
      <c r="M807" s="634"/>
      <c r="N807" s="634"/>
      <c r="O807" s="634"/>
      <c r="P807" s="634"/>
      <c r="Q807" s="634"/>
    </row>
    <row r="808" spans="2:17">
      <c r="B808" s="634"/>
      <c r="C808" s="1444" t="s">
        <v>1093</v>
      </c>
      <c r="D808" s="634"/>
      <c r="E808" s="634"/>
      <c r="F808" s="634"/>
      <c r="G808" s="634"/>
      <c r="H808" s="634"/>
      <c r="I808" s="634"/>
      <c r="J808" s="634"/>
      <c r="K808" s="634"/>
      <c r="L808" s="634"/>
      <c r="M808" s="634"/>
      <c r="N808" s="634"/>
      <c r="O808" s="634"/>
      <c r="P808" s="634"/>
      <c r="Q808" s="634"/>
    </row>
    <row r="809" spans="2:17">
      <c r="B809" s="634"/>
      <c r="C809" s="1444" t="s">
        <v>1111</v>
      </c>
      <c r="D809" s="634"/>
      <c r="E809" s="634"/>
      <c r="F809" s="634"/>
      <c r="G809" s="634"/>
      <c r="H809" s="634"/>
      <c r="I809" s="634"/>
      <c r="J809" s="634"/>
      <c r="K809" s="634"/>
      <c r="L809" s="634"/>
      <c r="M809" s="634"/>
      <c r="N809" s="634"/>
      <c r="O809" s="634"/>
      <c r="P809" s="634"/>
      <c r="Q809" s="634"/>
    </row>
    <row r="810" spans="2:17">
      <c r="B810" s="634"/>
      <c r="C810" s="634"/>
      <c r="D810" s="634"/>
      <c r="E810" s="634"/>
      <c r="F810" s="634"/>
      <c r="G810" s="634"/>
      <c r="H810" s="634"/>
      <c r="I810" s="634"/>
      <c r="J810" s="634"/>
      <c r="K810" s="634"/>
      <c r="L810" s="634"/>
      <c r="M810" s="634"/>
      <c r="N810" s="634"/>
      <c r="O810" s="634"/>
      <c r="P810" s="634"/>
      <c r="Q810" s="634"/>
    </row>
    <row r="811" spans="2:17" ht="18.75">
      <c r="B811" s="634"/>
      <c r="C811" s="1450" t="s">
        <v>1207</v>
      </c>
      <c r="D811" s="634"/>
      <c r="E811" s="634"/>
      <c r="F811" s="634"/>
      <c r="G811" s="634"/>
      <c r="H811" s="634"/>
      <c r="I811" s="634"/>
      <c r="J811" s="634"/>
      <c r="K811" s="634"/>
      <c r="L811" s="634"/>
      <c r="M811" s="634"/>
      <c r="N811" s="634"/>
      <c r="O811" s="634"/>
      <c r="P811" s="634"/>
      <c r="Q811" s="634"/>
    </row>
    <row r="812" spans="2:17">
      <c r="B812" s="634"/>
      <c r="C812" s="634"/>
      <c r="D812" s="634"/>
      <c r="E812" s="634"/>
      <c r="F812" s="634"/>
      <c r="G812" s="634"/>
      <c r="H812" s="634"/>
      <c r="I812" s="634"/>
      <c r="J812" s="634"/>
      <c r="K812" s="634"/>
      <c r="L812" s="634"/>
      <c r="M812" s="634"/>
      <c r="N812" s="634"/>
      <c r="O812" s="634"/>
      <c r="P812" s="634"/>
      <c r="Q812" s="634"/>
    </row>
    <row r="813" spans="2:17">
      <c r="B813" s="634"/>
      <c r="C813" s="1449" t="s">
        <v>1208</v>
      </c>
      <c r="D813" s="634"/>
      <c r="E813" s="634"/>
      <c r="F813" s="634"/>
      <c r="G813" s="634"/>
      <c r="H813" s="634"/>
      <c r="I813" s="634"/>
      <c r="J813" s="634"/>
      <c r="K813" s="634"/>
      <c r="L813" s="634"/>
      <c r="M813" s="634"/>
      <c r="N813" s="634"/>
      <c r="O813" s="634"/>
      <c r="P813" s="634"/>
      <c r="Q813" s="634"/>
    </row>
    <row r="814" spans="2:17">
      <c r="B814" s="634"/>
      <c r="C814" s="1449" t="s">
        <v>1154</v>
      </c>
      <c r="D814" s="634"/>
      <c r="E814" s="634"/>
      <c r="F814" s="634"/>
      <c r="G814" s="634"/>
      <c r="H814" s="634"/>
      <c r="I814" s="634"/>
      <c r="J814" s="634"/>
      <c r="K814" s="634"/>
      <c r="L814" s="634"/>
      <c r="M814" s="634"/>
      <c r="N814" s="634"/>
      <c r="O814" s="634"/>
      <c r="P814" s="634"/>
      <c r="Q814" s="634"/>
    </row>
    <row r="815" spans="2:17">
      <c r="B815" s="634"/>
      <c r="C815" s="1449" t="s">
        <v>1153</v>
      </c>
      <c r="D815" s="634"/>
      <c r="E815" s="634"/>
      <c r="F815" s="634"/>
      <c r="G815" s="634"/>
      <c r="H815" s="634"/>
      <c r="I815" s="634"/>
      <c r="J815" s="634"/>
      <c r="K815" s="634"/>
      <c r="L815" s="634"/>
      <c r="M815" s="634"/>
      <c r="N815" s="634"/>
      <c r="O815" s="634"/>
      <c r="P815" s="634"/>
      <c r="Q815" s="634"/>
    </row>
    <row r="816" spans="2:17">
      <c r="B816" s="634"/>
      <c r="C816" s="1449" t="s">
        <v>1155</v>
      </c>
      <c r="D816" s="634"/>
      <c r="E816" s="634"/>
      <c r="F816" s="634"/>
      <c r="G816" s="634"/>
      <c r="H816" s="634"/>
      <c r="I816" s="634"/>
      <c r="J816" s="634"/>
      <c r="K816" s="634"/>
      <c r="L816" s="634"/>
      <c r="M816" s="634"/>
      <c r="N816" s="634"/>
      <c r="O816" s="634"/>
      <c r="P816" s="634"/>
      <c r="Q816" s="634"/>
    </row>
    <row r="817" spans="2:17">
      <c r="B817" s="634"/>
      <c r="C817" s="634"/>
      <c r="D817" s="634"/>
      <c r="E817" s="634"/>
      <c r="F817" s="634"/>
      <c r="G817" s="634"/>
      <c r="H817" s="634"/>
      <c r="I817" s="634"/>
      <c r="J817" s="634"/>
      <c r="K817" s="634"/>
      <c r="L817" s="634"/>
      <c r="M817" s="634"/>
      <c r="N817" s="634"/>
      <c r="O817" s="634"/>
      <c r="P817" s="634"/>
      <c r="Q817" s="634"/>
    </row>
    <row r="818" spans="2:17" ht="18.75">
      <c r="B818" s="634"/>
      <c r="C818" s="1450" t="s">
        <v>1156</v>
      </c>
      <c r="D818" s="634"/>
      <c r="E818" s="634"/>
      <c r="F818" s="634"/>
      <c r="G818" s="634"/>
      <c r="H818" s="634"/>
      <c r="I818" s="634"/>
      <c r="J818" s="634"/>
      <c r="K818" s="634"/>
      <c r="L818" s="634"/>
      <c r="M818" s="634"/>
      <c r="N818" s="634"/>
      <c r="O818" s="634"/>
      <c r="P818" s="634"/>
      <c r="Q818" s="634"/>
    </row>
    <row r="819" spans="2:17">
      <c r="B819" s="634"/>
      <c r="C819" s="634"/>
      <c r="D819" s="634"/>
      <c r="E819" s="634"/>
      <c r="F819" s="634"/>
      <c r="G819" s="634"/>
      <c r="H819" s="634"/>
      <c r="I819" s="634"/>
      <c r="J819" s="634"/>
      <c r="K819" s="634"/>
      <c r="L819" s="634"/>
      <c r="M819" s="634"/>
      <c r="N819" s="634"/>
      <c r="O819" s="634"/>
      <c r="P819" s="634"/>
      <c r="Q819" s="634"/>
    </row>
    <row r="820" spans="2:17">
      <c r="B820" s="634"/>
      <c r="C820" s="1449" t="s">
        <v>1209</v>
      </c>
      <c r="D820" s="634"/>
      <c r="E820" s="634"/>
      <c r="F820" s="634"/>
      <c r="G820" s="634"/>
      <c r="H820" s="634"/>
      <c r="I820" s="634"/>
      <c r="J820" s="634"/>
      <c r="K820" s="634"/>
      <c r="L820" s="634"/>
      <c r="M820" s="634"/>
      <c r="N820" s="634"/>
      <c r="O820" s="634"/>
      <c r="P820" s="634"/>
      <c r="Q820" s="634"/>
    </row>
    <row r="821" spans="2:17">
      <c r="B821" s="634"/>
      <c r="C821" s="1449" t="s">
        <v>1210</v>
      </c>
      <c r="D821" s="634"/>
      <c r="E821" s="634"/>
      <c r="F821" s="634"/>
      <c r="G821" s="634"/>
      <c r="H821" s="634"/>
      <c r="I821" s="634"/>
      <c r="J821" s="634"/>
      <c r="K821" s="634"/>
      <c r="L821" s="634"/>
      <c r="M821" s="634"/>
      <c r="N821" s="634"/>
      <c r="O821" s="634"/>
      <c r="P821" s="634"/>
      <c r="Q821" s="634"/>
    </row>
    <row r="822" spans="2:17">
      <c r="B822" s="634"/>
      <c r="C822" s="1449" t="s">
        <v>1211</v>
      </c>
      <c r="D822" s="634"/>
      <c r="E822" s="634"/>
      <c r="F822" s="634"/>
      <c r="G822" s="634"/>
      <c r="H822" s="634"/>
      <c r="I822" s="634"/>
      <c r="J822" s="634"/>
      <c r="K822" s="634"/>
      <c r="L822" s="634"/>
      <c r="M822" s="634"/>
      <c r="N822" s="634"/>
      <c r="O822" s="634"/>
      <c r="P822" s="634"/>
      <c r="Q822" s="634"/>
    </row>
    <row r="823" spans="2:17">
      <c r="B823" s="634"/>
      <c r="C823" s="1449" t="s">
        <v>1212</v>
      </c>
      <c r="D823" s="634"/>
      <c r="E823" s="634"/>
      <c r="F823" s="634"/>
      <c r="G823" s="634"/>
      <c r="H823" s="634"/>
      <c r="I823" s="634"/>
      <c r="J823" s="634"/>
      <c r="K823" s="634"/>
      <c r="L823" s="634"/>
      <c r="M823" s="634"/>
      <c r="N823" s="634"/>
      <c r="O823" s="634"/>
      <c r="P823" s="634"/>
      <c r="Q823" s="634"/>
    </row>
    <row r="824" spans="2:17">
      <c r="B824" s="634"/>
      <c r="C824" s="1449" t="s">
        <v>1213</v>
      </c>
      <c r="D824" s="634"/>
      <c r="E824" s="634"/>
      <c r="F824" s="634"/>
      <c r="G824" s="634"/>
      <c r="H824" s="634"/>
      <c r="I824" s="634"/>
      <c r="J824" s="634"/>
      <c r="K824" s="634"/>
      <c r="L824" s="634"/>
      <c r="M824" s="634"/>
      <c r="N824" s="634"/>
      <c r="O824" s="634"/>
      <c r="P824" s="634"/>
      <c r="Q824" s="634"/>
    </row>
    <row r="825" spans="2:17">
      <c r="B825" s="634"/>
      <c r="C825" s="1449" t="s">
        <v>1214</v>
      </c>
      <c r="D825" s="634"/>
      <c r="E825" s="634"/>
      <c r="F825" s="634"/>
      <c r="G825" s="634"/>
      <c r="H825" s="634"/>
      <c r="I825" s="634"/>
      <c r="J825" s="634"/>
      <c r="K825" s="634"/>
      <c r="L825" s="634"/>
      <c r="M825" s="634"/>
      <c r="N825" s="634"/>
      <c r="O825" s="634"/>
      <c r="P825" s="634"/>
      <c r="Q825" s="634"/>
    </row>
    <row r="826" spans="2:17">
      <c r="B826" s="634"/>
      <c r="C826" s="1449" t="s">
        <v>1215</v>
      </c>
      <c r="D826" s="634"/>
      <c r="E826" s="634"/>
      <c r="F826" s="634"/>
      <c r="G826" s="634"/>
      <c r="H826" s="634"/>
      <c r="I826" s="634"/>
      <c r="J826" s="634"/>
      <c r="K826" s="634"/>
      <c r="L826" s="634"/>
      <c r="M826" s="634"/>
      <c r="N826" s="634"/>
      <c r="O826" s="634"/>
      <c r="P826" s="634"/>
      <c r="Q826" s="634"/>
    </row>
    <row r="827" spans="2:17">
      <c r="B827" s="634"/>
      <c r="C827" s="634"/>
      <c r="D827" s="634"/>
      <c r="E827" s="634"/>
      <c r="F827" s="634"/>
      <c r="G827" s="634"/>
      <c r="H827" s="634"/>
      <c r="I827" s="634"/>
      <c r="J827" s="634"/>
      <c r="K827" s="634"/>
      <c r="L827" s="634"/>
      <c r="M827" s="634"/>
      <c r="N827" s="634"/>
      <c r="O827" s="634"/>
      <c r="P827" s="634"/>
      <c r="Q827" s="634"/>
    </row>
    <row r="828" spans="2:17" ht="18.75">
      <c r="B828" s="634"/>
      <c r="C828" s="1450" t="s">
        <v>1165</v>
      </c>
      <c r="D828" s="634"/>
      <c r="E828" s="634"/>
      <c r="F828" s="634"/>
      <c r="G828" s="634"/>
      <c r="H828" s="634"/>
      <c r="I828" s="634"/>
      <c r="J828" s="634"/>
      <c r="K828" s="634"/>
      <c r="L828" s="634"/>
      <c r="M828" s="634"/>
      <c r="N828" s="634"/>
      <c r="O828" s="634"/>
      <c r="P828" s="634"/>
      <c r="Q828" s="634"/>
    </row>
    <row r="829" spans="2:17">
      <c r="B829" s="634"/>
      <c r="C829" s="634"/>
      <c r="D829" s="634"/>
      <c r="E829" s="634"/>
      <c r="F829" s="634"/>
      <c r="G829" s="634"/>
      <c r="H829" s="634"/>
      <c r="I829" s="634"/>
      <c r="J829" s="634"/>
      <c r="K829" s="634"/>
      <c r="L829" s="634"/>
      <c r="M829" s="634"/>
      <c r="N829" s="634"/>
      <c r="O829" s="634"/>
      <c r="P829" s="634"/>
      <c r="Q829" s="634"/>
    </row>
    <row r="830" spans="2:17">
      <c r="B830" s="1479" t="s">
        <v>365</v>
      </c>
      <c r="C830" s="1222" t="s">
        <v>1216</v>
      </c>
      <c r="D830" s="634"/>
      <c r="E830" s="634"/>
      <c r="F830" s="634"/>
      <c r="G830" s="634"/>
      <c r="H830" s="634"/>
      <c r="I830" s="634"/>
      <c r="J830" s="634"/>
      <c r="K830" s="634"/>
      <c r="L830" s="634"/>
      <c r="M830" s="634"/>
      <c r="N830" s="634"/>
      <c r="O830" s="634"/>
      <c r="P830" s="634"/>
      <c r="Q830" s="634"/>
    </row>
    <row r="831" spans="2:17">
      <c r="B831" s="634"/>
      <c r="C831" s="634"/>
      <c r="D831" s="634"/>
      <c r="E831" s="634"/>
      <c r="F831" s="634"/>
      <c r="G831" s="634"/>
      <c r="H831" s="634"/>
      <c r="I831" s="634"/>
      <c r="J831" s="634"/>
      <c r="K831" s="634"/>
      <c r="L831" s="634"/>
      <c r="M831" s="634"/>
      <c r="N831" s="634"/>
      <c r="O831" s="634"/>
      <c r="P831" s="634"/>
      <c r="Q831" s="634"/>
    </row>
    <row r="832" spans="2:17" ht="19.5" thickBot="1">
      <c r="B832" s="634"/>
      <c r="C832" s="1450" t="s">
        <v>1167</v>
      </c>
      <c r="D832" s="634"/>
      <c r="E832" s="634"/>
      <c r="F832" s="634"/>
      <c r="G832" s="634"/>
      <c r="H832" s="634"/>
      <c r="I832" s="634"/>
      <c r="J832" s="634"/>
      <c r="K832" s="634"/>
      <c r="L832" s="634"/>
      <c r="M832" s="634"/>
      <c r="N832" s="634"/>
      <c r="O832" s="634"/>
      <c r="P832" s="634"/>
      <c r="Q832" s="634"/>
    </row>
    <row r="833" spans="2:18" ht="197.25" customHeight="1" thickBot="1">
      <c r="C833" s="1454"/>
      <c r="D833" s="1455"/>
      <c r="E833" s="1455"/>
      <c r="F833" s="1455"/>
      <c r="G833" s="1455"/>
      <c r="H833" s="1455"/>
      <c r="I833" s="1455"/>
      <c r="J833" s="1456"/>
      <c r="K833" s="634"/>
      <c r="L833" s="634"/>
      <c r="M833" s="634"/>
      <c r="N833" s="634"/>
      <c r="O833" s="634"/>
      <c r="P833" s="634"/>
      <c r="Q833" s="634"/>
    </row>
    <row r="834" spans="2:18">
      <c r="B834" s="634"/>
      <c r="C834" s="634"/>
      <c r="D834" s="634"/>
      <c r="E834" s="634"/>
      <c r="F834" s="634"/>
      <c r="G834" s="634"/>
      <c r="H834" s="634"/>
      <c r="I834" s="634"/>
      <c r="J834" s="634"/>
      <c r="K834" s="634"/>
      <c r="L834" s="634"/>
      <c r="M834" s="634"/>
      <c r="N834" s="634"/>
      <c r="O834" s="634"/>
      <c r="P834" s="634"/>
      <c r="Q834" s="634"/>
      <c r="R834" s="634"/>
    </row>
    <row r="835" spans="2:18" ht="19.5" thickBot="1">
      <c r="B835" s="634"/>
      <c r="C835" s="1450" t="s">
        <v>1168</v>
      </c>
      <c r="D835" s="634"/>
      <c r="E835" s="634"/>
      <c r="F835" s="634"/>
      <c r="G835" s="634"/>
      <c r="H835" s="634"/>
      <c r="I835" s="634"/>
      <c r="J835" s="634"/>
      <c r="K835" s="634"/>
      <c r="L835" s="634"/>
      <c r="M835" s="634"/>
      <c r="N835" s="634"/>
      <c r="O835" s="634"/>
      <c r="P835" s="634"/>
      <c r="Q835" s="634"/>
      <c r="R835" s="634"/>
    </row>
    <row r="836" spans="2:18" ht="142.5" customHeight="1" thickBot="1">
      <c r="B836" s="634"/>
      <c r="C836" s="1454"/>
      <c r="D836" s="1455"/>
      <c r="E836" s="1455"/>
      <c r="F836" s="1455"/>
      <c r="G836" s="1455"/>
      <c r="H836" s="1455"/>
      <c r="I836" s="1455"/>
      <c r="J836" s="1456"/>
      <c r="K836" s="634"/>
      <c r="L836" s="634"/>
      <c r="M836" s="634"/>
      <c r="N836" s="634"/>
      <c r="O836" s="634"/>
      <c r="P836" s="634"/>
      <c r="Q836" s="634"/>
      <c r="R836" s="634"/>
    </row>
    <row r="837" spans="2:18" ht="16.5" thickBot="1">
      <c r="B837" s="634"/>
      <c r="C837" s="634"/>
      <c r="D837" s="634"/>
      <c r="E837" s="634"/>
      <c r="F837" s="634"/>
      <c r="G837" s="634"/>
      <c r="H837" s="634"/>
      <c r="I837" s="634"/>
      <c r="J837" s="634"/>
      <c r="K837" s="634"/>
      <c r="L837" s="634"/>
      <c r="M837" s="634"/>
      <c r="N837" s="634"/>
      <c r="O837" s="634"/>
      <c r="P837" s="634"/>
      <c r="Q837" s="634"/>
      <c r="R837" s="634"/>
    </row>
    <row r="838" spans="2:18" ht="21">
      <c r="B838" s="1192" t="s">
        <v>70</v>
      </c>
      <c r="C838" s="1513" t="s">
        <v>1203</v>
      </c>
      <c r="D838" s="1514"/>
      <c r="E838" s="1514"/>
      <c r="F838" s="1514"/>
      <c r="G838" s="1514"/>
      <c r="H838" s="1514"/>
      <c r="I838" s="1515"/>
      <c r="J838" s="634"/>
      <c r="K838" s="634"/>
      <c r="L838" s="634"/>
      <c r="M838" s="634"/>
      <c r="N838" s="634"/>
      <c r="O838" s="634"/>
      <c r="P838" s="634"/>
      <c r="Q838" s="634"/>
    </row>
    <row r="839" spans="2:18" ht="16.5" customHeight="1" thickBot="1">
      <c r="B839" s="4717" t="str">
        <f>C838</f>
        <v>Poids du levain imposé</v>
      </c>
      <c r="C839" s="1483" t="str">
        <f>ADDRESS(ROW(),COLUMN(),4)</f>
        <v>C839</v>
      </c>
      <c r="D839" s="1484"/>
      <c r="E839" s="814"/>
      <c r="F839" s="814"/>
      <c r="H839" s="1225" t="str">
        <f ca="1">MID(CELL("filename",C839),SEARCH("[",CELL("filename",C839))+1,SEARCH("]",CELL("filename",C839))-SEARCH("[",CELL("filename",C839))-1)</f>
        <v>ff-22-formats-formules-pourcentages.xlsx</v>
      </c>
      <c r="I839" s="1226">
        <v>8</v>
      </c>
      <c r="J839" s="634"/>
      <c r="K839" s="634"/>
      <c r="L839" s="634"/>
      <c r="M839" s="634"/>
      <c r="N839" s="634"/>
      <c r="O839" s="634"/>
      <c r="P839" s="634"/>
      <c r="Q839" s="634"/>
    </row>
    <row r="840" spans="2:18">
      <c r="B840" s="4717"/>
      <c r="C840" s="6041" t="s">
        <v>1170</v>
      </c>
      <c r="D840" s="6044" t="s">
        <v>1217</v>
      </c>
      <c r="E840" s="6045"/>
      <c r="F840" s="6045"/>
      <c r="G840" s="1503" t="s">
        <v>1218</v>
      </c>
      <c r="H840" s="1504">
        <v>150</v>
      </c>
      <c r="I840" s="1505"/>
      <c r="J840" s="634"/>
      <c r="K840" s="634"/>
      <c r="L840" s="634"/>
      <c r="M840" s="634"/>
      <c r="N840" s="634"/>
      <c r="O840" s="634"/>
      <c r="P840" s="634"/>
      <c r="Q840" s="634"/>
    </row>
    <row r="841" spans="2:18">
      <c r="B841" s="4717"/>
      <c r="C841" s="6042"/>
      <c r="D841" s="6046" t="s">
        <v>1173</v>
      </c>
      <c r="E841" s="6047"/>
      <c r="F841" s="6047"/>
      <c r="G841" s="1462" t="s">
        <v>1174</v>
      </c>
      <c r="H841" s="1463">
        <v>0.6</v>
      </c>
      <c r="I841" s="1464">
        <v>0.8</v>
      </c>
      <c r="J841" s="634"/>
      <c r="K841" s="634"/>
      <c r="L841" s="634"/>
      <c r="M841" s="634"/>
      <c r="N841" s="634"/>
      <c r="O841" s="634"/>
      <c r="P841" s="634"/>
      <c r="Q841" s="634"/>
    </row>
    <row r="842" spans="2:18" ht="16.5" thickBot="1">
      <c r="B842" s="4717"/>
      <c r="C842" s="6043"/>
      <c r="D842" s="6048" t="s">
        <v>1175</v>
      </c>
      <c r="E842" s="6049"/>
      <c r="F842" s="6049"/>
      <c r="G842" s="1465" t="s">
        <v>1176</v>
      </c>
      <c r="H842" s="1466"/>
      <c r="I842" s="1467">
        <v>0.3</v>
      </c>
      <c r="J842" s="634"/>
      <c r="K842" s="634"/>
      <c r="L842" s="634"/>
      <c r="M842" s="634"/>
      <c r="N842" s="634"/>
      <c r="O842" s="634"/>
      <c r="P842" s="634"/>
      <c r="Q842" s="634"/>
    </row>
    <row r="843" spans="2:18">
      <c r="B843" s="4717"/>
      <c r="C843" s="6041" t="s">
        <v>1177</v>
      </c>
      <c r="D843" s="6050" t="s">
        <v>1178</v>
      </c>
      <c r="E843" s="6051"/>
      <c r="F843" s="6051"/>
      <c r="G843" s="1468" t="s">
        <v>1179</v>
      </c>
      <c r="H843" s="1469">
        <f>H845+I843</f>
        <v>361.11111111111109</v>
      </c>
      <c r="I843" s="1470">
        <f>H840/(1+I841)</f>
        <v>83.333333333333329</v>
      </c>
      <c r="J843" s="634"/>
      <c r="K843" s="634"/>
      <c r="L843" s="634"/>
      <c r="M843" s="634"/>
      <c r="N843" s="634"/>
      <c r="O843" s="634"/>
      <c r="P843" s="634"/>
      <c r="Q843" s="634"/>
    </row>
    <row r="844" spans="2:18">
      <c r="B844" s="4717"/>
      <c r="C844" s="6042"/>
      <c r="D844" s="6052" t="s">
        <v>1180</v>
      </c>
      <c r="E844" s="6053"/>
      <c r="F844" s="6053"/>
      <c r="G844" s="1471" t="s">
        <v>1181</v>
      </c>
      <c r="H844" s="1472">
        <f>H843*H841</f>
        <v>216.66666666666666</v>
      </c>
      <c r="I844" s="1473">
        <f>H840-I843</f>
        <v>66.666666666666671</v>
      </c>
      <c r="J844" s="634"/>
      <c r="K844" s="634"/>
      <c r="L844" s="634"/>
      <c r="M844" s="634"/>
      <c r="N844" s="634"/>
      <c r="O844" s="634"/>
      <c r="P844" s="634"/>
      <c r="Q844" s="634"/>
    </row>
    <row r="845" spans="2:18">
      <c r="B845" s="4717"/>
      <c r="C845" s="6042"/>
      <c r="D845" s="6052" t="s">
        <v>1182</v>
      </c>
      <c r="E845" s="6053"/>
      <c r="F845" s="6053"/>
      <c r="G845" s="1471" t="s">
        <v>1183</v>
      </c>
      <c r="H845" s="1472">
        <f>I843/I842</f>
        <v>277.77777777777777</v>
      </c>
      <c r="I845" s="1473"/>
      <c r="J845" s="634"/>
      <c r="K845" s="634"/>
      <c r="L845" s="634"/>
      <c r="M845" s="634"/>
      <c r="N845" s="634"/>
      <c r="O845" s="634"/>
      <c r="P845" s="634"/>
      <c r="Q845" s="634"/>
    </row>
    <row r="846" spans="2:18">
      <c r="B846" s="4717"/>
      <c r="C846" s="6042"/>
      <c r="D846" s="6052" t="s">
        <v>1184</v>
      </c>
      <c r="E846" s="6053"/>
      <c r="F846" s="6053"/>
      <c r="G846" s="1471" t="s">
        <v>1185</v>
      </c>
      <c r="H846" s="1472">
        <f>H844-I844</f>
        <v>150</v>
      </c>
      <c r="I846" s="1473"/>
      <c r="J846" s="634"/>
      <c r="K846" s="634"/>
      <c r="L846" s="634"/>
      <c r="M846" s="634"/>
      <c r="N846" s="634"/>
      <c r="O846" s="634"/>
      <c r="P846" s="634"/>
      <c r="Q846" s="634"/>
    </row>
    <row r="847" spans="2:18" ht="16.5" thickBot="1">
      <c r="B847" s="4717"/>
      <c r="C847" s="6043"/>
      <c r="D847" s="6054" t="s">
        <v>1171</v>
      </c>
      <c r="E847" s="6055"/>
      <c r="F847" s="6055"/>
      <c r="G847" s="1475" t="s">
        <v>1172</v>
      </c>
      <c r="H847" s="1476">
        <f>H843+H844</f>
        <v>577.77777777777771</v>
      </c>
      <c r="I847" s="1477"/>
      <c r="J847" s="634"/>
      <c r="K847" s="634"/>
      <c r="L847" s="634"/>
      <c r="M847" s="634"/>
      <c r="N847" s="634"/>
      <c r="O847" s="634"/>
      <c r="P847" s="634"/>
      <c r="Q847" s="634"/>
    </row>
    <row r="848" spans="2:18">
      <c r="B848" s="4717"/>
      <c r="C848" s="1478" t="s">
        <v>1186</v>
      </c>
      <c r="D848" s="1229"/>
      <c r="E848" s="1229"/>
      <c r="F848" s="1229"/>
      <c r="G848" s="1229"/>
      <c r="H848" s="1506"/>
      <c r="I848" s="1507"/>
      <c r="J848" s="634"/>
      <c r="K848" s="634"/>
      <c r="L848" s="634"/>
      <c r="M848" s="634"/>
      <c r="N848" s="634"/>
      <c r="O848" s="634"/>
      <c r="P848" s="634"/>
      <c r="Q848" s="634"/>
    </row>
    <row r="849" spans="2:17">
      <c r="B849" s="4717"/>
      <c r="C849" s="1479" t="s">
        <v>365</v>
      </c>
      <c r="D849" s="1480" t="s">
        <v>1197</v>
      </c>
      <c r="E849" s="1480"/>
      <c r="F849" s="1480"/>
      <c r="G849" s="634"/>
      <c r="H849" s="1508"/>
      <c r="I849" s="1507"/>
      <c r="J849" s="634"/>
      <c r="K849" s="634"/>
      <c r="L849" s="634"/>
      <c r="M849" s="634"/>
      <c r="N849" s="634"/>
      <c r="O849" s="634"/>
      <c r="P849" s="634"/>
      <c r="Q849" s="634"/>
    </row>
    <row r="850" spans="2:17">
      <c r="B850" s="4717"/>
      <c r="C850" s="1479" t="s">
        <v>365</v>
      </c>
      <c r="D850" s="1480" t="s">
        <v>1080</v>
      </c>
      <c r="E850" s="1480"/>
      <c r="F850" s="1480"/>
      <c r="G850" s="634"/>
      <c r="H850" s="1508"/>
      <c r="I850" s="1507"/>
      <c r="J850" s="634"/>
      <c r="K850" s="634"/>
      <c r="L850" s="634"/>
      <c r="M850" s="634"/>
      <c r="N850" s="634"/>
      <c r="O850" s="634"/>
      <c r="P850" s="634"/>
      <c r="Q850" s="634"/>
    </row>
    <row r="851" spans="2:17" ht="16.5" thickBot="1">
      <c r="B851" s="4717"/>
      <c r="C851" s="1482" t="s">
        <v>1002</v>
      </c>
      <c r="D851" s="1276"/>
      <c r="E851" s="1276"/>
      <c r="F851" s="1276"/>
      <c r="G851" s="1276"/>
      <c r="H851" s="1509"/>
      <c r="I851" s="1510"/>
      <c r="J851" s="634"/>
      <c r="K851" s="634"/>
      <c r="L851" s="634"/>
      <c r="M851" s="634"/>
      <c r="N851" s="634"/>
      <c r="O851" s="634"/>
      <c r="P851" s="634"/>
      <c r="Q851" s="634"/>
    </row>
    <row r="852" spans="2:17">
      <c r="B852" s="634"/>
      <c r="C852" s="634"/>
      <c r="D852" s="634"/>
      <c r="E852" s="634"/>
      <c r="F852" s="634"/>
      <c r="G852" s="634"/>
      <c r="H852" s="634"/>
      <c r="I852" s="634"/>
      <c r="J852" s="634"/>
      <c r="K852" s="634"/>
      <c r="L852" s="634"/>
      <c r="M852" s="634"/>
      <c r="N852" s="634"/>
      <c r="O852" s="634"/>
      <c r="P852" s="634"/>
      <c r="Q852" s="634"/>
    </row>
    <row r="853" spans="2:17">
      <c r="B853" s="634"/>
      <c r="C853" s="634"/>
      <c r="D853" s="634"/>
      <c r="E853" s="634"/>
      <c r="F853" s="634"/>
      <c r="G853" s="634"/>
      <c r="H853" s="634"/>
      <c r="I853" s="634"/>
      <c r="J853" s="634"/>
      <c r="K853" s="634"/>
      <c r="L853" s="634"/>
      <c r="M853" s="634"/>
      <c r="N853" s="634"/>
      <c r="O853" s="634"/>
      <c r="P853" s="634"/>
      <c r="Q853" s="634"/>
    </row>
    <row r="854" spans="2:17">
      <c r="B854" s="634"/>
      <c r="C854" s="634"/>
      <c r="D854" s="634"/>
      <c r="E854" s="634"/>
      <c r="F854" s="634"/>
      <c r="G854" s="634"/>
      <c r="H854" s="634"/>
      <c r="I854" s="634"/>
      <c r="J854" s="634"/>
      <c r="K854" s="634"/>
      <c r="L854" s="634"/>
      <c r="M854" s="634"/>
      <c r="N854" s="634"/>
      <c r="O854" s="634"/>
      <c r="P854" s="634"/>
      <c r="Q854" s="634"/>
    </row>
    <row r="855" spans="2:17" ht="23.25">
      <c r="B855" s="1445">
        <f>ROW()</f>
        <v>855</v>
      </c>
      <c r="C855" s="1446" t="s">
        <v>1219</v>
      </c>
      <c r="D855" s="1451"/>
      <c r="E855" s="1451"/>
      <c r="F855" s="1451"/>
      <c r="G855" s="1451"/>
      <c r="H855" s="1451"/>
      <c r="I855" s="1451"/>
      <c r="J855" s="1451"/>
      <c r="K855" s="1451"/>
      <c r="L855" s="1451"/>
      <c r="M855" s="1451"/>
      <c r="N855" s="1451"/>
      <c r="O855" s="1451"/>
      <c r="P855" s="1451"/>
      <c r="Q855" s="1451"/>
    </row>
    <row r="856" spans="2:17">
      <c r="B856" s="634"/>
      <c r="C856" s="634"/>
      <c r="D856" s="634"/>
      <c r="E856" s="634"/>
      <c r="F856" s="634"/>
      <c r="G856" s="634"/>
      <c r="H856" s="634"/>
      <c r="I856" s="634"/>
      <c r="J856" s="634"/>
      <c r="K856" s="634"/>
      <c r="L856" s="634"/>
      <c r="M856" s="634"/>
      <c r="N856" s="634"/>
      <c r="O856" s="634"/>
      <c r="P856" s="634"/>
      <c r="Q856" s="634"/>
    </row>
    <row r="857" spans="2:17" ht="18.75">
      <c r="B857" s="634"/>
      <c r="C857" s="1450" t="s">
        <v>1220</v>
      </c>
      <c r="D857" s="634"/>
      <c r="E857" s="634"/>
      <c r="F857" s="634"/>
      <c r="G857" s="634"/>
      <c r="H857" s="634"/>
      <c r="I857" s="634"/>
      <c r="J857" s="634"/>
      <c r="K857" s="634"/>
      <c r="L857" s="634"/>
      <c r="M857" s="634"/>
      <c r="N857" s="634"/>
      <c r="O857" s="634"/>
      <c r="P857" s="634"/>
      <c r="Q857" s="634"/>
    </row>
    <row r="858" spans="2:17">
      <c r="B858" s="634"/>
      <c r="C858" s="1444"/>
      <c r="D858" s="634"/>
      <c r="E858" s="634"/>
      <c r="F858" s="634"/>
      <c r="G858" s="634"/>
      <c r="H858" s="634"/>
      <c r="I858" s="634"/>
      <c r="J858" s="634"/>
      <c r="K858" s="634"/>
      <c r="L858" s="634"/>
      <c r="M858" s="634"/>
      <c r="N858" s="634"/>
      <c r="O858" s="634"/>
      <c r="P858" s="634"/>
      <c r="Q858" s="634"/>
    </row>
    <row r="859" spans="2:17">
      <c r="B859" s="634"/>
      <c r="C859" s="1444" t="s">
        <v>1221</v>
      </c>
      <c r="D859" s="634"/>
      <c r="E859" s="634"/>
      <c r="F859" s="634"/>
      <c r="G859" s="634"/>
      <c r="H859" s="634"/>
      <c r="I859" s="634"/>
      <c r="J859" s="634"/>
      <c r="K859" s="634"/>
      <c r="L859" s="634"/>
      <c r="M859" s="634"/>
      <c r="N859" s="634"/>
      <c r="O859" s="634"/>
      <c r="P859" s="634"/>
      <c r="Q859" s="634"/>
    </row>
    <row r="860" spans="2:17">
      <c r="B860" s="634"/>
      <c r="C860" s="1444" t="s">
        <v>1222</v>
      </c>
      <c r="D860" s="634"/>
      <c r="E860" s="634"/>
      <c r="F860" s="634"/>
      <c r="G860" s="634"/>
      <c r="H860" s="634"/>
      <c r="I860" s="634"/>
      <c r="J860" s="634"/>
      <c r="K860" s="634"/>
      <c r="L860" s="634"/>
      <c r="M860" s="634"/>
      <c r="N860" s="634"/>
      <c r="O860" s="634"/>
      <c r="P860" s="634"/>
      <c r="Q860" s="634"/>
    </row>
    <row r="861" spans="2:17">
      <c r="B861" s="634"/>
      <c r="C861" s="1444" t="s">
        <v>1112</v>
      </c>
      <c r="D861" s="634"/>
      <c r="E861" s="634"/>
      <c r="F861" s="634"/>
      <c r="G861" s="634"/>
      <c r="H861" s="634"/>
      <c r="I861" s="634"/>
      <c r="J861" s="634"/>
      <c r="K861" s="634"/>
      <c r="L861" s="634"/>
      <c r="M861" s="634"/>
      <c r="N861" s="634"/>
      <c r="O861" s="634"/>
      <c r="P861" s="634"/>
      <c r="Q861" s="634"/>
    </row>
    <row r="862" spans="2:17">
      <c r="B862" s="634"/>
      <c r="C862" s="1444" t="s">
        <v>1114</v>
      </c>
      <c r="D862" s="634"/>
      <c r="E862" s="634"/>
      <c r="F862" s="634"/>
      <c r="G862" s="634"/>
      <c r="H862" s="634"/>
      <c r="I862" s="634"/>
      <c r="J862" s="634"/>
      <c r="K862" s="634"/>
      <c r="L862" s="634"/>
      <c r="M862" s="634"/>
      <c r="N862" s="634"/>
      <c r="O862" s="634"/>
      <c r="P862" s="634"/>
      <c r="Q862" s="634"/>
    </row>
    <row r="863" spans="2:17">
      <c r="B863" s="634"/>
      <c r="C863" s="634"/>
      <c r="D863" s="634"/>
      <c r="E863" s="634"/>
      <c r="F863" s="634"/>
      <c r="G863" s="634"/>
      <c r="H863" s="634"/>
      <c r="I863" s="634"/>
      <c r="J863" s="634"/>
      <c r="K863" s="634"/>
      <c r="L863" s="634"/>
      <c r="M863" s="634"/>
      <c r="N863" s="634"/>
      <c r="O863" s="634"/>
      <c r="P863" s="634"/>
      <c r="Q863" s="634"/>
    </row>
    <row r="864" spans="2:17" ht="18.75">
      <c r="B864" s="634"/>
      <c r="C864" s="1450" t="s">
        <v>1223</v>
      </c>
      <c r="D864" s="634"/>
      <c r="E864" s="634"/>
      <c r="F864" s="634"/>
      <c r="G864" s="634"/>
      <c r="H864" s="634"/>
      <c r="I864" s="634"/>
      <c r="J864" s="634"/>
      <c r="K864" s="634"/>
      <c r="L864" s="634"/>
      <c r="M864" s="634"/>
      <c r="N864" s="634"/>
      <c r="O864" s="634"/>
      <c r="P864" s="634"/>
      <c r="Q864" s="634"/>
    </row>
    <row r="865" spans="2:17">
      <c r="B865" s="634"/>
      <c r="C865" s="1444"/>
      <c r="D865" s="634"/>
      <c r="E865" s="634"/>
      <c r="F865" s="634"/>
      <c r="G865" s="634"/>
      <c r="H865" s="634"/>
      <c r="I865" s="634"/>
      <c r="J865" s="634"/>
      <c r="K865" s="634"/>
      <c r="L865" s="634"/>
      <c r="M865" s="634"/>
      <c r="N865" s="634"/>
      <c r="O865" s="634"/>
      <c r="P865" s="634"/>
      <c r="Q865" s="634"/>
    </row>
    <row r="866" spans="2:17">
      <c r="B866" s="634"/>
      <c r="C866" s="1444" t="s">
        <v>1092</v>
      </c>
      <c r="D866" s="634"/>
      <c r="E866" s="634"/>
      <c r="F866" s="634"/>
      <c r="G866" s="634"/>
      <c r="H866" s="634"/>
      <c r="I866" s="634"/>
      <c r="J866" s="634"/>
      <c r="K866" s="634"/>
      <c r="L866" s="634"/>
      <c r="M866" s="634"/>
      <c r="N866" s="634"/>
      <c r="O866" s="634"/>
      <c r="P866" s="634"/>
      <c r="Q866" s="634"/>
    </row>
    <row r="867" spans="2:17">
      <c r="B867" s="634"/>
      <c r="C867" s="1444" t="s">
        <v>1093</v>
      </c>
      <c r="D867" s="634"/>
      <c r="E867" s="634"/>
      <c r="F867" s="634"/>
      <c r="G867" s="634"/>
      <c r="H867" s="634"/>
      <c r="I867" s="634"/>
      <c r="J867" s="634"/>
      <c r="K867" s="634"/>
      <c r="L867" s="634"/>
      <c r="M867" s="634"/>
      <c r="N867" s="634"/>
      <c r="O867" s="634"/>
      <c r="P867" s="634"/>
      <c r="Q867" s="634"/>
    </row>
    <row r="868" spans="2:17">
      <c r="B868" s="634"/>
      <c r="C868" s="1444" t="s">
        <v>1224</v>
      </c>
      <c r="D868" s="634"/>
      <c r="E868" s="634"/>
      <c r="F868" s="634"/>
      <c r="G868" s="634"/>
      <c r="H868" s="634"/>
      <c r="I868" s="634"/>
      <c r="J868" s="634"/>
      <c r="K868" s="634"/>
      <c r="L868" s="634"/>
      <c r="M868" s="634"/>
      <c r="N868" s="634"/>
      <c r="O868" s="634"/>
      <c r="P868" s="634"/>
      <c r="Q868" s="634"/>
    </row>
    <row r="869" spans="2:17">
      <c r="B869" s="634"/>
      <c r="C869" s="634"/>
      <c r="D869" s="634"/>
      <c r="E869" s="634"/>
      <c r="F869" s="634"/>
      <c r="G869" s="634"/>
      <c r="H869" s="634"/>
      <c r="I869" s="634"/>
      <c r="J869" s="634"/>
      <c r="K869" s="634"/>
      <c r="L869" s="634"/>
      <c r="M869" s="634"/>
      <c r="N869" s="634"/>
      <c r="O869" s="634"/>
      <c r="P869" s="634"/>
      <c r="Q869" s="634"/>
    </row>
    <row r="870" spans="2:17" ht="18.75">
      <c r="B870" s="634"/>
      <c r="C870" s="1450" t="s">
        <v>1225</v>
      </c>
      <c r="D870" s="634"/>
      <c r="E870" s="634"/>
      <c r="F870" s="634"/>
      <c r="G870" s="634"/>
      <c r="H870" s="634"/>
      <c r="I870" s="634"/>
      <c r="J870" s="634"/>
      <c r="K870" s="634"/>
      <c r="L870" s="634"/>
      <c r="M870" s="634"/>
      <c r="N870" s="634"/>
      <c r="O870" s="634"/>
      <c r="P870" s="634"/>
      <c r="Q870" s="634"/>
    </row>
    <row r="871" spans="2:17">
      <c r="B871" s="634"/>
      <c r="C871" s="634"/>
      <c r="D871" s="634"/>
      <c r="E871" s="634"/>
      <c r="F871" s="634"/>
      <c r="G871" s="634"/>
      <c r="H871" s="634"/>
      <c r="I871" s="634"/>
      <c r="J871" s="634"/>
      <c r="K871" s="634"/>
      <c r="L871" s="634"/>
      <c r="M871" s="634"/>
      <c r="N871" s="634"/>
      <c r="O871" s="634"/>
      <c r="P871" s="634"/>
      <c r="Q871" s="634"/>
    </row>
    <row r="872" spans="2:17">
      <c r="B872" s="634"/>
      <c r="C872" s="1449" t="s">
        <v>1123</v>
      </c>
      <c r="D872" s="634"/>
      <c r="E872" s="634"/>
      <c r="F872" s="634"/>
      <c r="G872" s="634"/>
      <c r="H872" s="634"/>
      <c r="I872" s="634"/>
      <c r="J872" s="634"/>
      <c r="K872" s="634"/>
      <c r="L872" s="634"/>
      <c r="M872" s="634"/>
      <c r="N872" s="634"/>
      <c r="O872" s="634"/>
      <c r="P872" s="634"/>
      <c r="Q872" s="634"/>
    </row>
    <row r="873" spans="2:17">
      <c r="B873" s="634"/>
      <c r="C873" s="1449" t="s">
        <v>1226</v>
      </c>
      <c r="D873" s="634"/>
      <c r="E873" s="634"/>
      <c r="F873" s="634"/>
      <c r="G873" s="634"/>
      <c r="H873" s="634"/>
      <c r="I873" s="634"/>
      <c r="J873" s="634"/>
      <c r="K873" s="634"/>
      <c r="L873" s="634"/>
      <c r="M873" s="634"/>
      <c r="N873" s="634"/>
      <c r="O873" s="634"/>
      <c r="P873" s="634"/>
      <c r="Q873" s="634"/>
    </row>
    <row r="874" spans="2:17">
      <c r="B874" s="634"/>
      <c r="C874" s="1449" t="s">
        <v>1227</v>
      </c>
      <c r="D874" s="634"/>
      <c r="E874" s="634"/>
      <c r="F874" s="634"/>
      <c r="G874" s="634"/>
      <c r="H874" s="634"/>
      <c r="I874" s="634"/>
      <c r="J874" s="634"/>
      <c r="K874" s="634"/>
      <c r="L874" s="634"/>
      <c r="M874" s="634"/>
      <c r="N874" s="634"/>
      <c r="O874" s="634"/>
      <c r="P874" s="634"/>
      <c r="Q874" s="634"/>
    </row>
    <row r="875" spans="2:17">
      <c r="B875" s="634"/>
      <c r="C875" s="1449" t="s">
        <v>1228</v>
      </c>
      <c r="D875" s="634"/>
      <c r="E875" s="634"/>
      <c r="F875" s="634"/>
      <c r="G875" s="634"/>
      <c r="H875" s="634"/>
      <c r="I875" s="634"/>
      <c r="J875" s="634"/>
      <c r="K875" s="634"/>
      <c r="L875" s="634"/>
      <c r="M875" s="634"/>
      <c r="N875" s="634"/>
      <c r="O875" s="634"/>
      <c r="P875" s="634"/>
      <c r="Q875" s="634"/>
    </row>
    <row r="876" spans="2:17">
      <c r="B876" s="634"/>
      <c r="C876" s="1449" t="s">
        <v>1229</v>
      </c>
      <c r="D876" s="634"/>
      <c r="E876" s="634"/>
      <c r="F876" s="634"/>
      <c r="G876" s="634"/>
      <c r="H876" s="634"/>
      <c r="I876" s="634"/>
      <c r="J876" s="634"/>
      <c r="K876" s="634"/>
      <c r="L876" s="634"/>
      <c r="M876" s="634"/>
      <c r="N876" s="634"/>
      <c r="O876" s="634"/>
      <c r="P876" s="634"/>
      <c r="Q876" s="634"/>
    </row>
    <row r="877" spans="2:17">
      <c r="B877" s="634"/>
      <c r="C877" s="634"/>
      <c r="D877" s="634"/>
      <c r="E877" s="634"/>
      <c r="F877" s="634"/>
      <c r="G877" s="634"/>
      <c r="H877" s="634"/>
      <c r="I877" s="634"/>
      <c r="J877" s="634"/>
      <c r="K877" s="634"/>
      <c r="L877" s="634"/>
      <c r="M877" s="634"/>
      <c r="N877" s="634"/>
      <c r="O877" s="634"/>
      <c r="P877" s="634"/>
      <c r="Q877" s="634"/>
    </row>
    <row r="878" spans="2:17" ht="18.75">
      <c r="B878" s="634"/>
      <c r="C878" s="1450" t="s">
        <v>1230</v>
      </c>
      <c r="D878" s="634"/>
      <c r="E878" s="634"/>
      <c r="F878" s="634"/>
      <c r="G878" s="634"/>
      <c r="H878" s="634"/>
      <c r="I878" s="634"/>
      <c r="J878" s="634"/>
      <c r="K878" s="634"/>
      <c r="L878" s="634"/>
      <c r="M878" s="634"/>
      <c r="N878" s="634"/>
      <c r="O878" s="634"/>
      <c r="P878" s="634"/>
      <c r="Q878" s="634"/>
    </row>
    <row r="879" spans="2:17">
      <c r="B879" s="634"/>
      <c r="C879" s="634"/>
      <c r="D879" s="634"/>
      <c r="E879" s="634"/>
      <c r="F879" s="634"/>
      <c r="G879" s="634"/>
      <c r="H879" s="634"/>
      <c r="I879" s="634"/>
      <c r="J879" s="634"/>
      <c r="K879" s="634"/>
      <c r="L879" s="634"/>
      <c r="M879" s="634"/>
      <c r="N879" s="634"/>
      <c r="O879" s="634"/>
      <c r="P879" s="634"/>
      <c r="Q879" s="634"/>
    </row>
    <row r="880" spans="2:17">
      <c r="B880" s="634"/>
      <c r="C880" s="1449" t="s">
        <v>1231</v>
      </c>
      <c r="D880" s="634"/>
      <c r="E880" s="634"/>
      <c r="F880" s="634"/>
      <c r="G880" s="634"/>
      <c r="H880" s="634"/>
      <c r="I880" s="634"/>
      <c r="J880" s="634"/>
      <c r="K880" s="634"/>
      <c r="L880" s="634"/>
      <c r="M880" s="634"/>
      <c r="N880" s="634"/>
      <c r="O880" s="634"/>
      <c r="P880" s="634"/>
      <c r="Q880" s="634"/>
    </row>
    <row r="881" spans="2:17">
      <c r="B881" s="634"/>
      <c r="C881" s="1449" t="s">
        <v>1226</v>
      </c>
      <c r="D881" s="634"/>
      <c r="E881" s="634"/>
      <c r="F881" s="634"/>
      <c r="G881" s="634"/>
      <c r="H881" s="634"/>
      <c r="I881" s="634"/>
      <c r="J881" s="634"/>
      <c r="K881" s="634"/>
      <c r="L881" s="634"/>
      <c r="M881" s="634"/>
      <c r="N881" s="634"/>
      <c r="O881" s="634"/>
      <c r="P881" s="634"/>
      <c r="Q881" s="634"/>
    </row>
    <row r="882" spans="2:17">
      <c r="B882" s="634"/>
      <c r="C882" s="1449" t="s">
        <v>1232</v>
      </c>
      <c r="D882" s="634"/>
      <c r="E882" s="634"/>
      <c r="F882" s="634"/>
      <c r="G882" s="634"/>
      <c r="H882" s="634"/>
      <c r="I882" s="634"/>
      <c r="J882" s="634"/>
      <c r="K882" s="634"/>
      <c r="L882" s="634"/>
      <c r="M882" s="634"/>
      <c r="N882" s="634"/>
      <c r="O882" s="634"/>
      <c r="P882" s="634"/>
      <c r="Q882" s="634"/>
    </row>
    <row r="883" spans="2:17">
      <c r="B883" s="634"/>
      <c r="C883" s="1449" t="s">
        <v>1233</v>
      </c>
      <c r="D883" s="634"/>
      <c r="E883" s="634"/>
      <c r="F883" s="634"/>
      <c r="G883" s="634"/>
      <c r="H883" s="634"/>
      <c r="I883" s="634"/>
      <c r="J883" s="634"/>
      <c r="K883" s="634"/>
      <c r="L883" s="634"/>
      <c r="M883" s="634"/>
      <c r="N883" s="634"/>
      <c r="O883" s="634"/>
      <c r="P883" s="634"/>
      <c r="Q883" s="634"/>
    </row>
    <row r="884" spans="2:17">
      <c r="B884" s="634"/>
      <c r="C884" s="1449" t="s">
        <v>1229</v>
      </c>
      <c r="D884" s="634"/>
      <c r="E884" s="634"/>
      <c r="F884" s="634"/>
      <c r="G884" s="634"/>
      <c r="H884" s="634"/>
      <c r="I884" s="634"/>
      <c r="J884" s="634"/>
      <c r="K884" s="634"/>
      <c r="L884" s="634"/>
      <c r="M884" s="634"/>
      <c r="N884" s="634"/>
      <c r="O884" s="634"/>
      <c r="P884" s="634"/>
      <c r="Q884" s="634"/>
    </row>
    <row r="885" spans="2:17">
      <c r="B885" s="634"/>
      <c r="C885" s="634"/>
      <c r="D885" s="634"/>
      <c r="E885" s="634"/>
      <c r="F885" s="634"/>
      <c r="G885" s="634"/>
      <c r="H885" s="634"/>
      <c r="I885" s="634"/>
      <c r="J885" s="634"/>
      <c r="K885" s="634"/>
      <c r="L885" s="634"/>
      <c r="M885" s="634"/>
      <c r="N885" s="634"/>
      <c r="O885" s="634"/>
      <c r="P885" s="634"/>
      <c r="Q885" s="634"/>
    </row>
    <row r="886" spans="2:17" ht="18.75">
      <c r="B886" s="634"/>
      <c r="C886" s="1450" t="s">
        <v>1234</v>
      </c>
      <c r="D886" s="634"/>
      <c r="E886" s="634"/>
      <c r="F886" s="634"/>
      <c r="G886" s="634"/>
      <c r="H886" s="634"/>
      <c r="I886" s="634"/>
      <c r="J886" s="634"/>
      <c r="K886" s="634"/>
      <c r="L886" s="634"/>
      <c r="M886" s="634"/>
      <c r="N886" s="634"/>
      <c r="O886" s="634"/>
      <c r="P886" s="634"/>
      <c r="Q886" s="634"/>
    </row>
    <row r="887" spans="2:17">
      <c r="B887" s="634"/>
      <c r="C887" s="634"/>
      <c r="D887" s="634"/>
      <c r="E887" s="634"/>
      <c r="F887" s="634"/>
      <c r="G887" s="634"/>
      <c r="H887" s="634"/>
      <c r="I887" s="634"/>
      <c r="J887" s="634"/>
      <c r="K887" s="634"/>
      <c r="L887" s="634"/>
      <c r="M887" s="634"/>
      <c r="N887" s="634"/>
      <c r="O887" s="634"/>
      <c r="P887" s="634"/>
      <c r="Q887" s="634"/>
    </row>
    <row r="888" spans="2:17">
      <c r="B888" s="634"/>
      <c r="C888" s="1449" t="s">
        <v>1235</v>
      </c>
      <c r="D888" s="634"/>
      <c r="E888" s="634"/>
      <c r="F888" s="634"/>
      <c r="G888" s="634"/>
      <c r="H888" s="634"/>
      <c r="I888" s="634"/>
      <c r="J888" s="634"/>
      <c r="K888" s="634"/>
      <c r="L888" s="634"/>
      <c r="M888" s="634"/>
      <c r="N888" s="634"/>
      <c r="O888" s="634"/>
      <c r="P888" s="634"/>
      <c r="Q888" s="634"/>
    </row>
    <row r="889" spans="2:17">
      <c r="B889" s="634"/>
      <c r="C889" s="1449" t="s">
        <v>1236</v>
      </c>
      <c r="D889" s="634"/>
      <c r="E889" s="634"/>
      <c r="F889" s="634"/>
      <c r="G889" s="634"/>
      <c r="H889" s="634"/>
      <c r="I889" s="634"/>
      <c r="J889" s="634"/>
      <c r="K889" s="634"/>
      <c r="L889" s="634"/>
      <c r="M889" s="634"/>
      <c r="N889" s="634"/>
      <c r="O889" s="634"/>
      <c r="P889" s="634"/>
      <c r="Q889" s="634"/>
    </row>
    <row r="890" spans="2:17">
      <c r="B890" s="634"/>
      <c r="C890" s="1449" t="s">
        <v>1229</v>
      </c>
      <c r="D890" s="634"/>
      <c r="E890" s="634"/>
      <c r="F890" s="634"/>
      <c r="G890" s="634"/>
      <c r="H890" s="634"/>
      <c r="I890" s="634"/>
      <c r="J890" s="634"/>
      <c r="K890" s="634"/>
      <c r="L890" s="634"/>
      <c r="M890" s="634"/>
      <c r="N890" s="634"/>
      <c r="O890" s="634"/>
      <c r="P890" s="634"/>
      <c r="Q890" s="634"/>
    </row>
    <row r="891" spans="2:17">
      <c r="B891" s="634"/>
      <c r="C891" s="634"/>
      <c r="D891" s="634"/>
      <c r="E891" s="634"/>
      <c r="F891" s="634"/>
      <c r="G891" s="634"/>
      <c r="H891" s="634"/>
      <c r="I891" s="634"/>
      <c r="J891" s="634"/>
      <c r="K891" s="634"/>
      <c r="L891" s="634"/>
      <c r="M891" s="634"/>
      <c r="N891" s="634"/>
      <c r="O891" s="634"/>
      <c r="P891" s="634"/>
      <c r="Q891" s="634"/>
    </row>
    <row r="892" spans="2:17" ht="18.75">
      <c r="B892" s="634"/>
      <c r="C892" s="1450" t="s">
        <v>1237</v>
      </c>
      <c r="D892" s="634"/>
      <c r="E892" s="634"/>
      <c r="F892" s="634"/>
      <c r="G892" s="634"/>
      <c r="H892" s="634"/>
      <c r="I892" s="634"/>
      <c r="J892" s="634"/>
      <c r="K892" s="634"/>
      <c r="L892" s="634"/>
      <c r="M892" s="634"/>
      <c r="N892" s="634"/>
      <c r="O892" s="634"/>
      <c r="P892" s="634"/>
      <c r="Q892" s="634"/>
    </row>
    <row r="893" spans="2:17">
      <c r="B893" s="634"/>
      <c r="C893" s="634"/>
      <c r="D893" s="634"/>
      <c r="E893" s="634"/>
      <c r="F893" s="634"/>
      <c r="G893" s="634"/>
      <c r="H893" s="634"/>
      <c r="I893" s="634"/>
      <c r="J893" s="634"/>
      <c r="K893" s="634"/>
      <c r="L893" s="634"/>
      <c r="M893" s="634"/>
      <c r="N893" s="634"/>
      <c r="O893" s="634"/>
      <c r="P893" s="634"/>
      <c r="Q893" s="634"/>
    </row>
    <row r="894" spans="2:17">
      <c r="B894" s="634"/>
      <c r="C894" s="1449" t="s">
        <v>1238</v>
      </c>
      <c r="D894" s="634"/>
      <c r="E894" s="634"/>
      <c r="F894" s="634"/>
      <c r="G894" s="634"/>
      <c r="H894" s="634"/>
      <c r="I894" s="634"/>
      <c r="J894" s="634"/>
      <c r="K894" s="634"/>
      <c r="L894" s="634"/>
      <c r="M894" s="634"/>
      <c r="N894" s="634"/>
      <c r="O894" s="634"/>
      <c r="P894" s="634"/>
      <c r="Q894" s="634"/>
    </row>
    <row r="895" spans="2:17">
      <c r="B895" s="634"/>
      <c r="C895" s="1449" t="s">
        <v>1239</v>
      </c>
      <c r="D895" s="634"/>
      <c r="E895" s="634"/>
      <c r="F895" s="634"/>
      <c r="G895" s="634"/>
      <c r="H895" s="634"/>
      <c r="I895" s="634"/>
      <c r="J895" s="634"/>
      <c r="K895" s="634"/>
      <c r="L895" s="634"/>
      <c r="M895" s="634"/>
      <c r="N895" s="634"/>
      <c r="O895" s="634"/>
      <c r="P895" s="634"/>
      <c r="Q895" s="634"/>
    </row>
    <row r="896" spans="2:17">
      <c r="B896" s="634"/>
      <c r="C896" s="1422"/>
      <c r="D896" s="634"/>
      <c r="E896" s="634"/>
      <c r="F896" s="634"/>
      <c r="G896" s="634"/>
      <c r="H896" s="634"/>
      <c r="I896" s="634"/>
      <c r="J896" s="634"/>
      <c r="K896" s="634"/>
      <c r="L896" s="634"/>
      <c r="M896" s="634"/>
      <c r="N896" s="634"/>
      <c r="O896" s="634"/>
      <c r="P896" s="634"/>
      <c r="Q896" s="634"/>
    </row>
    <row r="897" spans="2:17">
      <c r="B897" s="634"/>
      <c r="C897" s="1449" t="s">
        <v>1240</v>
      </c>
      <c r="D897" s="634"/>
      <c r="E897" s="634"/>
      <c r="F897" s="634"/>
      <c r="G897" s="634"/>
      <c r="H897" s="634"/>
      <c r="I897" s="634"/>
      <c r="J897" s="634"/>
      <c r="K897" s="634"/>
      <c r="L897" s="634"/>
      <c r="M897" s="634"/>
      <c r="N897" s="634"/>
      <c r="O897" s="634"/>
      <c r="P897" s="634"/>
      <c r="Q897" s="634"/>
    </row>
    <row r="898" spans="2:17">
      <c r="B898" s="634"/>
      <c r="C898" s="1449" t="s">
        <v>1241</v>
      </c>
      <c r="D898" s="634"/>
      <c r="E898" s="634"/>
      <c r="F898" s="634"/>
      <c r="G898" s="634"/>
      <c r="H898" s="634"/>
      <c r="I898" s="634"/>
      <c r="J898" s="634"/>
      <c r="K898" s="634"/>
      <c r="L898" s="634"/>
      <c r="M898" s="634"/>
      <c r="N898" s="634"/>
      <c r="O898" s="634"/>
      <c r="P898" s="634"/>
      <c r="Q898" s="634"/>
    </row>
    <row r="899" spans="2:17">
      <c r="B899" s="634"/>
      <c r="C899" s="634"/>
      <c r="D899" s="634"/>
      <c r="E899" s="634"/>
      <c r="F899" s="634"/>
      <c r="G899" s="634"/>
      <c r="H899" s="634"/>
      <c r="I899" s="634"/>
      <c r="J899" s="634"/>
      <c r="K899" s="634"/>
      <c r="L899" s="634"/>
      <c r="M899" s="634"/>
      <c r="N899" s="634"/>
      <c r="O899" s="634"/>
      <c r="P899" s="634"/>
      <c r="Q899" s="634"/>
    </row>
    <row r="900" spans="2:17" ht="18.75">
      <c r="B900" s="634"/>
      <c r="C900" s="1450" t="s">
        <v>1207</v>
      </c>
      <c r="D900" s="634"/>
      <c r="E900" s="634"/>
      <c r="F900" s="634"/>
      <c r="G900" s="634"/>
      <c r="H900" s="634"/>
      <c r="I900" s="634"/>
      <c r="J900" s="634"/>
      <c r="K900" s="634"/>
      <c r="L900" s="634"/>
      <c r="M900" s="634"/>
      <c r="N900" s="634"/>
      <c r="O900" s="634"/>
      <c r="P900" s="634"/>
      <c r="Q900" s="634"/>
    </row>
    <row r="901" spans="2:17">
      <c r="B901" s="634"/>
      <c r="C901" s="634"/>
      <c r="D901" s="634"/>
      <c r="E901" s="634"/>
      <c r="F901" s="634"/>
      <c r="G901" s="634"/>
      <c r="H901" s="634"/>
      <c r="I901" s="634"/>
      <c r="J901" s="634"/>
      <c r="K901" s="634"/>
      <c r="L901" s="634"/>
      <c r="M901" s="634"/>
      <c r="N901" s="634"/>
      <c r="O901" s="634"/>
      <c r="P901" s="634"/>
      <c r="Q901" s="634"/>
    </row>
    <row r="902" spans="2:17">
      <c r="B902" s="634"/>
      <c r="C902" s="1449" t="s">
        <v>1242</v>
      </c>
      <c r="D902" s="634"/>
      <c r="E902" s="634"/>
      <c r="F902" s="634"/>
      <c r="G902" s="634"/>
      <c r="H902" s="634"/>
      <c r="I902" s="634"/>
      <c r="J902" s="634"/>
      <c r="K902" s="634"/>
      <c r="L902" s="634"/>
      <c r="M902" s="634"/>
      <c r="N902" s="634"/>
      <c r="O902" s="634"/>
      <c r="P902" s="634"/>
      <c r="Q902" s="634"/>
    </row>
    <row r="903" spans="2:17">
      <c r="B903" s="634"/>
      <c r="C903" s="1449" t="s">
        <v>1243</v>
      </c>
      <c r="D903" s="634"/>
      <c r="E903" s="634"/>
      <c r="F903" s="634"/>
      <c r="G903" s="634"/>
      <c r="H903" s="634"/>
      <c r="I903" s="634"/>
      <c r="J903" s="634"/>
      <c r="K903" s="634"/>
      <c r="L903" s="634"/>
      <c r="M903" s="634"/>
      <c r="N903" s="634"/>
      <c r="O903" s="634"/>
      <c r="P903" s="634"/>
      <c r="Q903" s="634"/>
    </row>
    <row r="904" spans="2:17">
      <c r="B904" s="634"/>
      <c r="C904" s="1449" t="s">
        <v>1244</v>
      </c>
      <c r="D904" s="634"/>
      <c r="E904" s="634"/>
      <c r="F904" s="634"/>
      <c r="G904" s="634"/>
      <c r="H904" s="634"/>
      <c r="I904" s="634"/>
      <c r="J904" s="634"/>
      <c r="K904" s="634"/>
      <c r="L904" s="634"/>
      <c r="M904" s="634"/>
      <c r="N904" s="634"/>
      <c r="O904" s="634"/>
      <c r="P904" s="634"/>
      <c r="Q904" s="634"/>
    </row>
    <row r="905" spans="2:17">
      <c r="B905" s="634"/>
      <c r="C905" s="1449" t="s">
        <v>1245</v>
      </c>
      <c r="D905" s="634"/>
      <c r="E905" s="634"/>
      <c r="F905" s="634"/>
      <c r="G905" s="634"/>
      <c r="H905" s="634"/>
      <c r="I905" s="634"/>
      <c r="J905" s="634"/>
      <c r="K905" s="634"/>
      <c r="L905" s="634"/>
      <c r="M905" s="634"/>
      <c r="N905" s="634"/>
      <c r="O905" s="634"/>
      <c r="P905" s="634"/>
      <c r="Q905" s="634"/>
    </row>
    <row r="906" spans="2:17">
      <c r="B906" s="634"/>
      <c r="C906" s="634"/>
      <c r="D906" s="634"/>
      <c r="E906" s="634"/>
      <c r="F906" s="634"/>
      <c r="G906" s="634"/>
      <c r="H906" s="634"/>
      <c r="I906" s="634"/>
      <c r="J906" s="634"/>
      <c r="K906" s="634"/>
      <c r="L906" s="634"/>
      <c r="M906" s="634"/>
      <c r="N906" s="634"/>
      <c r="O906" s="634"/>
      <c r="P906" s="634"/>
      <c r="Q906" s="634"/>
    </row>
    <row r="907" spans="2:17" ht="18.75">
      <c r="B907" s="634"/>
      <c r="C907" s="1450" t="s">
        <v>1156</v>
      </c>
      <c r="D907" s="634"/>
      <c r="E907" s="634"/>
      <c r="F907" s="634"/>
      <c r="G907" s="634"/>
      <c r="H907" s="634"/>
      <c r="I907" s="634"/>
      <c r="J907" s="634"/>
      <c r="K907" s="634"/>
      <c r="L907" s="634"/>
      <c r="M907" s="634"/>
      <c r="N907" s="634"/>
      <c r="O907" s="634"/>
      <c r="P907" s="634"/>
      <c r="Q907" s="634"/>
    </row>
    <row r="908" spans="2:17">
      <c r="B908" s="634"/>
      <c r="C908" s="634"/>
      <c r="D908" s="634"/>
      <c r="E908" s="634"/>
      <c r="F908" s="634"/>
      <c r="G908" s="634"/>
      <c r="H908" s="634"/>
      <c r="I908" s="634"/>
      <c r="J908" s="634"/>
      <c r="K908" s="634"/>
      <c r="L908" s="634"/>
      <c r="M908" s="634"/>
      <c r="N908" s="634"/>
      <c r="O908" s="634"/>
      <c r="P908" s="634"/>
      <c r="Q908" s="634"/>
    </row>
    <row r="909" spans="2:17">
      <c r="B909" s="634"/>
      <c r="C909" s="1449" t="s">
        <v>1246</v>
      </c>
      <c r="D909" s="634"/>
      <c r="E909" s="634"/>
      <c r="F909" s="634"/>
      <c r="G909" s="634"/>
      <c r="H909" s="634"/>
      <c r="I909" s="634"/>
      <c r="J909" s="634"/>
      <c r="K909" s="634"/>
      <c r="L909" s="634"/>
      <c r="M909" s="634"/>
      <c r="N909" s="634"/>
      <c r="O909" s="634"/>
      <c r="P909" s="634"/>
      <c r="Q909" s="634"/>
    </row>
    <row r="910" spans="2:17">
      <c r="B910" s="634"/>
      <c r="C910" s="1449" t="s">
        <v>1247</v>
      </c>
      <c r="D910" s="634"/>
      <c r="E910" s="634"/>
      <c r="F910" s="634"/>
      <c r="G910" s="634"/>
      <c r="H910" s="634"/>
      <c r="I910" s="634"/>
      <c r="J910" s="634"/>
      <c r="K910" s="634"/>
      <c r="L910" s="634"/>
      <c r="M910" s="634"/>
      <c r="N910" s="634"/>
      <c r="O910" s="634"/>
      <c r="P910" s="634"/>
      <c r="Q910" s="634"/>
    </row>
    <row r="911" spans="2:17">
      <c r="B911" s="634"/>
      <c r="C911" s="1449" t="s">
        <v>1248</v>
      </c>
      <c r="D911" s="634"/>
      <c r="E911" s="634"/>
      <c r="F911" s="634"/>
      <c r="G911" s="634"/>
      <c r="H911" s="634"/>
      <c r="I911" s="634"/>
      <c r="J911" s="634"/>
      <c r="K911" s="634"/>
      <c r="L911" s="634"/>
      <c r="M911" s="634"/>
      <c r="N911" s="634"/>
      <c r="O911" s="634"/>
      <c r="P911" s="634"/>
      <c r="Q911" s="634"/>
    </row>
    <row r="912" spans="2:17">
      <c r="B912" s="634"/>
      <c r="C912" s="634"/>
      <c r="D912" s="634"/>
      <c r="E912" s="634"/>
      <c r="F912" s="634"/>
      <c r="G912" s="634"/>
      <c r="H912" s="634"/>
      <c r="I912" s="634"/>
      <c r="J912" s="634"/>
      <c r="K912" s="634"/>
      <c r="L912" s="634"/>
      <c r="M912" s="634"/>
      <c r="N912" s="634"/>
      <c r="O912" s="634"/>
      <c r="P912" s="634"/>
      <c r="Q912" s="634"/>
    </row>
    <row r="913" spans="2:17" ht="18.75">
      <c r="B913" s="634"/>
      <c r="C913" s="1450" t="s">
        <v>1249</v>
      </c>
      <c r="D913" s="634"/>
      <c r="E913" s="634"/>
      <c r="F913" s="634"/>
      <c r="G913" s="634"/>
      <c r="H913" s="634"/>
      <c r="I913" s="634"/>
      <c r="J913" s="634"/>
      <c r="K913" s="634"/>
      <c r="L913" s="634"/>
      <c r="M913" s="634"/>
      <c r="N913" s="634"/>
      <c r="O913" s="634"/>
      <c r="P913" s="634"/>
      <c r="Q913" s="634"/>
    </row>
    <row r="914" spans="2:17">
      <c r="B914" s="634"/>
      <c r="C914" s="634"/>
      <c r="D914" s="634"/>
      <c r="E914" s="634"/>
      <c r="F914" s="634"/>
      <c r="G914" s="634"/>
      <c r="H914" s="634"/>
      <c r="I914" s="634"/>
      <c r="J914" s="634"/>
      <c r="K914" s="634"/>
      <c r="L914" s="634"/>
      <c r="M914" s="634"/>
      <c r="N914" s="634"/>
      <c r="O914" s="634"/>
      <c r="P914" s="634"/>
      <c r="Q914" s="634"/>
    </row>
    <row r="915" spans="2:17">
      <c r="B915" s="634"/>
      <c r="C915" s="1449" t="s">
        <v>1250</v>
      </c>
      <c r="D915" s="634"/>
      <c r="E915" s="634"/>
      <c r="F915" s="634"/>
      <c r="G915" s="634"/>
      <c r="H915" s="634"/>
      <c r="I915" s="634"/>
      <c r="J915" s="634"/>
      <c r="K915" s="634"/>
      <c r="L915" s="634"/>
      <c r="M915" s="634"/>
      <c r="N915" s="634"/>
      <c r="O915" s="634"/>
      <c r="P915" s="634"/>
      <c r="Q915" s="634"/>
    </row>
    <row r="916" spans="2:17">
      <c r="B916" s="634"/>
      <c r="C916" s="1449" t="s">
        <v>1251</v>
      </c>
      <c r="D916" s="634"/>
      <c r="E916" s="634"/>
      <c r="F916" s="634"/>
      <c r="G916" s="634"/>
      <c r="H916" s="634"/>
      <c r="I916" s="634"/>
      <c r="J916" s="634"/>
      <c r="K916" s="634"/>
      <c r="L916" s="634"/>
      <c r="M916" s="634"/>
      <c r="N916" s="634"/>
      <c r="O916" s="634"/>
      <c r="P916" s="634"/>
      <c r="Q916" s="634"/>
    </row>
    <row r="917" spans="2:17">
      <c r="B917" s="634"/>
      <c r="C917" s="1449" t="s">
        <v>1252</v>
      </c>
      <c r="D917" s="634"/>
      <c r="E917" s="634"/>
      <c r="F917" s="634"/>
      <c r="G917" s="634"/>
      <c r="H917" s="634"/>
      <c r="I917" s="634"/>
      <c r="J917" s="634"/>
      <c r="K917" s="634"/>
      <c r="L917" s="634"/>
      <c r="M917" s="634"/>
      <c r="N917" s="634"/>
      <c r="O917" s="634"/>
      <c r="P917" s="634"/>
      <c r="Q917" s="634"/>
    </row>
    <row r="918" spans="2:17">
      <c r="B918" s="634"/>
      <c r="C918" s="1449" t="s">
        <v>1253</v>
      </c>
      <c r="D918" s="634"/>
      <c r="E918" s="634"/>
      <c r="F918" s="634"/>
      <c r="G918" s="634"/>
      <c r="H918" s="634"/>
      <c r="I918" s="634"/>
      <c r="J918" s="634"/>
      <c r="K918" s="634"/>
      <c r="L918" s="634"/>
      <c r="M918" s="634"/>
      <c r="N918" s="634"/>
      <c r="O918" s="634"/>
      <c r="P918" s="634"/>
      <c r="Q918" s="634"/>
    </row>
    <row r="919" spans="2:17">
      <c r="B919" s="634"/>
      <c r="C919" s="634"/>
      <c r="D919" s="634"/>
      <c r="E919" s="634"/>
      <c r="F919" s="634"/>
      <c r="G919" s="634"/>
      <c r="H919" s="634"/>
      <c r="I919" s="634"/>
      <c r="J919" s="634"/>
      <c r="K919" s="634"/>
      <c r="L919" s="634"/>
      <c r="M919" s="634"/>
      <c r="N919" s="634"/>
      <c r="O919" s="634"/>
      <c r="P919" s="634"/>
      <c r="Q919" s="634"/>
    </row>
    <row r="920" spans="2:17" ht="23.25">
      <c r="B920" s="1445">
        <f>ROW()</f>
        <v>920</v>
      </c>
      <c r="C920" s="1446" t="s">
        <v>1254</v>
      </c>
      <c r="D920" s="1451"/>
      <c r="E920" s="1451"/>
      <c r="F920" s="1451"/>
      <c r="G920" s="1451"/>
      <c r="H920" s="1451"/>
      <c r="I920" s="1451"/>
      <c r="J920" s="1451"/>
      <c r="K920" s="1451"/>
      <c r="L920" s="1451"/>
      <c r="M920" s="1451"/>
      <c r="N920" s="1451"/>
      <c r="O920" s="1451"/>
      <c r="P920" s="1451"/>
      <c r="Q920" s="1451"/>
    </row>
    <row r="921" spans="2:17">
      <c r="B921" s="634"/>
      <c r="C921" s="634"/>
      <c r="D921" s="634"/>
      <c r="E921" s="634"/>
      <c r="F921" s="634"/>
      <c r="G921" s="634"/>
      <c r="H921" s="634"/>
      <c r="I921" s="634"/>
      <c r="J921" s="634"/>
      <c r="K921" s="634"/>
      <c r="L921" s="634"/>
      <c r="M921" s="634"/>
      <c r="N921" s="634"/>
      <c r="O921" s="634"/>
      <c r="P921" s="634"/>
      <c r="Q921" s="634"/>
    </row>
    <row r="922" spans="2:17">
      <c r="B922" s="1479" t="s">
        <v>365</v>
      </c>
      <c r="C922" s="1222" t="s">
        <v>1255</v>
      </c>
      <c r="D922" s="634"/>
      <c r="E922" s="634"/>
      <c r="F922" s="634"/>
      <c r="G922" s="634"/>
      <c r="H922" s="634"/>
      <c r="I922" s="634"/>
      <c r="J922" s="634"/>
      <c r="K922" s="634"/>
      <c r="L922" s="634"/>
      <c r="M922" s="634"/>
      <c r="N922" s="634"/>
      <c r="O922" s="634"/>
      <c r="P922" s="634"/>
      <c r="Q922" s="634"/>
    </row>
    <row r="923" spans="2:17">
      <c r="B923" s="634"/>
      <c r="C923" s="634"/>
      <c r="D923" s="634"/>
      <c r="E923" s="634"/>
      <c r="F923" s="634"/>
      <c r="G923" s="634"/>
      <c r="H923" s="634"/>
      <c r="I923" s="634"/>
      <c r="J923" s="634"/>
      <c r="K923" s="634"/>
      <c r="L923" s="634"/>
      <c r="M923" s="634"/>
      <c r="N923" s="634"/>
      <c r="O923" s="634"/>
      <c r="P923" s="634"/>
      <c r="Q923" s="634"/>
    </row>
    <row r="924" spans="2:17">
      <c r="B924" s="1479" t="s">
        <v>365</v>
      </c>
      <c r="C924" s="1222" t="s">
        <v>1256</v>
      </c>
      <c r="D924" s="634"/>
      <c r="E924" s="634"/>
      <c r="F924" s="634"/>
      <c r="G924" s="634"/>
      <c r="H924" s="634"/>
      <c r="I924" s="634"/>
      <c r="J924" s="634"/>
      <c r="K924" s="634"/>
      <c r="L924" s="634"/>
      <c r="M924" s="634"/>
      <c r="N924" s="634"/>
      <c r="O924" s="634"/>
      <c r="P924" s="634"/>
      <c r="Q924" s="634"/>
    </row>
    <row r="925" spans="2:17">
      <c r="B925" s="634"/>
      <c r="C925" s="634"/>
      <c r="D925" s="634"/>
      <c r="E925" s="634"/>
      <c r="F925" s="634"/>
      <c r="G925" s="634"/>
      <c r="H925" s="634"/>
      <c r="I925" s="634"/>
      <c r="J925" s="634"/>
      <c r="K925" s="634"/>
      <c r="L925" s="634"/>
      <c r="M925" s="634"/>
      <c r="N925" s="634"/>
      <c r="O925" s="634"/>
      <c r="P925" s="634"/>
      <c r="Q925" s="634"/>
    </row>
    <row r="926" spans="2:17">
      <c r="B926" s="634"/>
      <c r="C926" s="634"/>
      <c r="D926" s="634"/>
      <c r="E926" s="634"/>
      <c r="F926" s="634"/>
      <c r="G926" s="634"/>
      <c r="H926" s="634"/>
      <c r="I926" s="634"/>
      <c r="J926" s="634"/>
      <c r="K926" s="634"/>
      <c r="L926" s="634"/>
      <c r="M926" s="634"/>
      <c r="N926" s="634"/>
      <c r="O926" s="634"/>
      <c r="P926" s="634"/>
      <c r="Q926" s="634"/>
    </row>
    <row r="927" spans="2:17">
      <c r="B927" s="634"/>
      <c r="C927" s="634"/>
      <c r="D927" s="634"/>
      <c r="E927" s="634"/>
      <c r="F927" s="634"/>
      <c r="G927" s="634"/>
      <c r="H927" s="634"/>
      <c r="I927" s="634"/>
      <c r="J927" s="634"/>
      <c r="K927" s="634"/>
      <c r="L927" s="634"/>
      <c r="M927" s="634"/>
      <c r="N927" s="634"/>
      <c r="O927" s="634"/>
      <c r="P927" s="634"/>
      <c r="Q927" s="634"/>
    </row>
    <row r="928" spans="2:17">
      <c r="B928" s="634"/>
      <c r="C928" s="634"/>
      <c r="D928" s="634"/>
      <c r="E928" s="634"/>
      <c r="F928" s="634"/>
      <c r="G928" s="634"/>
      <c r="H928" s="634"/>
      <c r="I928" s="634"/>
      <c r="J928" s="634"/>
      <c r="K928" s="634"/>
      <c r="L928" s="634"/>
      <c r="M928" s="634"/>
      <c r="N928" s="634"/>
      <c r="O928" s="634"/>
      <c r="P928" s="634"/>
      <c r="Q928" s="634"/>
    </row>
    <row r="929" spans="2:17">
      <c r="B929" s="634"/>
      <c r="C929" s="634"/>
      <c r="D929" s="634"/>
      <c r="E929" s="634"/>
      <c r="F929" s="634"/>
      <c r="G929" s="634"/>
      <c r="H929" s="634"/>
      <c r="I929" s="634"/>
      <c r="J929" s="634"/>
      <c r="K929" s="634"/>
      <c r="L929" s="634"/>
      <c r="M929" s="634"/>
      <c r="N929" s="634"/>
      <c r="O929" s="634"/>
      <c r="P929" s="634"/>
      <c r="Q929" s="634"/>
    </row>
    <row r="930" spans="2:17">
      <c r="B930" s="634"/>
      <c r="C930" s="634"/>
      <c r="D930" s="634"/>
      <c r="E930" s="634"/>
      <c r="F930" s="634"/>
      <c r="G930" s="634"/>
      <c r="H930" s="634"/>
      <c r="I930" s="634"/>
      <c r="J930" s="634"/>
      <c r="K930" s="634"/>
      <c r="L930" s="634"/>
      <c r="M930" s="634"/>
      <c r="N930" s="634"/>
      <c r="O930" s="634"/>
      <c r="P930" s="634"/>
      <c r="Q930" s="634"/>
    </row>
    <row r="931" spans="2:17">
      <c r="B931" s="634"/>
      <c r="C931" s="634"/>
      <c r="D931" s="634"/>
      <c r="E931" s="634"/>
      <c r="F931" s="634"/>
      <c r="G931" s="634"/>
      <c r="H931" s="634"/>
      <c r="I931" s="634"/>
      <c r="J931" s="634"/>
      <c r="K931" s="634"/>
      <c r="L931" s="634"/>
      <c r="M931" s="634"/>
      <c r="N931" s="634"/>
      <c r="O931" s="634"/>
      <c r="P931" s="634"/>
      <c r="Q931" s="634"/>
    </row>
    <row r="932" spans="2:17">
      <c r="B932" s="634"/>
      <c r="C932" s="634"/>
      <c r="D932" s="634"/>
      <c r="E932" s="634"/>
      <c r="F932" s="634"/>
      <c r="G932" s="634"/>
      <c r="H932" s="634"/>
      <c r="I932" s="634"/>
      <c r="J932" s="634"/>
      <c r="K932" s="634"/>
      <c r="L932" s="634"/>
      <c r="M932" s="634"/>
      <c r="N932" s="634"/>
      <c r="O932" s="634"/>
      <c r="P932" s="634"/>
      <c r="Q932" s="634"/>
    </row>
    <row r="933" spans="2:17">
      <c r="B933" s="634"/>
      <c r="C933" s="634"/>
      <c r="D933" s="634"/>
      <c r="E933" s="634"/>
      <c r="F933" s="634"/>
      <c r="G933" s="634"/>
      <c r="H933" s="634"/>
      <c r="I933" s="634"/>
      <c r="J933" s="634"/>
      <c r="K933" s="634"/>
      <c r="L933" s="634"/>
      <c r="M933" s="634"/>
      <c r="N933" s="634"/>
      <c r="O933" s="634"/>
      <c r="P933" s="634"/>
      <c r="Q933" s="634"/>
    </row>
    <row r="934" spans="2:17">
      <c r="B934" s="634"/>
      <c r="C934" s="634"/>
      <c r="D934" s="634"/>
      <c r="E934" s="634"/>
      <c r="F934" s="634"/>
      <c r="G934" s="634"/>
      <c r="H934" s="634"/>
      <c r="I934" s="634"/>
      <c r="J934" s="634"/>
      <c r="K934" s="634"/>
      <c r="L934" s="634"/>
      <c r="M934" s="634"/>
      <c r="N934" s="634"/>
      <c r="O934" s="634"/>
      <c r="P934" s="634"/>
      <c r="Q934" s="634"/>
    </row>
    <row r="935" spans="2:17">
      <c r="B935" s="634"/>
      <c r="C935" s="634"/>
      <c r="D935" s="634"/>
      <c r="E935" s="634"/>
      <c r="F935" s="634"/>
      <c r="G935" s="634"/>
      <c r="H935" s="634"/>
      <c r="I935" s="634"/>
      <c r="J935" s="634"/>
      <c r="K935" s="634"/>
      <c r="L935" s="634"/>
      <c r="M935" s="634"/>
      <c r="N935" s="634"/>
      <c r="O935" s="634"/>
      <c r="P935" s="634"/>
      <c r="Q935" s="634"/>
    </row>
    <row r="936" spans="2:17">
      <c r="B936" s="634"/>
      <c r="C936" s="634"/>
      <c r="D936" s="634"/>
      <c r="E936" s="634"/>
      <c r="F936" s="634"/>
      <c r="G936" s="634"/>
      <c r="H936" s="634"/>
      <c r="I936" s="634"/>
      <c r="J936" s="634"/>
      <c r="K936" s="634"/>
      <c r="L936" s="634"/>
      <c r="M936" s="634"/>
      <c r="N936" s="634"/>
      <c r="O936" s="634"/>
      <c r="P936" s="634"/>
      <c r="Q936" s="634"/>
    </row>
    <row r="937" spans="2:17">
      <c r="B937" s="634"/>
      <c r="C937" s="634"/>
      <c r="D937" s="634"/>
      <c r="E937" s="634"/>
      <c r="F937" s="634"/>
      <c r="G937" s="634"/>
      <c r="H937" s="634"/>
      <c r="I937" s="634"/>
      <c r="J937" s="634"/>
      <c r="K937" s="634"/>
      <c r="L937" s="634"/>
      <c r="M937" s="634"/>
      <c r="N937" s="634"/>
      <c r="O937" s="634"/>
      <c r="P937" s="634"/>
      <c r="Q937" s="634"/>
    </row>
    <row r="938" spans="2:17">
      <c r="B938" s="634"/>
      <c r="C938" s="634"/>
      <c r="D938" s="634"/>
      <c r="E938" s="634"/>
      <c r="F938" s="634"/>
      <c r="G938" s="634"/>
      <c r="H938" s="634"/>
      <c r="I938" s="634"/>
      <c r="J938" s="634"/>
      <c r="K938" s="634"/>
      <c r="L938" s="634"/>
      <c r="M938" s="634"/>
      <c r="N938" s="634"/>
      <c r="O938" s="634"/>
      <c r="P938" s="634"/>
      <c r="Q938" s="634"/>
    </row>
    <row r="939" spans="2:17">
      <c r="B939" s="634"/>
      <c r="C939" s="634"/>
      <c r="D939" s="634"/>
      <c r="E939" s="634"/>
      <c r="F939" s="634"/>
      <c r="G939" s="634"/>
      <c r="H939" s="634"/>
      <c r="I939" s="634"/>
      <c r="J939" s="634"/>
      <c r="K939" s="634"/>
      <c r="L939" s="634"/>
      <c r="M939" s="634"/>
      <c r="N939" s="634"/>
      <c r="O939" s="634"/>
      <c r="P939" s="634"/>
      <c r="Q939" s="634"/>
    </row>
    <row r="940" spans="2:17">
      <c r="B940" s="634"/>
      <c r="C940" s="634"/>
      <c r="D940" s="634"/>
      <c r="E940" s="634"/>
      <c r="F940" s="634"/>
      <c r="G940" s="634"/>
      <c r="H940" s="634"/>
      <c r="I940" s="634"/>
      <c r="J940" s="634"/>
      <c r="K940" s="634"/>
      <c r="L940" s="634"/>
      <c r="M940" s="634"/>
      <c r="N940" s="634"/>
      <c r="O940" s="634"/>
      <c r="P940" s="634"/>
      <c r="Q940" s="634"/>
    </row>
    <row r="941" spans="2:17">
      <c r="B941" s="634"/>
      <c r="C941" s="634"/>
      <c r="D941" s="634"/>
      <c r="E941" s="634"/>
      <c r="F941" s="634"/>
      <c r="G941" s="634"/>
      <c r="H941" s="634"/>
      <c r="I941" s="634"/>
      <c r="J941" s="634"/>
      <c r="K941" s="634"/>
      <c r="L941" s="634"/>
      <c r="M941" s="634"/>
      <c r="N941" s="634"/>
      <c r="O941" s="634"/>
      <c r="P941" s="634"/>
      <c r="Q941" s="634"/>
    </row>
    <row r="942" spans="2:17">
      <c r="B942" s="634"/>
      <c r="C942" s="634"/>
      <c r="D942" s="634"/>
      <c r="E942" s="634"/>
      <c r="F942" s="634"/>
      <c r="G942" s="634"/>
      <c r="H942" s="634"/>
      <c r="I942" s="634"/>
      <c r="J942" s="634"/>
      <c r="K942" s="634"/>
      <c r="L942" s="634"/>
      <c r="M942" s="634"/>
      <c r="N942" s="634"/>
      <c r="O942" s="634"/>
      <c r="P942" s="634"/>
      <c r="Q942" s="634"/>
    </row>
    <row r="943" spans="2:17">
      <c r="B943" s="634"/>
      <c r="C943" s="634"/>
      <c r="D943" s="634"/>
      <c r="E943" s="634"/>
      <c r="F943" s="634"/>
      <c r="G943" s="634"/>
      <c r="H943" s="634"/>
      <c r="I943" s="634"/>
      <c r="J943" s="634"/>
      <c r="K943" s="634"/>
      <c r="L943" s="634"/>
      <c r="M943" s="634"/>
      <c r="N943" s="634"/>
      <c r="O943" s="634"/>
      <c r="P943" s="634"/>
      <c r="Q943" s="634"/>
    </row>
    <row r="944" spans="2:17" ht="23.25">
      <c r="B944" s="1445">
        <f>ROW()</f>
        <v>944</v>
      </c>
      <c r="C944" s="1446" t="s">
        <v>1275</v>
      </c>
      <c r="D944" s="1451"/>
      <c r="E944" s="1451"/>
      <c r="F944" s="1451"/>
      <c r="G944" s="1451"/>
      <c r="H944" s="1451"/>
      <c r="I944" s="1451"/>
      <c r="J944" s="1451"/>
      <c r="K944" s="1451"/>
      <c r="L944" s="1451"/>
      <c r="M944" s="1451"/>
      <c r="N944" s="1451"/>
      <c r="O944" s="1451"/>
      <c r="P944" s="1451"/>
      <c r="Q944" s="1451"/>
    </row>
    <row r="945" spans="1:10" ht="16.5" thickBot="1"/>
    <row r="946" spans="1:10" ht="21">
      <c r="A946" s="1871" t="s">
        <v>70</v>
      </c>
      <c r="B946" s="5892" t="s">
        <v>1275</v>
      </c>
      <c r="C946" s="5893"/>
      <c r="D946" s="5893"/>
      <c r="E946" s="5893"/>
      <c r="F946" s="5893"/>
      <c r="G946" s="5893"/>
      <c r="H946" s="5893"/>
      <c r="I946" s="5893"/>
      <c r="J946" s="5894"/>
    </row>
    <row r="947" spans="1:10">
      <c r="A947" s="4717" t="str">
        <f>B946</f>
        <v>Température de la Base Perso</v>
      </c>
      <c r="B947" s="1483" t="str">
        <f>ADDRESS(ROW(),COLUMN(),4)</f>
        <v>B947</v>
      </c>
      <c r="C947" s="1484" t="s">
        <v>691</v>
      </c>
      <c r="D947" s="1224"/>
      <c r="E947" s="1224"/>
      <c r="F947" s="1224"/>
      <c r="G947" s="1224"/>
      <c r="H947" s="1225"/>
      <c r="I947" s="1225" t="str">
        <f ca="1">MID(CELL("filename",B947),SEARCH("[",CELL("filename",B947))+1,SEARCH("]",CELL("filename",B947))-SEARCH("[",CELL("filename",B947))-1)</f>
        <v>ff-22-formats-formules-pourcentages.xlsx</v>
      </c>
      <c r="J947" s="1226">
        <v>2</v>
      </c>
    </row>
    <row r="948" spans="1:10">
      <c r="A948" s="4717"/>
      <c r="B948" s="633"/>
      <c r="C948" s="634"/>
      <c r="D948" s="634"/>
      <c r="E948" s="634"/>
      <c r="F948" s="634"/>
      <c r="G948" s="634"/>
      <c r="H948" s="634"/>
      <c r="I948" s="680"/>
      <c r="J948" s="517"/>
    </row>
    <row r="949" spans="1:10" ht="18.75">
      <c r="A949" s="4717"/>
      <c r="B949" s="6013" t="s">
        <v>1297</v>
      </c>
      <c r="C949" s="6014"/>
      <c r="D949" s="6014"/>
      <c r="E949" s="6014"/>
      <c r="F949" s="6014"/>
      <c r="G949" s="6014"/>
      <c r="H949" s="6014"/>
      <c r="I949" s="6014"/>
      <c r="J949" s="6015"/>
    </row>
    <row r="950" spans="1:10" ht="18.75">
      <c r="A950" s="4717"/>
      <c r="B950" s="1617"/>
      <c r="C950" s="1616"/>
      <c r="D950" s="1616"/>
      <c r="E950" s="1616"/>
      <c r="F950" s="1616"/>
      <c r="G950" s="1616"/>
      <c r="H950" s="1616"/>
      <c r="I950" s="1616"/>
      <c r="J950" s="1615"/>
    </row>
    <row r="951" spans="1:10" ht="18.75">
      <c r="A951" s="4717"/>
      <c r="B951" s="633"/>
      <c r="C951" s="1200"/>
      <c r="D951" s="6016" t="s">
        <v>1296</v>
      </c>
      <c r="E951" s="6016"/>
      <c r="F951" s="6016"/>
      <c r="G951" s="6016"/>
      <c r="H951" s="6002">
        <v>23</v>
      </c>
      <c r="I951" s="6002"/>
      <c r="J951" s="517"/>
    </row>
    <row r="952" spans="1:10">
      <c r="A952" s="4717"/>
      <c r="B952" s="633"/>
      <c r="C952" s="1587"/>
      <c r="D952" s="6016"/>
      <c r="E952" s="6016"/>
      <c r="F952" s="6016"/>
      <c r="G952" s="6016"/>
      <c r="H952" s="6002"/>
      <c r="I952" s="6002"/>
      <c r="J952" s="517"/>
    </row>
    <row r="953" spans="1:10">
      <c r="A953" s="4717"/>
      <c r="B953" s="6017" t="s">
        <v>1295</v>
      </c>
      <c r="C953" s="6018"/>
      <c r="D953" s="6018"/>
      <c r="E953" s="6018"/>
      <c r="F953" s="6018"/>
      <c r="G953" s="6018"/>
      <c r="H953" s="6018"/>
      <c r="I953" s="6018"/>
      <c r="J953" s="6019"/>
    </row>
    <row r="954" spans="1:10">
      <c r="A954" s="4717"/>
      <c r="B954" s="6017" t="s">
        <v>1294</v>
      </c>
      <c r="C954" s="6018"/>
      <c r="D954" s="6018"/>
      <c r="E954" s="6018"/>
      <c r="F954" s="6018"/>
      <c r="G954" s="6018"/>
      <c r="H954" s="6018"/>
      <c r="I954" s="6018"/>
      <c r="J954" s="6019"/>
    </row>
    <row r="955" spans="1:10">
      <c r="A955" s="4717"/>
      <c r="B955" s="6020" t="s">
        <v>1293</v>
      </c>
      <c r="C955" s="6021"/>
      <c r="D955" s="6021"/>
      <c r="E955" s="6021"/>
      <c r="F955" s="6021"/>
      <c r="G955" s="6021"/>
      <c r="H955" s="6021"/>
      <c r="I955" s="6021"/>
      <c r="J955" s="6022"/>
    </row>
    <row r="956" spans="1:10">
      <c r="A956" s="4717"/>
      <c r="B956" s="5800" t="s">
        <v>1292</v>
      </c>
      <c r="C956" s="5801"/>
      <c r="D956" s="5801"/>
      <c r="E956" s="5801"/>
      <c r="F956" s="5801"/>
      <c r="G956" s="5801"/>
      <c r="H956" s="5801"/>
      <c r="I956" s="5801"/>
      <c r="J956" s="5802"/>
    </row>
    <row r="957" spans="1:10">
      <c r="A957" s="4717"/>
      <c r="B957" s="633"/>
      <c r="C957" s="1587"/>
      <c r="D957" s="634"/>
      <c r="E957" s="634"/>
      <c r="F957" s="634"/>
      <c r="G957" s="634"/>
      <c r="H957" s="1010"/>
      <c r="I957" s="1346"/>
      <c r="J957" s="517"/>
    </row>
    <row r="958" spans="1:10">
      <c r="A958" s="4717"/>
      <c r="B958" s="633"/>
      <c r="C958" s="634"/>
      <c r="D958" s="634"/>
      <c r="E958" s="634"/>
      <c r="F958" s="634"/>
      <c r="G958" s="634"/>
      <c r="H958" s="1010"/>
      <c r="I958" s="1206" t="s">
        <v>1291</v>
      </c>
      <c r="J958" s="517"/>
    </row>
    <row r="959" spans="1:10">
      <c r="A959" s="4717"/>
      <c r="B959" s="633"/>
      <c r="C959" s="1587" t="s">
        <v>1279</v>
      </c>
      <c r="D959" s="892"/>
      <c r="E959" s="1587" t="s">
        <v>1268</v>
      </c>
      <c r="F959" s="1587"/>
      <c r="G959" s="1587" t="s">
        <v>1267</v>
      </c>
      <c r="H959" s="634"/>
      <c r="I959" s="1608" t="s">
        <v>1265</v>
      </c>
      <c r="J959" s="517"/>
    </row>
    <row r="960" spans="1:10" ht="18.75">
      <c r="A960" s="4717"/>
      <c r="B960" s="633"/>
      <c r="C960" s="1586">
        <v>58</v>
      </c>
      <c r="D960" s="1607" t="s">
        <v>1290</v>
      </c>
      <c r="E960" s="1586">
        <v>18</v>
      </c>
      <c r="F960" s="1606" t="s">
        <v>1289</v>
      </c>
      <c r="G960" s="1586">
        <v>18</v>
      </c>
      <c r="H960" s="1605" t="s">
        <v>1288</v>
      </c>
      <c r="I960" s="1582">
        <f>C960-(E960+G960)</f>
        <v>22</v>
      </c>
      <c r="J960" s="517"/>
    </row>
    <row r="961" spans="1:10">
      <c r="A961" s="4717"/>
      <c r="B961" s="633"/>
      <c r="C961" s="1253" t="str">
        <f>ADDRESS(ROW(C960),COLUMN(C960),4)</f>
        <v>C960</v>
      </c>
      <c r="D961" s="634"/>
      <c r="E961" s="1253" t="str">
        <f>ADDRESS(ROW(E960),COLUMN(E960),4)</f>
        <v>E960</v>
      </c>
      <c r="F961" s="634"/>
      <c r="G961" s="1253" t="str">
        <f>ADDRESS(ROW(G960),COLUMN(G960),4)</f>
        <v>G960</v>
      </c>
      <c r="H961" s="634"/>
      <c r="I961" s="680" t="str">
        <f ca="1">_xlfn.FORMULATEXT(I960)</f>
        <v>=C960-(E960+G960)</v>
      </c>
      <c r="J961" s="517"/>
    </row>
    <row r="962" spans="1:10">
      <c r="A962" s="4717"/>
      <c r="B962" s="1351"/>
      <c r="C962" s="1012"/>
      <c r="D962" s="1012"/>
      <c r="E962" s="1012"/>
      <c r="F962" s="1012"/>
      <c r="G962" s="1012"/>
      <c r="H962" s="1012"/>
      <c r="I962" s="1601"/>
      <c r="J962" s="1194"/>
    </row>
    <row r="963" spans="1:10">
      <c r="A963" s="4717"/>
      <c r="B963" s="5905" t="s">
        <v>1287</v>
      </c>
      <c r="C963" s="5857"/>
      <c r="D963" s="5857"/>
      <c r="E963" s="5857"/>
      <c r="F963" s="5857"/>
      <c r="G963" s="5857"/>
      <c r="H963" s="5857"/>
      <c r="I963" s="5857"/>
      <c r="J963" s="5897"/>
    </row>
    <row r="964" spans="1:10">
      <c r="A964" s="4717"/>
      <c r="B964" s="5905" t="s">
        <v>1286</v>
      </c>
      <c r="C964" s="5857"/>
      <c r="D964" s="5857"/>
      <c r="E964" s="5857"/>
      <c r="F964" s="5857"/>
      <c r="G964" s="5857"/>
      <c r="H964" s="5857"/>
      <c r="I964" s="5857"/>
      <c r="J964" s="5897"/>
    </row>
    <row r="965" spans="1:10">
      <c r="A965" s="4717"/>
      <c r="B965" s="5905" t="s">
        <v>1285</v>
      </c>
      <c r="C965" s="5857"/>
      <c r="D965" s="5857"/>
      <c r="E965" s="5857"/>
      <c r="F965" s="5857"/>
      <c r="G965" s="5857"/>
      <c r="H965" s="5857"/>
      <c r="I965" s="5857"/>
      <c r="J965" s="5897"/>
    </row>
    <row r="966" spans="1:10">
      <c r="A966" s="4717"/>
      <c r="B966" s="5905" t="s">
        <v>1284</v>
      </c>
      <c r="C966" s="5857"/>
      <c r="D966" s="5857"/>
      <c r="E966" s="5857"/>
      <c r="F966" s="5857"/>
      <c r="G966" s="5857"/>
      <c r="H966" s="5857"/>
      <c r="I966" s="5857"/>
      <c r="J966" s="5897"/>
    </row>
    <row r="967" spans="1:10">
      <c r="A967" s="4717"/>
      <c r="B967" s="633"/>
      <c r="C967" s="634"/>
      <c r="D967" s="634"/>
      <c r="E967" s="634"/>
      <c r="F967" s="634"/>
      <c r="G967" s="634"/>
      <c r="H967" s="634"/>
      <c r="I967" s="634"/>
      <c r="J967" s="517"/>
    </row>
    <row r="968" spans="1:10">
      <c r="A968" s="4717"/>
      <c r="B968" s="6023" t="s">
        <v>1283</v>
      </c>
      <c r="C968" s="6024"/>
      <c r="D968" s="6024"/>
      <c r="E968" s="6024"/>
      <c r="F968" s="6024"/>
      <c r="G968" s="6024"/>
      <c r="H968" s="6024"/>
      <c r="I968" s="6024"/>
      <c r="J968" s="6025"/>
    </row>
    <row r="969" spans="1:10" ht="18.75">
      <c r="A969" s="4717"/>
      <c r="B969" s="1597"/>
      <c r="C969" s="634"/>
      <c r="D969" s="634"/>
      <c r="E969" s="634"/>
      <c r="F969" s="634"/>
      <c r="G969" s="634"/>
      <c r="H969" s="1595"/>
      <c r="I969" s="1595"/>
      <c r="J969" s="1594"/>
    </row>
    <row r="970" spans="1:10">
      <c r="A970" s="4717"/>
      <c r="B970" s="633"/>
      <c r="C970" s="6026" t="s">
        <v>1282</v>
      </c>
      <c r="D970" s="634"/>
      <c r="E970" s="6026" t="s">
        <v>1281</v>
      </c>
      <c r="F970" s="634"/>
      <c r="G970" s="1604" t="s">
        <v>55</v>
      </c>
      <c r="H970" s="634"/>
      <c r="I970" s="680"/>
      <c r="J970" s="517"/>
    </row>
    <row r="971" spans="1:10">
      <c r="A971" s="4717"/>
      <c r="B971" s="633"/>
      <c r="C971" s="6026"/>
      <c r="D971" s="634"/>
      <c r="E971" s="6026"/>
      <c r="F971" s="634"/>
      <c r="G971" s="1181" t="s">
        <v>1272</v>
      </c>
      <c r="H971" s="634"/>
      <c r="I971" s="680"/>
      <c r="J971" s="517"/>
    </row>
    <row r="972" spans="1:10">
      <c r="A972" s="4717"/>
      <c r="B972" s="633"/>
      <c r="C972" s="1588">
        <v>21</v>
      </c>
      <c r="D972" s="634"/>
      <c r="E972" s="1586">
        <v>23</v>
      </c>
      <c r="F972" s="1602"/>
      <c r="G972" s="1582">
        <f>IF(E972&gt;C972,E972-C972,C972-E972)</f>
        <v>2</v>
      </c>
      <c r="H972" s="1572" t="str">
        <f ca="1">_xlfn.FORMULATEXT(G972)</f>
        <v>=SI(E972&gt;C972;E972-C972;C972-E972)</v>
      </c>
      <c r="I972" s="680"/>
      <c r="J972" s="517"/>
    </row>
    <row r="973" spans="1:10" ht="18.75">
      <c r="A973" s="4717"/>
      <c r="B973" s="633"/>
      <c r="C973" s="1253" t="str">
        <f>ADDRESS(ROW(C972),COLUMN(C972),4)</f>
        <v>C972</v>
      </c>
      <c r="D973" s="1595"/>
      <c r="E973" s="1253" t="str">
        <f>ADDRESS(ROW(E972),COLUMN(E972),4)</f>
        <v>E972</v>
      </c>
      <c r="F973" s="1595"/>
      <c r="G973" s="1253" t="str">
        <f>ADDRESS(ROW(G972),COLUMN(G972),4)</f>
        <v>G972</v>
      </c>
      <c r="H973" s="680"/>
      <c r="I973" s="680"/>
      <c r="J973" s="517"/>
    </row>
    <row r="974" spans="1:10">
      <c r="A974" s="4717"/>
      <c r="B974" s="1351"/>
      <c r="C974" s="1012"/>
      <c r="D974" s="1012"/>
      <c r="E974" s="1012"/>
      <c r="F974" s="1012"/>
      <c r="G974" s="1012"/>
      <c r="H974" s="1012"/>
      <c r="I974" s="1601"/>
      <c r="J974" s="1194"/>
    </row>
    <row r="975" spans="1:10">
      <c r="A975" s="4717"/>
      <c r="B975" s="633"/>
      <c r="C975" s="634"/>
      <c r="D975" s="634"/>
      <c r="E975" s="634"/>
      <c r="F975" s="634"/>
      <c r="G975" s="634"/>
      <c r="H975" s="634"/>
      <c r="I975" s="680"/>
      <c r="J975" s="517"/>
    </row>
    <row r="976" spans="1:10">
      <c r="A976" s="4717"/>
      <c r="B976" s="6023" t="s">
        <v>1280</v>
      </c>
      <c r="C976" s="6024"/>
      <c r="D976" s="6024"/>
      <c r="E976" s="6024"/>
      <c r="F976" s="6024"/>
      <c r="G976" s="6024"/>
      <c r="H976" s="6024"/>
      <c r="I976" s="6024"/>
      <c r="J976" s="6025"/>
    </row>
    <row r="977" spans="1:10" ht="19.5" thickBot="1">
      <c r="A977" s="4717"/>
      <c r="B977" s="1597"/>
      <c r="C977" s="1596"/>
      <c r="D977" s="1595"/>
      <c r="E977" s="1595"/>
      <c r="F977" s="1595"/>
      <c r="G977" s="1595"/>
      <c r="H977" s="1595"/>
      <c r="I977" s="1595"/>
      <c r="J977" s="1594"/>
    </row>
    <row r="978" spans="1:10" ht="16.5" thickBot="1">
      <c r="A978" s="4717"/>
      <c r="B978" s="633"/>
      <c r="C978" s="6027" t="s">
        <v>1279</v>
      </c>
      <c r="D978" s="634"/>
      <c r="E978" s="6029" t="s">
        <v>1271</v>
      </c>
      <c r="F978" s="634"/>
      <c r="G978" s="1181"/>
      <c r="H978" s="634"/>
      <c r="I978" s="634"/>
      <c r="J978" s="1572"/>
    </row>
    <row r="979" spans="1:10">
      <c r="A979" s="4717"/>
      <c r="B979" s="633"/>
      <c r="C979" s="6028"/>
      <c r="D979" s="1593" t="s">
        <v>55</v>
      </c>
      <c r="E979" s="6029"/>
      <c r="F979" s="634"/>
      <c r="G979" s="6030" t="s">
        <v>1278</v>
      </c>
      <c r="H979" s="6031"/>
      <c r="I979" s="634"/>
      <c r="J979" s="517"/>
    </row>
    <row r="980" spans="1:10">
      <c r="A980" s="4717"/>
      <c r="B980" s="633"/>
      <c r="C980" s="6032">
        <v>58</v>
      </c>
      <c r="D980" s="634"/>
      <c r="E980" s="1582">
        <f>G972*3</f>
        <v>6</v>
      </c>
      <c r="F980" s="634"/>
      <c r="G980" s="6034">
        <f>C980+E980</f>
        <v>64</v>
      </c>
      <c r="H980" s="6035"/>
      <c r="I980" s="680" t="str">
        <f ca="1">_xlfn.FORMULATEXT(G980)</f>
        <v>=C980+E980</v>
      </c>
      <c r="J980" s="517"/>
    </row>
    <row r="981" spans="1:10" ht="16.5" thickBot="1">
      <c r="A981" s="4717"/>
      <c r="B981" s="633"/>
      <c r="C981" s="6033"/>
      <c r="D981" s="634"/>
      <c r="E981" s="680" t="str">
        <f ca="1">_xlfn.FORMULATEXT(E980)</f>
        <v>=G972*3</v>
      </c>
      <c r="F981" s="634"/>
      <c r="G981" s="6036"/>
      <c r="H981" s="6037"/>
      <c r="I981" s="634"/>
      <c r="J981" s="517"/>
    </row>
    <row r="982" spans="1:10">
      <c r="A982" s="4717"/>
      <c r="B982" s="633"/>
      <c r="C982" s="1253" t="str">
        <f>ADDRESS(ROW(C980),COLUMN(C980),4)</f>
        <v>C980</v>
      </c>
      <c r="D982" s="634"/>
      <c r="E982" s="1253" t="str">
        <f>ADDRESS(ROW(E980),COLUMN(E980),4)</f>
        <v>E980</v>
      </c>
      <c r="F982" s="634"/>
      <c r="G982" s="634"/>
      <c r="H982" s="634"/>
      <c r="I982" s="680"/>
      <c r="J982" s="517"/>
    </row>
    <row r="983" spans="1:10">
      <c r="A983" s="4717"/>
      <c r="B983" s="633"/>
      <c r="C983" s="634"/>
      <c r="D983" s="634"/>
      <c r="E983" s="634"/>
      <c r="F983" s="634"/>
      <c r="G983" s="634"/>
      <c r="H983" s="634"/>
      <c r="I983" s="680"/>
      <c r="J983" s="517"/>
    </row>
    <row r="984" spans="1:10">
      <c r="A984" s="4717"/>
      <c r="B984" s="1592" t="s">
        <v>1277</v>
      </c>
      <c r="C984" s="634"/>
      <c r="D984" s="634"/>
      <c r="E984" s="634"/>
      <c r="F984" s="634"/>
      <c r="G984" s="634"/>
      <c r="H984" s="634"/>
      <c r="I984" s="680"/>
      <c r="J984" s="517"/>
    </row>
    <row r="985" spans="1:10">
      <c r="A985" s="4717"/>
      <c r="B985" s="1592" t="s">
        <v>1276</v>
      </c>
      <c r="C985" s="634"/>
      <c r="D985" s="634"/>
      <c r="E985" s="634"/>
      <c r="F985" s="634"/>
      <c r="G985" s="634"/>
      <c r="H985" s="634"/>
      <c r="I985" s="680"/>
      <c r="J985" s="517"/>
    </row>
    <row r="986" spans="1:10">
      <c r="A986" s="4717"/>
      <c r="B986" s="633"/>
      <c r="C986" s="634"/>
      <c r="D986" s="634"/>
      <c r="E986" s="634"/>
      <c r="F986" s="634"/>
      <c r="G986" s="634"/>
      <c r="H986" s="634"/>
      <c r="I986" s="680"/>
      <c r="J986" s="517"/>
    </row>
    <row r="987" spans="1:10">
      <c r="A987" s="4717"/>
      <c r="B987" s="1591" t="s">
        <v>1266</v>
      </c>
      <c r="C987" s="634"/>
      <c r="D987" s="634"/>
      <c r="E987" s="634"/>
      <c r="F987" s="634"/>
      <c r="G987" s="634"/>
      <c r="H987" s="634"/>
      <c r="I987" s="680"/>
      <c r="J987" s="517"/>
    </row>
    <row r="988" spans="1:10">
      <c r="A988" s="4717"/>
      <c r="B988" s="5919" t="s">
        <v>998</v>
      </c>
      <c r="C988" s="5920"/>
      <c r="D988" s="5920"/>
      <c r="E988" s="5920"/>
      <c r="F988" s="5920"/>
      <c r="G988" s="5920"/>
      <c r="H988" s="5920"/>
      <c r="I988" s="5920"/>
      <c r="J988" s="5921"/>
    </row>
    <row r="989" spans="1:10">
      <c r="A989" s="4717"/>
      <c r="B989" s="633"/>
      <c r="C989" s="634"/>
      <c r="D989" s="634"/>
      <c r="E989" s="634"/>
      <c r="F989" s="634"/>
      <c r="G989" s="634"/>
      <c r="H989" s="634"/>
      <c r="I989" s="680"/>
      <c r="J989" s="517"/>
    </row>
    <row r="990" spans="1:10" ht="16.5" thickBot="1">
      <c r="A990" s="4717"/>
      <c r="B990" s="633"/>
      <c r="C990" s="634"/>
      <c r="D990" s="634"/>
      <c r="E990" s="634"/>
      <c r="F990" s="634"/>
      <c r="G990" s="634"/>
      <c r="H990" s="634"/>
      <c r="I990" s="680"/>
      <c r="J990" s="517"/>
    </row>
    <row r="991" spans="1:10" ht="21">
      <c r="A991" s="4717"/>
      <c r="B991" s="633"/>
      <c r="C991" s="1871" t="s">
        <v>70</v>
      </c>
      <c r="D991" s="5892" t="s">
        <v>1275</v>
      </c>
      <c r="E991" s="5893"/>
      <c r="F991" s="5893"/>
      <c r="G991" s="5893"/>
      <c r="H991" s="5893"/>
      <c r="I991" s="5894"/>
      <c r="J991" s="517"/>
    </row>
    <row r="992" spans="1:10">
      <c r="A992" s="4717"/>
      <c r="B992" s="633"/>
      <c r="C992" s="4752" t="str">
        <f>D991</f>
        <v>Température de la Base Perso</v>
      </c>
      <c r="D992" s="1483" t="str">
        <f>ADDRESS(ROW(),COLUMN(),4)</f>
        <v>D992</v>
      </c>
      <c r="E992" s="1484"/>
      <c r="F992" s="1590"/>
      <c r="G992" s="1590"/>
      <c r="H992" s="1589" t="str">
        <f ca="1">MID(CELL("filename",D992),SEARCH("[",CELL("filename",D992))+1,SEARCH("]",CELL("filename",D992))-SEARCH("[",CELL("filename",D992))-1)</f>
        <v>ff-22-formats-formules-pourcentages.xlsx</v>
      </c>
      <c r="I992" s="1226">
        <v>2</v>
      </c>
      <c r="J992" s="517"/>
    </row>
    <row r="993" spans="1:10">
      <c r="A993" s="4717"/>
      <c r="B993" s="633"/>
      <c r="C993" s="4752"/>
      <c r="D993" s="6000" t="s">
        <v>1274</v>
      </c>
      <c r="E993" s="5419"/>
      <c r="F993" s="634"/>
      <c r="G993" s="634"/>
      <c r="H993" s="634"/>
      <c r="I993" s="1572"/>
      <c r="J993" s="517"/>
    </row>
    <row r="994" spans="1:10">
      <c r="A994" s="4717"/>
      <c r="B994" s="633"/>
      <c r="C994" s="4752"/>
      <c r="D994" s="6000"/>
      <c r="E994" s="5419"/>
      <c r="F994" s="634"/>
      <c r="G994" s="634"/>
      <c r="H994" s="634"/>
      <c r="I994" s="1572"/>
      <c r="J994" s="517"/>
    </row>
    <row r="995" spans="1:10">
      <c r="A995" s="4717"/>
      <c r="B995" s="633"/>
      <c r="C995" s="4752"/>
      <c r="D995" s="6001">
        <v>23</v>
      </c>
      <c r="E995" s="6002"/>
      <c r="F995" s="634"/>
      <c r="G995" s="1403" t="s">
        <v>1273</v>
      </c>
      <c r="H995" s="1588">
        <v>21</v>
      </c>
      <c r="I995" s="1581">
        <f>D995</f>
        <v>23</v>
      </c>
      <c r="J995" s="517"/>
    </row>
    <row r="996" spans="1:10">
      <c r="A996" s="4717"/>
      <c r="B996" s="633"/>
      <c r="C996" s="4752"/>
      <c r="D996" s="6001"/>
      <c r="E996" s="6002"/>
      <c r="F996" s="634"/>
      <c r="G996" s="1182" t="s">
        <v>1272</v>
      </c>
      <c r="H996" s="1582">
        <f>IF(D995&gt;H995,D995-H995,H995-D995)</f>
        <v>2</v>
      </c>
      <c r="I996" s="1572"/>
      <c r="J996" s="517"/>
    </row>
    <row r="997" spans="1:10" ht="16.5" thickBot="1">
      <c r="A997" s="4717"/>
      <c r="B997" s="633"/>
      <c r="C997" s="4752"/>
      <c r="D997" s="6001"/>
      <c r="E997" s="6002"/>
      <c r="F997" s="634"/>
      <c r="G997" s="1182" t="s">
        <v>1271</v>
      </c>
      <c r="H997" s="1582">
        <f>H996*3</f>
        <v>6</v>
      </c>
      <c r="I997" s="1572"/>
      <c r="J997" s="517"/>
    </row>
    <row r="998" spans="1:10">
      <c r="A998" s="4717"/>
      <c r="B998" s="633"/>
      <c r="C998" s="4752"/>
      <c r="D998" s="6003" t="s">
        <v>1270</v>
      </c>
      <c r="E998" s="6004"/>
      <c r="F998" s="634"/>
      <c r="G998" s="1587" t="s">
        <v>1269</v>
      </c>
      <c r="H998" s="1586">
        <v>58</v>
      </c>
      <c r="I998" s="1581">
        <f>D1000</f>
        <v>64</v>
      </c>
      <c r="J998" s="517"/>
    </row>
    <row r="999" spans="1:10">
      <c r="A999" s="4717"/>
      <c r="B999" s="633"/>
      <c r="C999" s="4752"/>
      <c r="D999" s="6000"/>
      <c r="E999" s="6005"/>
      <c r="F999" s="634"/>
      <c r="G999" s="634"/>
      <c r="H999" s="634"/>
      <c r="I999" s="1572"/>
      <c r="J999" s="517"/>
    </row>
    <row r="1000" spans="1:10">
      <c r="A1000" s="4717"/>
      <c r="B1000" s="633"/>
      <c r="C1000" s="4752"/>
      <c r="D1000" s="6006">
        <f>H998+H997</f>
        <v>64</v>
      </c>
      <c r="E1000" s="6007"/>
      <c r="F1000" s="634"/>
      <c r="G1000" s="1583" t="s">
        <v>1268</v>
      </c>
      <c r="H1000" s="1586">
        <v>18</v>
      </c>
      <c r="I1000" s="1585">
        <v>18</v>
      </c>
      <c r="J1000" s="517"/>
    </row>
    <row r="1001" spans="1:10" ht="16.5" thickBot="1">
      <c r="A1001" s="4717"/>
      <c r="B1001" s="633"/>
      <c r="C1001" s="4752"/>
      <c r="D1001" s="6008"/>
      <c r="E1001" s="6009"/>
      <c r="F1001" s="634"/>
      <c r="G1001" s="1583" t="s">
        <v>1267</v>
      </c>
      <c r="H1001" s="1586">
        <v>18</v>
      </c>
      <c r="I1001" s="1585">
        <v>18</v>
      </c>
      <c r="J1001" s="517"/>
    </row>
    <row r="1002" spans="1:10">
      <c r="A1002" s="4717"/>
      <c r="B1002" s="633"/>
      <c r="C1002" s="4752"/>
      <c r="D1002" s="1584" t="s">
        <v>1266</v>
      </c>
      <c r="E1002" s="634"/>
      <c r="F1002" s="634"/>
      <c r="G1002" s="1583" t="s">
        <v>1265</v>
      </c>
      <c r="H1002" s="1582">
        <f>H998-(H1000+H1001)</f>
        <v>22</v>
      </c>
      <c r="I1002" s="1581">
        <f>I998-(I1000+I1001)</f>
        <v>28</v>
      </c>
      <c r="J1002" s="517"/>
    </row>
    <row r="1003" spans="1:10">
      <c r="A1003" s="4717"/>
      <c r="B1003" s="633"/>
      <c r="C1003" s="4752"/>
      <c r="D1003" s="6010" t="s">
        <v>998</v>
      </c>
      <c r="E1003" s="6011"/>
      <c r="F1003" s="6011"/>
      <c r="G1003" s="6011"/>
      <c r="H1003" s="6011"/>
      <c r="I1003" s="6012"/>
      <c r="J1003" s="517"/>
    </row>
    <row r="1004" spans="1:10">
      <c r="A1004" s="4717"/>
      <c r="B1004" s="633"/>
      <c r="C1004" s="4752"/>
      <c r="D1004" s="1580" t="s">
        <v>1048</v>
      </c>
      <c r="E1004" s="1267"/>
      <c r="F1004" s="1267"/>
      <c r="G1004" s="1267"/>
      <c r="H1004" s="1267"/>
      <c r="I1004" s="1578"/>
      <c r="J1004" s="517"/>
    </row>
    <row r="1005" spans="1:10">
      <c r="A1005" s="4717"/>
      <c r="B1005" s="633"/>
      <c r="C1005" s="4752"/>
      <c r="D1005" s="1579" t="s">
        <v>1264</v>
      </c>
      <c r="E1005" s="1267"/>
      <c r="F1005" s="1267"/>
      <c r="G1005" s="1267"/>
      <c r="H1005" s="1267"/>
      <c r="I1005" s="1578"/>
      <c r="J1005" s="517"/>
    </row>
    <row r="1006" spans="1:10">
      <c r="A1006" s="4717"/>
      <c r="B1006" s="633"/>
      <c r="C1006" s="4752"/>
      <c r="D1006" s="1577" t="s">
        <v>1263</v>
      </c>
      <c r="E1006" s="1576"/>
      <c r="F1006" s="1576"/>
      <c r="G1006" s="1576"/>
      <c r="H1006" s="1576"/>
      <c r="I1006" s="1575"/>
      <c r="J1006" s="517"/>
    </row>
    <row r="1007" spans="1:10">
      <c r="A1007" s="4717"/>
      <c r="B1007" s="633"/>
      <c r="C1007" s="4752"/>
      <c r="D1007" s="1280" t="s">
        <v>1186</v>
      </c>
      <c r="E1007" s="634"/>
      <c r="F1007" s="634"/>
      <c r="G1007" s="634"/>
      <c r="H1007" s="634"/>
      <c r="I1007" s="1572"/>
      <c r="J1007" s="517"/>
    </row>
    <row r="1008" spans="1:10">
      <c r="A1008" s="4717"/>
      <c r="B1008" s="633"/>
      <c r="C1008" s="4752"/>
      <c r="D1008" s="1574" t="s">
        <v>365</v>
      </c>
      <c r="E1008" s="1573" t="s">
        <v>1080</v>
      </c>
      <c r="F1008" s="1573"/>
      <c r="G1008" s="1573"/>
      <c r="H1008" s="634"/>
      <c r="I1008" s="1572"/>
      <c r="J1008" s="517"/>
    </row>
    <row r="1009" spans="1:10" ht="16.5" thickBot="1">
      <c r="A1009" s="4717"/>
      <c r="B1009" s="633"/>
      <c r="C1009" s="4752"/>
      <c r="D1009" s="1571" t="s">
        <v>1002</v>
      </c>
      <c r="E1009" s="1373"/>
      <c r="F1009" s="1373"/>
      <c r="G1009" s="580"/>
      <c r="H1009" s="580"/>
      <c r="I1009" s="1570"/>
      <c r="J1009" s="517"/>
    </row>
    <row r="1010" spans="1:10">
      <c r="A1010" s="4717"/>
      <c r="B1010" s="633"/>
      <c r="C1010" s="634"/>
      <c r="D1010" s="634"/>
      <c r="E1010" s="634"/>
      <c r="F1010" s="634"/>
      <c r="G1010" s="634"/>
      <c r="H1010" s="634"/>
      <c r="I1010" s="680"/>
      <c r="J1010" s="517"/>
    </row>
    <row r="1011" spans="1:10">
      <c r="A1011" s="4717"/>
      <c r="B1011" s="633"/>
      <c r="C1011" s="634"/>
      <c r="D1011" s="634"/>
      <c r="E1011" s="634"/>
      <c r="F1011" s="634"/>
      <c r="G1011" s="634"/>
      <c r="H1011" s="634"/>
      <c r="I1011" s="680"/>
      <c r="J1011" s="517"/>
    </row>
    <row r="1012" spans="1:10">
      <c r="A1012" s="4717"/>
      <c r="B1012" s="633"/>
      <c r="C1012" s="634"/>
      <c r="D1012" s="634"/>
      <c r="E1012" s="634"/>
      <c r="F1012" s="634"/>
      <c r="G1012" s="634"/>
      <c r="H1012" s="634"/>
      <c r="I1012" s="680"/>
      <c r="J1012" s="517"/>
    </row>
    <row r="1013" spans="1:10">
      <c r="A1013" s="4717"/>
      <c r="B1013" s="633" t="s">
        <v>1048</v>
      </c>
      <c r="C1013" s="634"/>
      <c r="D1013" s="634"/>
      <c r="E1013" s="634"/>
      <c r="F1013" s="634"/>
      <c r="G1013" s="634"/>
      <c r="H1013" s="634"/>
      <c r="I1013" s="680"/>
      <c r="J1013" s="517"/>
    </row>
    <row r="1014" spans="1:10">
      <c r="A1014" s="4717"/>
      <c r="B1014" s="656" t="s">
        <v>1264</v>
      </c>
      <c r="C1014" s="634"/>
      <c r="D1014" s="634"/>
      <c r="E1014" s="634"/>
      <c r="F1014" s="634"/>
      <c r="G1014" s="634"/>
      <c r="H1014" s="634"/>
      <c r="I1014" s="680"/>
      <c r="J1014" s="517"/>
    </row>
    <row r="1015" spans="1:10">
      <c r="A1015" s="4717"/>
      <c r="B1015" s="522" t="s">
        <v>1263</v>
      </c>
      <c r="C1015" s="634"/>
      <c r="D1015" s="634"/>
      <c r="E1015" s="634"/>
      <c r="F1015" s="634"/>
      <c r="G1015" s="634"/>
      <c r="H1015" s="634"/>
      <c r="I1015" s="680"/>
      <c r="J1015" s="517"/>
    </row>
    <row r="1016" spans="1:10">
      <c r="A1016" s="4717"/>
      <c r="B1016" s="633"/>
      <c r="C1016" s="634"/>
      <c r="D1016" s="634"/>
      <c r="E1016" s="634"/>
      <c r="F1016" s="634"/>
      <c r="G1016" s="634"/>
      <c r="H1016" s="634"/>
      <c r="I1016" s="680"/>
      <c r="J1016" s="517"/>
    </row>
    <row r="1017" spans="1:10">
      <c r="A1017" s="4717"/>
      <c r="B1017" s="1923" t="s">
        <v>1186</v>
      </c>
      <c r="C1017" s="1568"/>
      <c r="D1017" s="1568"/>
      <c r="E1017" s="1568"/>
      <c r="F1017" s="1568"/>
      <c r="G1017" s="1568"/>
      <c r="H1017" s="1568"/>
      <c r="I1017" s="1568"/>
      <c r="J1017" s="1377"/>
    </row>
    <row r="1018" spans="1:10" ht="21">
      <c r="A1018" s="4717"/>
      <c r="B1018" s="1452" t="s">
        <v>365</v>
      </c>
      <c r="C1018" s="1565" t="s">
        <v>1080</v>
      </c>
      <c r="D1018" s="634"/>
      <c r="E1018" s="634"/>
      <c r="F1018" s="634"/>
      <c r="G1018" s="634"/>
      <c r="H1018" s="634"/>
      <c r="I1018" s="680"/>
      <c r="J1018" s="517"/>
    </row>
    <row r="1019" spans="1:10" ht="18.75">
      <c r="A1019" s="4717"/>
      <c r="B1019" s="1566"/>
      <c r="C1019" s="1422"/>
      <c r="D1019" s="1422"/>
      <c r="E1019" s="1422"/>
      <c r="F1019" s="1422"/>
      <c r="G1019" s="1422"/>
      <c r="H1019" s="1422"/>
      <c r="I1019" s="1422"/>
      <c r="J1019" s="1562"/>
    </row>
    <row r="1020" spans="1:10" ht="21">
      <c r="A1020" s="4717"/>
      <c r="B1020" s="1452" t="s">
        <v>365</v>
      </c>
      <c r="C1020" s="1565" t="s">
        <v>1262</v>
      </c>
      <c r="D1020" s="1567"/>
      <c r="E1020" s="1422"/>
      <c r="F1020" s="1422"/>
      <c r="G1020" s="1422"/>
      <c r="H1020" s="1422"/>
      <c r="I1020" s="1422"/>
      <c r="J1020" s="1562"/>
    </row>
    <row r="1021" spans="1:10" ht="18.75">
      <c r="A1021" s="4717"/>
      <c r="B1021" s="1566"/>
      <c r="C1021" s="1422"/>
      <c r="D1021" s="1422"/>
      <c r="E1021" s="1422"/>
      <c r="F1021" s="1422"/>
      <c r="G1021" s="1422"/>
      <c r="H1021" s="1422"/>
      <c r="I1021" s="1422"/>
      <c r="J1021" s="1562"/>
    </row>
    <row r="1022" spans="1:10" ht="21">
      <c r="A1022" s="4717"/>
      <c r="B1022" s="1452" t="s">
        <v>365</v>
      </c>
      <c r="C1022" s="1565" t="s">
        <v>1261</v>
      </c>
      <c r="D1022" s="1564"/>
      <c r="E1022" s="1563"/>
      <c r="F1022" s="1565" t="s">
        <v>1260</v>
      </c>
      <c r="G1022" s="1564"/>
      <c r="H1022" s="1563"/>
      <c r="I1022" s="1422"/>
      <c r="J1022" s="1562"/>
    </row>
    <row r="1023" spans="1:10" ht="18.75">
      <c r="A1023" s="4717"/>
      <c r="B1023" s="1566"/>
      <c r="C1023" s="1422"/>
      <c r="D1023" s="1422"/>
      <c r="E1023" s="1422"/>
      <c r="F1023" s="1422"/>
      <c r="G1023" s="1422"/>
      <c r="H1023" s="1422"/>
      <c r="I1023" s="1422"/>
      <c r="J1023" s="1562"/>
    </row>
    <row r="1024" spans="1:10" ht="21">
      <c r="A1024" s="4717"/>
      <c r="B1024" s="1452" t="s">
        <v>365</v>
      </c>
      <c r="C1024" s="1565" t="s">
        <v>1259</v>
      </c>
      <c r="D1024" s="1564"/>
      <c r="E1024" s="1563"/>
      <c r="F1024" s="1565" t="s">
        <v>1258</v>
      </c>
      <c r="G1024" s="1564"/>
      <c r="H1024" s="1563"/>
      <c r="I1024" s="1422"/>
      <c r="J1024" s="1562"/>
    </row>
    <row r="1025" spans="1:10">
      <c r="A1025" s="4717"/>
      <c r="B1025" s="633"/>
      <c r="C1025" s="634"/>
      <c r="D1025" s="634"/>
      <c r="E1025" s="634"/>
      <c r="F1025" s="634"/>
      <c r="G1025" s="634"/>
      <c r="H1025" s="634"/>
      <c r="I1025" s="634"/>
      <c r="J1025" s="517"/>
    </row>
    <row r="1026" spans="1:10" ht="16.5" thickBot="1">
      <c r="A1026" s="4717"/>
      <c r="B1026" s="1482" t="s">
        <v>1002</v>
      </c>
      <c r="C1026" s="1276"/>
      <c r="D1026" s="1276"/>
      <c r="E1026" s="1276"/>
      <c r="F1026" s="1276"/>
      <c r="G1026" s="1276"/>
      <c r="H1026" s="1276"/>
      <c r="I1026" s="1276"/>
      <c r="J1026" s="581"/>
    </row>
  </sheetData>
  <mergeCells count="283">
    <mergeCell ref="T354:T357"/>
    <mergeCell ref="U354:V355"/>
    <mergeCell ref="Q344:R345"/>
    <mergeCell ref="T344:T347"/>
    <mergeCell ref="U344:V345"/>
    <mergeCell ref="X344:Y345"/>
    <mergeCell ref="H346:H347"/>
    <mergeCell ref="K346:K347"/>
    <mergeCell ref="O346:O347"/>
    <mergeCell ref="V346:V347"/>
    <mergeCell ref="U349:V350"/>
    <mergeCell ref="X335:Y336"/>
    <mergeCell ref="J337:K337"/>
    <mergeCell ref="Q337:R337"/>
    <mergeCell ref="X337:Y337"/>
    <mergeCell ref="U339:V340"/>
    <mergeCell ref="X339:Y340"/>
    <mergeCell ref="V341:V342"/>
    <mergeCell ref="Y341:Y342"/>
    <mergeCell ref="C344:E347"/>
    <mergeCell ref="F344:F347"/>
    <mergeCell ref="G344:H345"/>
    <mergeCell ref="C349:E352"/>
    <mergeCell ref="F349:F352"/>
    <mergeCell ref="G349:H350"/>
    <mergeCell ref="M349:M352"/>
    <mergeCell ref="N349:O350"/>
    <mergeCell ref="T349:T352"/>
    <mergeCell ref="F339:F342"/>
    <mergeCell ref="G339:H340"/>
    <mergeCell ref="J339:K340"/>
    <mergeCell ref="M339:M342"/>
    <mergeCell ref="N339:O340"/>
    <mergeCell ref="Q339:R340"/>
    <mergeCell ref="T339:T342"/>
    <mergeCell ref="H341:H342"/>
    <mergeCell ref="K341:K342"/>
    <mergeCell ref="O341:O342"/>
    <mergeCell ref="R341:R342"/>
    <mergeCell ref="A326:A357"/>
    <mergeCell ref="B327:F328"/>
    <mergeCell ref="G327:K327"/>
    <mergeCell ref="N327:R327"/>
    <mergeCell ref="U327:Y327"/>
    <mergeCell ref="G328:K328"/>
    <mergeCell ref="N328:R328"/>
    <mergeCell ref="U328:Y328"/>
    <mergeCell ref="B329:B337"/>
    <mergeCell ref="C329:E330"/>
    <mergeCell ref="F329:F330"/>
    <mergeCell ref="G329:K329"/>
    <mergeCell ref="M329:M330"/>
    <mergeCell ref="N329:R329"/>
    <mergeCell ref="T329:T330"/>
    <mergeCell ref="U329:Y329"/>
    <mergeCell ref="G330:K330"/>
    <mergeCell ref="N330:R330"/>
    <mergeCell ref="U330:Y330"/>
    <mergeCell ref="C332:E333"/>
    <mergeCell ref="F332:F333"/>
    <mergeCell ref="G332:K332"/>
    <mergeCell ref="M332:M333"/>
    <mergeCell ref="N332:R332"/>
    <mergeCell ref="B745:B756"/>
    <mergeCell ref="C840:C842"/>
    <mergeCell ref="C843:C847"/>
    <mergeCell ref="D746:F746"/>
    <mergeCell ref="D747:F747"/>
    <mergeCell ref="D748:F748"/>
    <mergeCell ref="D749:F749"/>
    <mergeCell ref="D750:F750"/>
    <mergeCell ref="D774:F774"/>
    <mergeCell ref="D845:F845"/>
    <mergeCell ref="D846:F846"/>
    <mergeCell ref="D847:F847"/>
    <mergeCell ref="B839:B851"/>
    <mergeCell ref="D840:F840"/>
    <mergeCell ref="D841:F841"/>
    <mergeCell ref="D842:F842"/>
    <mergeCell ref="D843:F843"/>
    <mergeCell ref="D844:F844"/>
    <mergeCell ref="C746:C748"/>
    <mergeCell ref="C749:C751"/>
    <mergeCell ref="C772:C773"/>
    <mergeCell ref="C774:C777"/>
    <mergeCell ref="C770:L770"/>
    <mergeCell ref="C2:Q3"/>
    <mergeCell ref="D775:F775"/>
    <mergeCell ref="D776:F776"/>
    <mergeCell ref="D777:F777"/>
    <mergeCell ref="D778:G778"/>
    <mergeCell ref="D751:F751"/>
    <mergeCell ref="D752:F752"/>
    <mergeCell ref="D772:F772"/>
    <mergeCell ref="D773:F773"/>
    <mergeCell ref="E706:F707"/>
    <mergeCell ref="K68:M68"/>
    <mergeCell ref="K61:M61"/>
    <mergeCell ref="F60:F61"/>
    <mergeCell ref="G60:G61"/>
    <mergeCell ref="C18:Q19"/>
    <mergeCell ref="C7:F7"/>
    <mergeCell ref="F73:F74"/>
    <mergeCell ref="G73:G74"/>
    <mergeCell ref="B95:Q95"/>
    <mergeCell ref="C280:F280"/>
    <mergeCell ref="C206:E206"/>
    <mergeCell ref="B284:J284"/>
    <mergeCell ref="B85:Q85"/>
    <mergeCell ref="B771:B782"/>
    <mergeCell ref="B620:B650"/>
    <mergeCell ref="C652:K652"/>
    <mergeCell ref="C619:K619"/>
    <mergeCell ref="C694:K694"/>
    <mergeCell ref="D686:D687"/>
    <mergeCell ref="H686:I687"/>
    <mergeCell ref="D676:D677"/>
    <mergeCell ref="F676:F677"/>
    <mergeCell ref="C5:F5"/>
    <mergeCell ref="B325:Y325"/>
    <mergeCell ref="T332:T333"/>
    <mergeCell ref="U332:Y332"/>
    <mergeCell ref="G333:H333"/>
    <mergeCell ref="J333:K333"/>
    <mergeCell ref="N333:O333"/>
    <mergeCell ref="Q333:R333"/>
    <mergeCell ref="U333:V333"/>
    <mergeCell ref="X333:Y333"/>
    <mergeCell ref="C335:E337"/>
    <mergeCell ref="F335:F337"/>
    <mergeCell ref="J335:K336"/>
    <mergeCell ref="M335:M337"/>
    <mergeCell ref="Q335:R336"/>
    <mergeCell ref="T335:T337"/>
    <mergeCell ref="B653:B732"/>
    <mergeCell ref="E657:H658"/>
    <mergeCell ref="I657:J658"/>
    <mergeCell ref="E697:J697"/>
    <mergeCell ref="D698:D715"/>
    <mergeCell ref="D684:D685"/>
    <mergeCell ref="F684:F685"/>
    <mergeCell ref="H685:I685"/>
    <mergeCell ref="E699:F700"/>
    <mergeCell ref="E701:F703"/>
    <mergeCell ref="E704:F705"/>
    <mergeCell ref="S60:S61"/>
    <mergeCell ref="T60:T61"/>
    <mergeCell ref="S73:S74"/>
    <mergeCell ref="T73:T74"/>
    <mergeCell ref="O61:Q61"/>
    <mergeCell ref="O68:Q68"/>
    <mergeCell ref="T67:T68"/>
    <mergeCell ref="B37:U37"/>
    <mergeCell ref="A39:A83"/>
    <mergeCell ref="C82:F82"/>
    <mergeCell ref="B77:U77"/>
    <mergeCell ref="O74:Q74"/>
    <mergeCell ref="O75:Q75"/>
    <mergeCell ref="O62:Q62"/>
    <mergeCell ref="K74:M74"/>
    <mergeCell ref="O69:Q69"/>
    <mergeCell ref="S67:S68"/>
    <mergeCell ref="B48:I49"/>
    <mergeCell ref="K48:U49"/>
    <mergeCell ref="A285:A309"/>
    <mergeCell ref="B293:J293"/>
    <mergeCell ref="A108:A281"/>
    <mergeCell ref="A86:A101"/>
    <mergeCell ref="C175:D175"/>
    <mergeCell ref="C176:D176"/>
    <mergeCell ref="C183:E183"/>
    <mergeCell ref="C209:M209"/>
    <mergeCell ref="C211:D211"/>
    <mergeCell ref="F91:F92"/>
    <mergeCell ref="G91:G92"/>
    <mergeCell ref="H91:H92"/>
    <mergeCell ref="L92:N92"/>
    <mergeCell ref="B106:N106"/>
    <mergeCell ref="C164:G164"/>
    <mergeCell ref="C159:D159"/>
    <mergeCell ref="C158:D158"/>
    <mergeCell ref="C156:M156"/>
    <mergeCell ref="C173:M173"/>
    <mergeCell ref="C245:G245"/>
    <mergeCell ref="C261:M261"/>
    <mergeCell ref="C270:G270"/>
    <mergeCell ref="C212:D212"/>
    <mergeCell ref="C232:G232"/>
    <mergeCell ref="C219:G219"/>
    <mergeCell ref="C222:M222"/>
    <mergeCell ref="C224:D224"/>
    <mergeCell ref="C225:D225"/>
    <mergeCell ref="B359:N359"/>
    <mergeCell ref="C389:M389"/>
    <mergeCell ref="C398:M398"/>
    <mergeCell ref="C403:E403"/>
    <mergeCell ref="C248:M248"/>
    <mergeCell ref="C257:G257"/>
    <mergeCell ref="B275:N275"/>
    <mergeCell ref="F385:F386"/>
    <mergeCell ref="G385:G386"/>
    <mergeCell ref="H385:J386"/>
    <mergeCell ref="J344:K345"/>
    <mergeCell ref="M344:M347"/>
    <mergeCell ref="N344:O345"/>
    <mergeCell ref="C354:E357"/>
    <mergeCell ref="F354:F357"/>
    <mergeCell ref="G354:H355"/>
    <mergeCell ref="M354:M357"/>
    <mergeCell ref="N354:O355"/>
    <mergeCell ref="B339:B357"/>
    <mergeCell ref="C339:E342"/>
    <mergeCell ref="C451:E451"/>
    <mergeCell ref="B456:N456"/>
    <mergeCell ref="A360:A462"/>
    <mergeCell ref="C385:E385"/>
    <mergeCell ref="C465:I465"/>
    <mergeCell ref="D532:D533"/>
    <mergeCell ref="E532:E533"/>
    <mergeCell ref="F532:H533"/>
    <mergeCell ref="I532:J533"/>
    <mergeCell ref="C418:M418"/>
    <mergeCell ref="C461:F461"/>
    <mergeCell ref="B466:B493"/>
    <mergeCell ref="E483:F483"/>
    <mergeCell ref="A312:A323"/>
    <mergeCell ref="B313:B315"/>
    <mergeCell ref="C313:E313"/>
    <mergeCell ref="C314:E314"/>
    <mergeCell ref="C315:E315"/>
    <mergeCell ref="B316:B318"/>
    <mergeCell ref="C316:E316"/>
    <mergeCell ref="C317:E317"/>
    <mergeCell ref="C318:E318"/>
    <mergeCell ref="C319:E319"/>
    <mergeCell ref="E978:E979"/>
    <mergeCell ref="G979:H979"/>
    <mergeCell ref="C980:C981"/>
    <mergeCell ref="G980:H981"/>
    <mergeCell ref="B988:J988"/>
    <mergeCell ref="D991:I991"/>
    <mergeCell ref="Q52:U52"/>
    <mergeCell ref="M284:R284"/>
    <mergeCell ref="L285:L297"/>
    <mergeCell ref="M286:M288"/>
    <mergeCell ref="N286:O286"/>
    <mergeCell ref="N287:O287"/>
    <mergeCell ref="N288:O288"/>
    <mergeCell ref="M289:M293"/>
    <mergeCell ref="N289:O289"/>
    <mergeCell ref="N290:O290"/>
    <mergeCell ref="N291:O291"/>
    <mergeCell ref="N292:O292"/>
    <mergeCell ref="N293:O293"/>
    <mergeCell ref="B311:H311"/>
    <mergeCell ref="C423:E423"/>
    <mergeCell ref="E709:J709"/>
    <mergeCell ref="C438:M438"/>
    <mergeCell ref="C446:M446"/>
    <mergeCell ref="C992:C1009"/>
    <mergeCell ref="D993:E994"/>
    <mergeCell ref="D995:E997"/>
    <mergeCell ref="D998:E999"/>
    <mergeCell ref="D1000:E1001"/>
    <mergeCell ref="D1003:I1003"/>
    <mergeCell ref="B946:J946"/>
    <mergeCell ref="A947:A1026"/>
    <mergeCell ref="B949:J949"/>
    <mergeCell ref="D951:G952"/>
    <mergeCell ref="H951:I952"/>
    <mergeCell ref="B953:J953"/>
    <mergeCell ref="B954:J954"/>
    <mergeCell ref="B955:J955"/>
    <mergeCell ref="B956:J956"/>
    <mergeCell ref="B963:J963"/>
    <mergeCell ref="B964:J964"/>
    <mergeCell ref="B965:J965"/>
    <mergeCell ref="B966:J966"/>
    <mergeCell ref="B968:J968"/>
    <mergeCell ref="C970:C971"/>
    <mergeCell ref="E970:E971"/>
    <mergeCell ref="B976:J976"/>
    <mergeCell ref="C978:C979"/>
  </mergeCells>
  <conditionalFormatting sqref="B18">
    <cfRule type="expression" dxfId="39" priority="2" stopIfTrue="1">
      <formula>OR(ROW()=CELL("ligne"),COLUMN()=CELL("colonne"))</formula>
    </cfRule>
  </conditionalFormatting>
  <conditionalFormatting sqref="A325:A326">
    <cfRule type="expression" dxfId="38" priority="1" stopIfTrue="1">
      <formula>OR(ROW()=CELL("ligne"),COLUMN()=CELL("colonne"))</formula>
    </cfRule>
  </conditionalFormatting>
  <hyperlinks>
    <hyperlink ref="C5" r:id="rId1" display="http://www.franck-barbenoire.fr/" xr:uid="{00000000-0004-0000-0C00-000000000000}"/>
    <hyperlink ref="C7" r:id="rId2" xr:uid="{00000000-0004-0000-0C00-000001000000}"/>
    <hyperlink ref="C82" r:id="rId3" xr:uid="{00000000-0004-0000-0C00-000002000000}"/>
    <hyperlink ref="C308" r:id="rId4" xr:uid="{00000000-0004-0000-0C00-000003000000}"/>
    <hyperlink ref="C280" r:id="rId5" xr:uid="{00000000-0004-0000-0C00-000004000000}"/>
    <hyperlink ref="C100" r:id="rId6" xr:uid="{00000000-0004-0000-0C00-000005000000}"/>
    <hyperlink ref="C737" r:id="rId7" display="http://www.franck-barbenoire.fr/extras/pate-imposee.ods" xr:uid="{00000000-0004-0000-0C00-000006000000}"/>
    <hyperlink ref="C761" r:id="rId8" display="http://www.franck-barbenoire.fr/extras/pate-imposee-iteratif.ods" xr:uid="{00000000-0004-0000-0C00-000007000000}"/>
    <hyperlink ref="C830" r:id="rId9" display="http://www.franck-barbenoire.fr/extras/levain-impose.ods" xr:uid="{00000000-0004-0000-0C00-000008000000}"/>
    <hyperlink ref="C922" r:id="rId10" display="http://www.franck-barbenoire.fr/posts/2017/02/08/formulaires-boulangerie/" xr:uid="{00000000-0004-0000-0C00-000009000000}"/>
    <hyperlink ref="C924" r:id="rId11" display="https://github.com/franckinux/formulaires_boulangerie" xr:uid="{00000000-0004-0000-0C00-00000A000000}"/>
    <hyperlink ref="D755" r:id="rId12" xr:uid="{00000000-0004-0000-0C00-00000B000000}"/>
    <hyperlink ref="D754" r:id="rId13" xr:uid="{00000000-0004-0000-0C00-00000C000000}"/>
    <hyperlink ref="D781" r:id="rId14" xr:uid="{00000000-0004-0000-0C00-00000D000000}"/>
    <hyperlink ref="D780" r:id="rId15" xr:uid="{00000000-0004-0000-0C00-00000E000000}"/>
    <hyperlink ref="D850" r:id="rId16" xr:uid="{00000000-0004-0000-0C00-00000F000000}"/>
    <hyperlink ref="D849" r:id="rId17" xr:uid="{00000000-0004-0000-0C00-000010000000}"/>
    <hyperlink ref="D492" r:id="rId18" xr:uid="{00000000-0004-0000-0C00-000011000000}"/>
    <hyperlink ref="D726" r:id="rId19" xr:uid="{00000000-0004-0000-0C00-000012000000}"/>
    <hyperlink ref="D728" r:id="rId20" xr:uid="{00000000-0004-0000-0C00-000013000000}"/>
    <hyperlink ref="G728" r:id="rId21" xr:uid="{00000000-0004-0000-0C00-000014000000}"/>
    <hyperlink ref="D730" r:id="rId22" xr:uid="{00000000-0004-0000-0C00-000015000000}"/>
    <hyperlink ref="G730" r:id="rId23" xr:uid="{00000000-0004-0000-0C00-000016000000}"/>
    <hyperlink ref="F714" r:id="rId24" xr:uid="{00000000-0004-0000-0C00-000017000000}"/>
    <hyperlink ref="D724" r:id="rId25" xr:uid="{00000000-0004-0000-0C00-000018000000}"/>
    <hyperlink ref="D645" r:id="rId26" xr:uid="{00000000-0004-0000-0C00-000019000000}"/>
    <hyperlink ref="D647" r:id="rId27" xr:uid="{00000000-0004-0000-0C00-00001A000000}"/>
    <hyperlink ref="G647" r:id="rId28" xr:uid="{00000000-0004-0000-0C00-00001B000000}"/>
    <hyperlink ref="D649" r:id="rId29" xr:uid="{00000000-0004-0000-0C00-00001C000000}"/>
    <hyperlink ref="G649" r:id="rId30" xr:uid="{00000000-0004-0000-0C00-00001D000000}"/>
    <hyperlink ref="C461" r:id="rId31" xr:uid="{00000000-0004-0000-0C00-00001E000000}"/>
    <hyperlink ref="N296" r:id="rId32" xr:uid="{00000000-0004-0000-0C00-00001F000000}"/>
    <hyperlink ref="N295" r:id="rId33" xr:uid="{00000000-0004-0000-0C00-000020000000}"/>
    <hyperlink ref="C322" r:id="rId34" xr:uid="{00000000-0004-0000-0C00-000021000000}"/>
    <hyperlink ref="C321" r:id="rId35" xr:uid="{00000000-0004-0000-0C00-000022000000}"/>
    <hyperlink ref="C1020" r:id="rId36" xr:uid="{00000000-0004-0000-0C00-000023000000}"/>
    <hyperlink ref="C1022" r:id="rId37" xr:uid="{00000000-0004-0000-0C00-000024000000}"/>
    <hyperlink ref="F1022" r:id="rId38" xr:uid="{00000000-0004-0000-0C00-000025000000}"/>
    <hyperlink ref="C1024" r:id="rId39" xr:uid="{00000000-0004-0000-0C00-000026000000}"/>
    <hyperlink ref="F1024" r:id="rId40" xr:uid="{00000000-0004-0000-0C00-000027000000}"/>
    <hyperlink ref="E1008" r:id="rId41" xr:uid="{00000000-0004-0000-0C00-000028000000}"/>
    <hyperlink ref="C1018" r:id="rId42" xr:uid="{00000000-0004-0000-0C00-000029000000}"/>
  </hyperlinks>
  <pageMargins left="0.7" right="0.7" top="0.75" bottom="0.75" header="0.3" footer="0.3"/>
  <pageSetup paperSize="9" orientation="portrait" r:id="rId43"/>
  <drawing r:id="rId4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XJ234"/>
  <sheetViews>
    <sheetView zoomScaleNormal="100" workbookViewId="0">
      <selection activeCell="Q54" sqref="Q54:T54"/>
    </sheetView>
  </sheetViews>
  <sheetFormatPr baseColWidth="10" defaultRowHeight="15.75"/>
  <cols>
    <col min="1" max="1" width="4.625" customWidth="1"/>
  </cols>
  <sheetData>
    <row r="2" spans="1:1310" s="466" customFormat="1" ht="23.25" customHeight="1">
      <c r="A2" s="1172"/>
      <c r="B2" s="6269" t="s">
        <v>2444</v>
      </c>
      <c r="C2" s="6269"/>
      <c r="D2" s="6269"/>
      <c r="E2" s="6269"/>
      <c r="F2" s="6269"/>
      <c r="G2" s="6269"/>
      <c r="H2" s="6269"/>
      <c r="I2" s="6269"/>
      <c r="J2" s="6269"/>
      <c r="K2" s="6269"/>
      <c r="L2" s="6269"/>
      <c r="M2" s="6269"/>
      <c r="N2" s="6269"/>
      <c r="O2" s="6269"/>
      <c r="P2" s="6269"/>
      <c r="Q2" s="6269"/>
      <c r="R2" s="6269"/>
      <c r="S2" s="6269"/>
      <c r="T2" s="6269"/>
      <c r="U2" s="1"/>
      <c r="V2" s="1"/>
      <c r="W2" s="1"/>
      <c r="X2" s="1"/>
      <c r="Y2" s="443"/>
      <c r="Z2" s="443"/>
      <c r="AA2" s="443"/>
      <c r="AB2" s="443"/>
      <c r="AC2" s="443"/>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c r="UJ2" s="467"/>
      <c r="UK2" s="467"/>
      <c r="UL2" s="467"/>
      <c r="UM2" s="467"/>
      <c r="UN2" s="467"/>
      <c r="UO2" s="467"/>
      <c r="UP2" s="467"/>
      <c r="UQ2" s="467"/>
      <c r="UR2" s="467"/>
      <c r="US2" s="467"/>
      <c r="UT2" s="467"/>
      <c r="UU2" s="467"/>
      <c r="UV2" s="467"/>
      <c r="UW2" s="467"/>
      <c r="UX2" s="467"/>
      <c r="UY2" s="467"/>
      <c r="UZ2" s="467"/>
      <c r="VA2" s="467"/>
      <c r="VB2" s="467"/>
      <c r="VC2" s="467"/>
      <c r="VD2" s="467"/>
      <c r="VE2" s="467"/>
      <c r="VF2" s="467"/>
      <c r="VG2" s="467"/>
      <c r="VH2" s="467"/>
      <c r="VI2" s="467"/>
      <c r="VJ2" s="467"/>
      <c r="VK2" s="467"/>
      <c r="VL2" s="467"/>
      <c r="VM2" s="467"/>
      <c r="VN2" s="467"/>
      <c r="VO2" s="467"/>
      <c r="VP2" s="467"/>
      <c r="VQ2" s="467"/>
      <c r="VR2" s="467"/>
      <c r="VS2" s="467"/>
      <c r="VT2" s="467"/>
      <c r="VU2" s="467"/>
      <c r="VV2" s="467"/>
      <c r="VW2" s="467"/>
      <c r="VX2" s="467"/>
      <c r="VY2" s="467"/>
      <c r="VZ2" s="467"/>
      <c r="WA2" s="467"/>
      <c r="WB2" s="467"/>
      <c r="WC2" s="467"/>
      <c r="WD2" s="467"/>
      <c r="WE2" s="467"/>
      <c r="WF2" s="467"/>
      <c r="WG2" s="467"/>
      <c r="WH2" s="467"/>
      <c r="WI2" s="467"/>
      <c r="WJ2" s="467"/>
      <c r="WK2" s="467"/>
      <c r="WL2" s="467"/>
      <c r="WM2" s="467"/>
      <c r="WN2" s="467"/>
      <c r="WO2" s="467"/>
      <c r="WP2" s="467"/>
      <c r="WQ2" s="467"/>
      <c r="WR2" s="467"/>
      <c r="WS2" s="467"/>
      <c r="WT2" s="467"/>
      <c r="WU2" s="467"/>
      <c r="WV2" s="467"/>
      <c r="WW2" s="467"/>
      <c r="WX2" s="467"/>
      <c r="WY2" s="467"/>
      <c r="WZ2" s="467"/>
      <c r="XA2" s="467"/>
      <c r="XB2" s="467"/>
      <c r="XC2" s="467"/>
      <c r="XD2" s="467"/>
      <c r="XE2" s="467"/>
      <c r="XF2" s="467"/>
      <c r="XG2" s="467"/>
      <c r="XH2" s="467"/>
      <c r="XI2" s="467"/>
      <c r="XJ2" s="467"/>
      <c r="XK2" s="467"/>
      <c r="XL2" s="467"/>
      <c r="XM2" s="467"/>
      <c r="XN2" s="467"/>
      <c r="XO2" s="467"/>
      <c r="XP2" s="467"/>
      <c r="XQ2" s="467"/>
      <c r="XR2" s="467"/>
      <c r="XS2" s="467"/>
      <c r="XT2" s="467"/>
      <c r="XU2" s="467"/>
      <c r="XV2" s="467"/>
      <c r="XW2" s="467"/>
      <c r="XX2" s="467"/>
      <c r="XY2" s="467"/>
      <c r="XZ2" s="467"/>
      <c r="YA2" s="467"/>
      <c r="YB2" s="467"/>
      <c r="YC2" s="467"/>
      <c r="YD2" s="467"/>
      <c r="YE2" s="467"/>
      <c r="YF2" s="467"/>
      <c r="YG2" s="467"/>
      <c r="YH2" s="467"/>
      <c r="YI2" s="467"/>
      <c r="YJ2" s="467"/>
      <c r="YK2" s="467"/>
      <c r="YL2" s="467"/>
      <c r="YM2" s="467"/>
      <c r="YN2" s="467"/>
      <c r="YO2" s="467"/>
      <c r="YP2" s="467"/>
      <c r="YQ2" s="467"/>
      <c r="YR2" s="467"/>
      <c r="YS2" s="467"/>
      <c r="YT2" s="467"/>
      <c r="YU2" s="467"/>
      <c r="YV2" s="467"/>
      <c r="YW2" s="467"/>
      <c r="YX2" s="467"/>
      <c r="YY2" s="467"/>
      <c r="YZ2" s="467"/>
      <c r="ZA2" s="467"/>
      <c r="ZB2" s="467"/>
      <c r="ZC2" s="467"/>
      <c r="ZD2" s="467"/>
      <c r="ZE2" s="467"/>
      <c r="ZF2" s="467"/>
      <c r="ZG2" s="467"/>
      <c r="ZH2" s="467"/>
      <c r="ZI2" s="467"/>
      <c r="ZJ2" s="467"/>
      <c r="ZK2" s="467"/>
      <c r="ZL2" s="467"/>
      <c r="ZM2" s="467"/>
      <c r="ZN2" s="467"/>
      <c r="ZO2" s="467"/>
      <c r="ZP2" s="467"/>
      <c r="ZQ2" s="467"/>
      <c r="ZR2" s="467"/>
      <c r="ZS2" s="467"/>
      <c r="ZT2" s="467"/>
      <c r="ZU2" s="467"/>
      <c r="ZV2" s="467"/>
      <c r="ZW2" s="467"/>
      <c r="ZX2" s="467"/>
      <c r="ZY2" s="467"/>
      <c r="ZZ2" s="467"/>
      <c r="AAA2" s="467"/>
      <c r="AAB2" s="467"/>
      <c r="AAC2" s="467"/>
      <c r="AAD2" s="467"/>
      <c r="AAE2" s="467"/>
      <c r="AAF2" s="467"/>
      <c r="AAG2" s="467"/>
      <c r="AAH2" s="467"/>
      <c r="AAI2" s="467"/>
      <c r="AAJ2" s="467"/>
      <c r="AAK2" s="467"/>
      <c r="AAL2" s="467"/>
      <c r="AAM2" s="467"/>
      <c r="AAN2" s="467"/>
      <c r="AAO2" s="467"/>
      <c r="AAP2" s="467"/>
      <c r="AAQ2" s="467"/>
      <c r="AAR2" s="467"/>
      <c r="AAS2" s="467"/>
      <c r="AAT2" s="467"/>
      <c r="AAU2" s="467"/>
      <c r="AAV2" s="467"/>
      <c r="AAW2" s="467"/>
      <c r="AAX2" s="467"/>
      <c r="AAY2" s="467"/>
      <c r="AAZ2" s="467"/>
      <c r="ABA2" s="467"/>
      <c r="ABB2" s="467"/>
      <c r="ABC2" s="467"/>
      <c r="ABD2" s="467"/>
      <c r="ABE2" s="467"/>
      <c r="ABF2" s="467"/>
      <c r="ABG2" s="467"/>
      <c r="ABH2" s="467"/>
      <c r="ABI2" s="467"/>
      <c r="ABJ2" s="467"/>
      <c r="ABK2" s="467"/>
      <c r="ABL2" s="467"/>
      <c r="ABM2" s="467"/>
      <c r="ABN2" s="467"/>
      <c r="ABO2" s="467"/>
      <c r="ABP2" s="467"/>
      <c r="ABQ2" s="467"/>
      <c r="ABR2" s="467"/>
      <c r="ABS2" s="467"/>
      <c r="ABT2" s="467"/>
      <c r="ABU2" s="467"/>
      <c r="ABV2" s="467"/>
      <c r="ABW2" s="467"/>
      <c r="ABX2" s="467"/>
      <c r="ABY2" s="467"/>
      <c r="ABZ2" s="467"/>
      <c r="ACA2" s="467"/>
      <c r="ACB2" s="467"/>
      <c r="ACC2" s="467"/>
      <c r="ACD2" s="467"/>
      <c r="ACE2" s="467"/>
      <c r="ACF2" s="467"/>
      <c r="ACG2" s="467"/>
      <c r="ACH2" s="467"/>
      <c r="ACI2" s="467"/>
      <c r="ACJ2" s="467"/>
      <c r="ACK2" s="467"/>
      <c r="ACL2" s="467"/>
      <c r="ACM2" s="467"/>
      <c r="ACN2" s="467"/>
      <c r="ACO2" s="467"/>
      <c r="ACP2" s="467"/>
      <c r="ACQ2" s="467"/>
      <c r="ACR2" s="467"/>
      <c r="ACS2" s="467"/>
      <c r="ACT2" s="467"/>
      <c r="ACU2" s="467"/>
      <c r="ACV2" s="467"/>
      <c r="ACW2" s="467"/>
      <c r="ACX2" s="467"/>
      <c r="ACY2" s="467"/>
      <c r="ACZ2" s="467"/>
      <c r="ADA2" s="467"/>
      <c r="ADB2" s="467"/>
      <c r="ADC2" s="467"/>
      <c r="ADD2" s="467"/>
      <c r="ADE2" s="467"/>
      <c r="ADF2" s="467"/>
      <c r="ADG2" s="467"/>
      <c r="ADH2" s="467"/>
      <c r="ADI2" s="467"/>
      <c r="ADJ2" s="467"/>
      <c r="ADK2" s="467"/>
      <c r="ADL2" s="467"/>
      <c r="ADM2" s="467"/>
      <c r="ADN2" s="467"/>
      <c r="ADO2" s="467"/>
      <c r="ADP2" s="467"/>
      <c r="ADQ2" s="467"/>
      <c r="ADR2" s="467"/>
      <c r="ADS2" s="467"/>
      <c r="ADT2" s="467"/>
      <c r="ADU2" s="467"/>
      <c r="ADV2" s="467"/>
      <c r="ADW2" s="467"/>
      <c r="ADX2" s="467"/>
      <c r="ADY2" s="467"/>
      <c r="ADZ2" s="467"/>
      <c r="AEA2" s="467"/>
      <c r="AEB2" s="467"/>
      <c r="AEC2" s="467"/>
      <c r="AED2" s="467"/>
      <c r="AEE2" s="467"/>
      <c r="AEF2" s="467"/>
      <c r="AEG2" s="467"/>
      <c r="AEH2" s="467"/>
      <c r="AEI2" s="467"/>
      <c r="AEJ2" s="467"/>
      <c r="AEK2" s="467"/>
      <c r="AEL2" s="467"/>
      <c r="AEM2" s="467"/>
      <c r="AEN2" s="467"/>
      <c r="AEO2" s="467"/>
      <c r="AEP2" s="467"/>
      <c r="AEQ2" s="467"/>
      <c r="AER2" s="467"/>
      <c r="AES2" s="467"/>
      <c r="AET2" s="467"/>
      <c r="AEU2" s="467"/>
      <c r="AEV2" s="467"/>
      <c r="AEW2" s="467"/>
      <c r="AEX2" s="467"/>
      <c r="AEY2" s="467"/>
      <c r="AEZ2" s="467"/>
      <c r="AFA2" s="467"/>
      <c r="AFB2" s="467"/>
      <c r="AFC2" s="467"/>
      <c r="AFD2" s="467"/>
      <c r="AFE2" s="467"/>
      <c r="AFF2" s="467"/>
      <c r="AFG2" s="467"/>
      <c r="AFH2" s="467"/>
      <c r="AFI2" s="467"/>
      <c r="AFJ2" s="467"/>
      <c r="AFK2" s="467"/>
      <c r="AFL2" s="467"/>
      <c r="AFM2" s="467"/>
      <c r="AFN2" s="467"/>
      <c r="AFO2" s="467"/>
      <c r="AFP2" s="467"/>
      <c r="AFQ2" s="467"/>
      <c r="AFR2" s="467"/>
      <c r="AFS2" s="467"/>
      <c r="AFT2" s="467"/>
      <c r="AFU2" s="467"/>
      <c r="AFV2" s="467"/>
      <c r="AFW2" s="467"/>
      <c r="AFX2" s="467"/>
      <c r="AFY2" s="467"/>
      <c r="AFZ2" s="467"/>
      <c r="AGA2" s="467"/>
      <c r="AGB2" s="467"/>
      <c r="AGC2" s="467"/>
      <c r="AGD2" s="467"/>
      <c r="AGE2" s="467"/>
      <c r="AGF2" s="467"/>
      <c r="AGG2" s="467"/>
      <c r="AGH2" s="467"/>
      <c r="AGI2" s="467"/>
      <c r="AGJ2" s="467"/>
      <c r="AGK2" s="467"/>
      <c r="AGL2" s="467"/>
      <c r="AGM2" s="467"/>
      <c r="AGN2" s="467"/>
      <c r="AGO2" s="467"/>
      <c r="AGP2" s="467"/>
      <c r="AGQ2" s="467"/>
      <c r="AGR2" s="467"/>
      <c r="AGS2" s="467"/>
      <c r="AGT2" s="467"/>
      <c r="AGU2" s="467"/>
      <c r="AGV2" s="467"/>
      <c r="AGW2" s="467"/>
      <c r="AGX2" s="467"/>
      <c r="AGY2" s="467"/>
      <c r="AGZ2" s="467"/>
      <c r="AHA2" s="467"/>
      <c r="AHB2" s="467"/>
      <c r="AHC2" s="467"/>
      <c r="AHD2" s="467"/>
      <c r="AHE2" s="467"/>
      <c r="AHF2" s="467"/>
      <c r="AHG2" s="467"/>
      <c r="AHH2" s="467"/>
      <c r="AHI2" s="467"/>
      <c r="AHJ2" s="467"/>
      <c r="AHK2" s="467"/>
      <c r="AHL2" s="467"/>
      <c r="AHM2" s="467"/>
      <c r="AHN2" s="467"/>
      <c r="AHO2" s="467"/>
      <c r="AHP2" s="467"/>
      <c r="AHQ2" s="467"/>
      <c r="AHR2" s="467"/>
      <c r="AHS2" s="467"/>
      <c r="AHT2" s="467"/>
      <c r="AHU2" s="467"/>
      <c r="AHV2" s="467"/>
      <c r="AHW2" s="467"/>
      <c r="AHX2" s="467"/>
      <c r="AHY2" s="467"/>
      <c r="AHZ2" s="467"/>
      <c r="AIA2" s="467"/>
      <c r="AIB2" s="467"/>
      <c r="AIC2" s="467"/>
      <c r="AID2" s="467"/>
      <c r="AIE2" s="467"/>
      <c r="AIF2" s="467"/>
      <c r="AIG2" s="467"/>
      <c r="AIH2" s="467"/>
      <c r="AII2" s="467"/>
      <c r="AIJ2" s="467"/>
      <c r="AIK2" s="467"/>
      <c r="AIL2" s="467"/>
      <c r="AIM2" s="467"/>
      <c r="AIN2" s="467"/>
      <c r="AIO2" s="467"/>
      <c r="AIP2" s="467"/>
      <c r="AIQ2" s="467"/>
      <c r="AIR2" s="467"/>
      <c r="AIS2" s="467"/>
      <c r="AIT2" s="467"/>
      <c r="AIU2" s="467"/>
      <c r="AIV2" s="467"/>
      <c r="AIW2" s="467"/>
      <c r="AIX2" s="467"/>
      <c r="AIY2" s="467"/>
      <c r="AIZ2" s="467"/>
      <c r="AJA2" s="467"/>
      <c r="AJB2" s="467"/>
      <c r="AJC2" s="467"/>
      <c r="AJD2" s="467"/>
      <c r="AJE2" s="467"/>
      <c r="AJF2" s="467"/>
      <c r="AJG2" s="467"/>
      <c r="AJH2" s="467"/>
      <c r="AJI2" s="467"/>
      <c r="AJJ2" s="467"/>
      <c r="AJK2" s="467"/>
      <c r="AJL2" s="467"/>
      <c r="AJM2" s="467"/>
      <c r="AJN2" s="467"/>
      <c r="AJO2" s="467"/>
      <c r="AJP2" s="467"/>
      <c r="AJQ2" s="467"/>
      <c r="AJR2" s="467"/>
      <c r="AJS2" s="467"/>
      <c r="AJT2" s="467"/>
      <c r="AJU2" s="467"/>
      <c r="AJV2" s="467"/>
      <c r="AJW2" s="467"/>
      <c r="AJX2" s="467"/>
      <c r="AJY2" s="467"/>
      <c r="AJZ2" s="467"/>
      <c r="AKA2" s="467"/>
      <c r="AKB2" s="467"/>
      <c r="AKC2" s="467"/>
      <c r="AKD2" s="467"/>
      <c r="AKE2" s="467"/>
      <c r="AKF2" s="467"/>
      <c r="AKG2" s="467"/>
      <c r="AKH2" s="467"/>
      <c r="AKI2" s="467"/>
      <c r="AKJ2" s="467"/>
      <c r="AKK2" s="467"/>
      <c r="AKL2" s="467"/>
      <c r="AKM2" s="467"/>
      <c r="AKN2" s="467"/>
      <c r="AKO2" s="467"/>
      <c r="AKP2" s="467"/>
      <c r="AKQ2" s="467"/>
      <c r="AKR2" s="467"/>
      <c r="AKS2" s="467"/>
      <c r="AKT2" s="467"/>
      <c r="AKU2" s="467"/>
      <c r="AKV2" s="467"/>
      <c r="AKW2" s="467"/>
      <c r="AKX2" s="467"/>
      <c r="AKY2" s="467"/>
      <c r="AKZ2" s="467"/>
      <c r="ALA2" s="467"/>
      <c r="ALB2" s="467"/>
      <c r="ALC2" s="467"/>
      <c r="ALD2" s="467"/>
      <c r="ALE2" s="467"/>
      <c r="ALF2" s="467"/>
      <c r="ALG2" s="467"/>
      <c r="ALH2" s="467"/>
      <c r="ALI2" s="467"/>
      <c r="ALJ2" s="467"/>
      <c r="ALK2" s="467"/>
      <c r="ALL2" s="467"/>
      <c r="ALM2" s="467"/>
      <c r="ALN2" s="467"/>
      <c r="ALO2" s="467"/>
      <c r="ALP2" s="467"/>
      <c r="ALQ2" s="467"/>
      <c r="ALR2" s="467"/>
      <c r="ALS2" s="467"/>
      <c r="ALT2" s="467"/>
      <c r="ALU2" s="467"/>
      <c r="ALV2" s="467"/>
      <c r="ALW2" s="467"/>
      <c r="ALX2" s="467"/>
      <c r="ALY2" s="467"/>
      <c r="ALZ2" s="467"/>
      <c r="AMA2" s="467"/>
      <c r="AMB2" s="467"/>
      <c r="AMC2" s="467"/>
      <c r="AMD2" s="467"/>
      <c r="AME2" s="467"/>
      <c r="AMF2" s="467"/>
      <c r="AMG2" s="467"/>
      <c r="AMH2" s="467"/>
      <c r="AMI2" s="467"/>
      <c r="AMJ2" s="467"/>
      <c r="AMK2" s="467"/>
      <c r="AML2" s="467"/>
      <c r="AMM2" s="467"/>
      <c r="AMN2" s="467"/>
      <c r="AMO2" s="467"/>
      <c r="AMP2" s="467"/>
      <c r="AMQ2" s="467"/>
      <c r="AMR2" s="467"/>
      <c r="AMS2" s="467"/>
      <c r="AMT2" s="467"/>
      <c r="AMU2" s="467"/>
      <c r="AMV2" s="467"/>
      <c r="AMW2" s="467"/>
      <c r="AMX2" s="467"/>
      <c r="AMY2" s="467"/>
      <c r="AMZ2" s="467"/>
      <c r="ANA2" s="467"/>
      <c r="ANB2" s="467"/>
      <c r="ANC2" s="467"/>
      <c r="AND2" s="467"/>
      <c r="ANE2" s="467"/>
      <c r="ANF2" s="467"/>
      <c r="ANG2" s="467"/>
      <c r="ANH2" s="467"/>
      <c r="ANI2" s="467"/>
      <c r="ANJ2" s="467"/>
      <c r="ANK2" s="467"/>
      <c r="ANL2" s="467"/>
      <c r="ANM2" s="467"/>
      <c r="ANN2" s="467"/>
      <c r="ANO2" s="467"/>
      <c r="ANP2" s="467"/>
      <c r="ANQ2" s="467"/>
      <c r="ANR2" s="467"/>
      <c r="ANS2" s="467"/>
      <c r="ANT2" s="467"/>
      <c r="ANU2" s="467"/>
      <c r="ANV2" s="467"/>
      <c r="ANW2" s="467"/>
      <c r="ANX2" s="467"/>
      <c r="ANY2" s="467"/>
      <c r="ANZ2" s="467"/>
      <c r="AOA2" s="467"/>
      <c r="AOB2" s="467"/>
      <c r="AOC2" s="467"/>
      <c r="AOD2" s="467"/>
      <c r="AOE2" s="467"/>
      <c r="AOF2" s="467"/>
      <c r="AOG2" s="467"/>
      <c r="AOH2" s="467"/>
      <c r="AOI2" s="467"/>
      <c r="AOJ2" s="467"/>
      <c r="AOK2" s="467"/>
      <c r="AOL2" s="467"/>
      <c r="AOM2" s="467"/>
      <c r="AON2" s="467"/>
      <c r="AOO2" s="467"/>
      <c r="AOP2" s="467"/>
      <c r="AOQ2" s="467"/>
      <c r="AOR2" s="467"/>
      <c r="AOS2" s="467"/>
      <c r="AOT2" s="467"/>
      <c r="AOU2" s="467"/>
      <c r="AOV2" s="467"/>
      <c r="AOW2" s="467"/>
      <c r="AOX2" s="467"/>
      <c r="AOY2" s="467"/>
      <c r="AOZ2" s="467"/>
      <c r="APA2" s="467"/>
      <c r="APB2" s="467"/>
      <c r="APC2" s="467"/>
      <c r="APD2" s="467"/>
      <c r="APE2" s="467"/>
      <c r="APF2" s="467"/>
      <c r="APG2" s="467"/>
      <c r="APH2" s="467"/>
      <c r="API2" s="467"/>
      <c r="APJ2" s="467"/>
      <c r="APK2" s="467"/>
      <c r="APL2" s="467"/>
      <c r="APM2" s="467"/>
      <c r="APN2" s="467"/>
      <c r="APO2" s="467"/>
      <c r="APP2" s="467"/>
      <c r="APQ2" s="467"/>
      <c r="APR2" s="467"/>
      <c r="APS2" s="467"/>
      <c r="APT2" s="467"/>
      <c r="APU2" s="467"/>
      <c r="APV2" s="467"/>
      <c r="APW2" s="467"/>
      <c r="APX2" s="467"/>
      <c r="APY2" s="467"/>
      <c r="APZ2" s="467"/>
      <c r="AQA2" s="467"/>
      <c r="AQB2" s="467"/>
      <c r="AQC2" s="467"/>
      <c r="AQD2" s="467"/>
      <c r="AQE2" s="467"/>
      <c r="AQF2" s="467"/>
      <c r="AQG2" s="467"/>
      <c r="AQH2" s="467"/>
      <c r="AQI2" s="467"/>
      <c r="AQJ2" s="467"/>
      <c r="AQK2" s="467"/>
      <c r="AQL2" s="467"/>
      <c r="AQM2" s="467"/>
      <c r="AQN2" s="467"/>
      <c r="AQO2" s="467"/>
      <c r="AQP2" s="467"/>
      <c r="AQQ2" s="467"/>
      <c r="AQR2" s="467"/>
      <c r="AQS2" s="467"/>
      <c r="AQT2" s="467"/>
      <c r="AQU2" s="467"/>
      <c r="AQV2" s="467"/>
      <c r="AQW2" s="467"/>
      <c r="AQX2" s="467"/>
      <c r="AQY2" s="467"/>
      <c r="AQZ2" s="467"/>
      <c r="ARA2" s="467"/>
      <c r="ARB2" s="467"/>
      <c r="ARC2" s="467"/>
      <c r="ARD2" s="467"/>
      <c r="ARE2" s="467"/>
      <c r="ARF2" s="467"/>
      <c r="ARG2" s="467"/>
      <c r="ARH2" s="467"/>
      <c r="ARI2" s="467"/>
      <c r="ARJ2" s="467"/>
      <c r="ARK2" s="467"/>
      <c r="ARL2" s="467"/>
      <c r="ARM2" s="467"/>
      <c r="ARN2" s="467"/>
      <c r="ARO2" s="467"/>
      <c r="ARP2" s="467"/>
      <c r="ARQ2" s="467"/>
      <c r="ARR2" s="467"/>
      <c r="ARS2" s="467"/>
      <c r="ART2" s="467"/>
      <c r="ARU2" s="467"/>
      <c r="ARV2" s="467"/>
      <c r="ARW2" s="467"/>
      <c r="ARX2" s="467"/>
      <c r="ARY2" s="467"/>
      <c r="ARZ2" s="467"/>
      <c r="ASA2" s="467"/>
      <c r="ASB2" s="467"/>
      <c r="ASC2" s="467"/>
      <c r="ASD2" s="467"/>
      <c r="ASE2" s="467"/>
      <c r="ASF2" s="467"/>
      <c r="ASG2" s="467"/>
      <c r="ASH2" s="467"/>
      <c r="ASI2" s="467"/>
      <c r="ASJ2" s="467"/>
      <c r="ASK2" s="467"/>
      <c r="ASL2" s="467"/>
      <c r="ASM2" s="467"/>
      <c r="ASN2" s="467"/>
      <c r="ASO2" s="467"/>
      <c r="ASP2" s="467"/>
      <c r="ASQ2" s="467"/>
      <c r="ASR2" s="467"/>
      <c r="ASS2" s="467"/>
      <c r="AST2" s="467"/>
      <c r="ASU2" s="467"/>
      <c r="ASV2" s="467"/>
      <c r="ASW2" s="467"/>
      <c r="ASX2" s="467"/>
      <c r="ASY2" s="467"/>
      <c r="ASZ2" s="467"/>
      <c r="ATA2" s="467"/>
      <c r="ATB2" s="467"/>
      <c r="ATC2" s="467"/>
      <c r="ATD2" s="467"/>
      <c r="ATE2" s="467"/>
      <c r="ATF2" s="467"/>
      <c r="ATG2" s="467"/>
      <c r="ATH2" s="467"/>
      <c r="ATI2" s="467"/>
      <c r="ATJ2" s="467"/>
      <c r="ATK2" s="467"/>
      <c r="ATL2" s="467"/>
      <c r="ATM2" s="467"/>
      <c r="ATN2" s="467"/>
      <c r="ATO2" s="467"/>
      <c r="ATP2" s="467"/>
      <c r="ATQ2" s="467"/>
      <c r="ATR2" s="467"/>
      <c r="ATS2" s="467"/>
      <c r="ATT2" s="467"/>
      <c r="ATU2" s="467"/>
      <c r="ATV2" s="467"/>
      <c r="ATW2" s="467"/>
      <c r="ATX2" s="467"/>
      <c r="ATY2" s="467"/>
      <c r="ATZ2" s="467"/>
      <c r="AUA2" s="467"/>
      <c r="AUB2" s="467"/>
      <c r="AUC2" s="467"/>
      <c r="AUD2" s="467"/>
      <c r="AUE2" s="467"/>
      <c r="AUF2" s="467"/>
      <c r="AUG2" s="467"/>
      <c r="AUH2" s="467"/>
      <c r="AUI2" s="467"/>
      <c r="AUJ2" s="467"/>
      <c r="AUK2" s="467"/>
      <c r="AUL2" s="467"/>
      <c r="AUM2" s="467"/>
      <c r="AUN2" s="467"/>
      <c r="AUO2" s="467"/>
      <c r="AUP2" s="467"/>
      <c r="AUQ2" s="467"/>
      <c r="AUR2" s="467"/>
      <c r="AUS2" s="467"/>
      <c r="AUT2" s="467"/>
      <c r="AUU2" s="467"/>
      <c r="AUV2" s="467"/>
      <c r="AUW2" s="467"/>
      <c r="AUX2" s="467"/>
      <c r="AUY2" s="467"/>
      <c r="AUZ2" s="467"/>
      <c r="AVA2" s="467"/>
      <c r="AVB2" s="467"/>
      <c r="AVC2" s="467"/>
      <c r="AVD2" s="467"/>
      <c r="AVE2" s="467"/>
      <c r="AVF2" s="467"/>
      <c r="AVG2" s="467"/>
      <c r="AVH2" s="467"/>
      <c r="AVI2" s="467"/>
      <c r="AVJ2" s="467"/>
      <c r="AVK2" s="467"/>
      <c r="AVL2" s="467"/>
      <c r="AVM2" s="467"/>
      <c r="AVN2" s="467"/>
      <c r="AVO2" s="467"/>
      <c r="AVP2" s="467"/>
      <c r="AVQ2" s="467"/>
      <c r="AVR2" s="467"/>
      <c r="AVS2" s="467"/>
      <c r="AVT2" s="467"/>
      <c r="AVU2" s="467"/>
      <c r="AVV2" s="467"/>
      <c r="AVW2" s="467"/>
      <c r="AVX2" s="467"/>
      <c r="AVY2" s="467"/>
      <c r="AVZ2" s="467"/>
      <c r="AWA2" s="467"/>
      <c r="AWB2" s="467"/>
      <c r="AWC2" s="467"/>
      <c r="AWD2" s="467"/>
      <c r="AWE2" s="467"/>
      <c r="AWF2" s="467"/>
      <c r="AWG2" s="467"/>
      <c r="AWH2" s="467"/>
      <c r="AWI2" s="467"/>
      <c r="AWJ2" s="467"/>
      <c r="AWK2" s="467"/>
      <c r="AWL2" s="467"/>
      <c r="AWM2" s="467"/>
      <c r="AWN2" s="467"/>
      <c r="AWO2" s="467"/>
      <c r="AWP2" s="467"/>
      <c r="AWQ2" s="467"/>
      <c r="AWR2" s="467"/>
      <c r="AWS2" s="467"/>
      <c r="AWT2" s="467"/>
      <c r="AWU2" s="467"/>
      <c r="AWV2" s="467"/>
      <c r="AWW2" s="467"/>
      <c r="AWX2" s="467"/>
      <c r="AWY2" s="467"/>
      <c r="AWZ2" s="467"/>
      <c r="AXA2" s="467"/>
      <c r="AXB2" s="467"/>
      <c r="AXC2" s="467"/>
      <c r="AXD2" s="467"/>
      <c r="AXE2" s="467"/>
      <c r="AXF2" s="467"/>
      <c r="AXG2" s="467"/>
      <c r="AXH2" s="467"/>
      <c r="AXI2" s="467"/>
      <c r="AXJ2" s="467"/>
    </row>
    <row r="3" spans="1:1310" ht="24.75" customHeight="1">
      <c r="B3" s="6268" t="s">
        <v>2446</v>
      </c>
      <c r="C3" s="6268"/>
      <c r="D3" s="6268"/>
      <c r="E3" s="6268"/>
      <c r="F3" s="6268"/>
      <c r="G3" s="6268"/>
      <c r="H3" s="6268"/>
      <c r="I3" s="6268"/>
      <c r="J3" s="6268"/>
      <c r="K3" s="6268"/>
      <c r="L3" s="6268"/>
      <c r="M3" s="6268"/>
      <c r="N3" s="6268"/>
      <c r="O3" s="6268"/>
      <c r="P3" s="6268"/>
      <c r="Q3" s="6268"/>
      <c r="R3" s="6268"/>
      <c r="S3" s="6268"/>
      <c r="T3" s="6268"/>
    </row>
    <row r="4" spans="1:1310" ht="22.5" customHeight="1">
      <c r="B4" s="6268"/>
      <c r="C4" s="6268"/>
      <c r="D4" s="6268"/>
      <c r="E4" s="6268"/>
      <c r="F4" s="6268"/>
      <c r="G4" s="6268"/>
      <c r="H4" s="6268"/>
      <c r="I4" s="6268"/>
      <c r="J4" s="6268"/>
      <c r="K4" s="6268"/>
      <c r="L4" s="6268"/>
      <c r="M4" s="6268"/>
      <c r="N4" s="6268"/>
      <c r="O4" s="6268"/>
      <c r="P4" s="6268"/>
      <c r="Q4" s="6268"/>
      <c r="R4" s="6268"/>
      <c r="S4" s="6268"/>
      <c r="T4" s="6268"/>
    </row>
    <row r="5" spans="1:1310" ht="33" customHeight="1">
      <c r="B5" s="6267" t="s">
        <v>2817</v>
      </c>
      <c r="C5" s="6267"/>
      <c r="D5" s="6267"/>
      <c r="E5" s="6267"/>
      <c r="F5" s="6267"/>
      <c r="G5" s="6267"/>
      <c r="H5" s="6267"/>
      <c r="I5" s="6267"/>
      <c r="J5" s="6267"/>
      <c r="K5" s="6267"/>
      <c r="L5" s="6267"/>
      <c r="M5" s="6267"/>
      <c r="N5" s="6267"/>
      <c r="O5" s="6267"/>
      <c r="P5" s="6267"/>
      <c r="Q5" s="6267"/>
      <c r="R5" s="6267"/>
      <c r="S5" s="6267"/>
      <c r="T5" s="6267"/>
    </row>
    <row r="6" spans="1:1310" ht="22.5" customHeight="1">
      <c r="B6" s="2783"/>
      <c r="C6" s="2783"/>
      <c r="D6" s="2783"/>
      <c r="E6" s="2783"/>
      <c r="F6" s="2783"/>
      <c r="G6" s="2783"/>
      <c r="H6" s="2783"/>
      <c r="I6" s="2783"/>
      <c r="J6" s="2783"/>
      <c r="K6" s="2783"/>
      <c r="L6" s="2783"/>
      <c r="M6" s="2783"/>
      <c r="N6" s="2783"/>
      <c r="O6" s="2783"/>
      <c r="P6" s="2783"/>
      <c r="Q6" s="2783"/>
      <c r="R6" s="2783"/>
      <c r="S6" s="2783"/>
      <c r="T6" s="2783"/>
    </row>
    <row r="7" spans="1:1310" ht="21">
      <c r="B7" s="2605"/>
      <c r="C7" s="2605"/>
      <c r="D7" s="2605"/>
      <c r="E7" s="2606" t="s">
        <v>2447</v>
      </c>
      <c r="F7" s="6266" t="s">
        <v>2448</v>
      </c>
      <c r="G7" s="6266"/>
      <c r="H7" s="6266"/>
      <c r="I7" s="6266"/>
      <c r="J7" s="6266"/>
      <c r="K7" s="6266"/>
      <c r="L7" s="2606"/>
      <c r="M7" s="6266" t="s">
        <v>2812</v>
      </c>
      <c r="N7" s="6266"/>
      <c r="O7" s="6266"/>
      <c r="P7" s="6266"/>
      <c r="Q7" s="6266"/>
      <c r="R7" s="6266"/>
      <c r="S7" s="634"/>
      <c r="T7" s="634"/>
    </row>
    <row r="8" spans="1:1310">
      <c r="B8" s="634"/>
      <c r="C8" s="634"/>
      <c r="D8" s="634"/>
      <c r="E8" s="634"/>
      <c r="F8" s="634"/>
      <c r="G8" s="634"/>
      <c r="H8" s="634"/>
      <c r="I8" s="634"/>
      <c r="J8" s="634"/>
      <c r="K8" s="634"/>
      <c r="L8" s="634"/>
      <c r="M8" s="634"/>
      <c r="N8" s="634"/>
      <c r="O8" s="634"/>
      <c r="P8" s="634"/>
      <c r="Q8" s="634"/>
      <c r="R8" s="634"/>
      <c r="S8" s="634"/>
      <c r="T8" s="634"/>
    </row>
    <row r="9" spans="1:1310">
      <c r="B9" s="1948"/>
      <c r="C9" s="1948"/>
      <c r="D9" s="1948"/>
      <c r="E9" s="1948"/>
      <c r="G9" s="1948"/>
      <c r="H9" s="1948"/>
      <c r="I9" s="1948"/>
      <c r="J9" s="1948"/>
      <c r="L9" s="1948"/>
      <c r="M9" s="1948"/>
      <c r="N9" s="1948"/>
      <c r="O9" s="1948"/>
      <c r="Q9" s="1948"/>
      <c r="R9" s="1948"/>
      <c r="S9" s="1948"/>
      <c r="T9" s="1948"/>
    </row>
    <row r="10" spans="1:1310">
      <c r="B10" s="1948"/>
      <c r="C10" s="1948"/>
      <c r="D10" s="1948"/>
      <c r="E10" s="1948"/>
      <c r="G10" s="1948"/>
      <c r="H10" s="1948"/>
      <c r="I10" s="1948"/>
      <c r="J10" s="1948"/>
      <c r="L10" s="1948"/>
      <c r="M10" s="1948"/>
      <c r="N10" s="1948"/>
      <c r="O10" s="1948"/>
      <c r="Q10" s="1948"/>
      <c r="R10" s="1948"/>
      <c r="S10" s="1948"/>
      <c r="T10" s="1948"/>
    </row>
    <row r="11" spans="1:1310">
      <c r="B11" s="1948"/>
      <c r="C11" s="1948"/>
      <c r="D11" s="1948"/>
      <c r="E11" s="1948"/>
      <c r="G11" s="1948"/>
      <c r="H11" s="1948"/>
      <c r="I11" s="1948"/>
      <c r="J11" s="1948"/>
      <c r="L11" s="1948"/>
      <c r="M11" s="1948"/>
      <c r="N11" s="1948"/>
      <c r="O11" s="1948"/>
      <c r="Q11" s="1948"/>
      <c r="R11" s="1948"/>
      <c r="S11" s="1948"/>
      <c r="T11" s="1948"/>
    </row>
    <row r="12" spans="1:1310">
      <c r="B12" s="1948"/>
      <c r="C12" s="1948"/>
      <c r="D12" s="1948"/>
      <c r="E12" s="1948"/>
      <c r="G12" s="1948"/>
      <c r="H12" s="1948"/>
      <c r="I12" s="1948"/>
      <c r="J12" s="1948"/>
      <c r="L12" s="1948"/>
      <c r="M12" s="1948"/>
      <c r="N12" s="1948"/>
      <c r="O12" s="1948"/>
      <c r="Q12" s="1948"/>
      <c r="R12" s="1948"/>
      <c r="S12" s="1948"/>
      <c r="T12" s="1948"/>
    </row>
    <row r="13" spans="1:1310">
      <c r="B13" s="1948"/>
      <c r="C13" s="1948"/>
      <c r="D13" s="1948"/>
      <c r="E13" s="1948"/>
      <c r="G13" s="1948"/>
      <c r="H13" s="1948"/>
      <c r="I13" s="1948"/>
      <c r="J13" s="1948"/>
      <c r="L13" s="1948"/>
      <c r="M13" s="1948"/>
      <c r="N13" s="1948"/>
      <c r="O13" s="1948"/>
      <c r="Q13" s="1948"/>
      <c r="R13" s="1948"/>
      <c r="S13" s="1948"/>
      <c r="T13" s="1948"/>
    </row>
    <row r="14" spans="1:1310">
      <c r="B14" s="1948"/>
      <c r="C14" s="1948"/>
      <c r="D14" s="1948"/>
      <c r="E14" s="1948"/>
      <c r="G14" s="1948"/>
      <c r="H14" s="1948"/>
      <c r="I14" s="1948"/>
      <c r="J14" s="1948"/>
      <c r="L14" s="1948"/>
      <c r="M14" s="1948"/>
      <c r="N14" s="1948"/>
      <c r="O14" s="1948"/>
      <c r="Q14" s="1948"/>
      <c r="R14" s="1948"/>
      <c r="S14" s="1948"/>
      <c r="T14" s="1948"/>
    </row>
    <row r="15" spans="1:1310">
      <c r="B15" s="1948"/>
      <c r="C15" s="1948"/>
      <c r="D15" s="1948"/>
      <c r="E15" s="1948"/>
      <c r="G15" s="1948"/>
      <c r="H15" s="1948"/>
      <c r="I15" s="1948"/>
      <c r="J15" s="1948"/>
      <c r="L15" s="1948"/>
      <c r="M15" s="1948"/>
      <c r="N15" s="1948"/>
      <c r="O15" s="1948"/>
      <c r="Q15" s="1948"/>
      <c r="R15" s="1948"/>
      <c r="S15" s="1948"/>
      <c r="T15" s="1948"/>
    </row>
    <row r="16" spans="1:1310">
      <c r="B16" s="1948"/>
      <c r="C16" s="1948"/>
      <c r="D16" s="1948"/>
      <c r="E16" s="1948"/>
      <c r="G16" s="1948"/>
      <c r="H16" s="1948"/>
      <c r="I16" s="1948"/>
      <c r="J16" s="1948"/>
      <c r="L16" s="1948"/>
      <c r="M16" s="1948"/>
      <c r="N16" s="1948"/>
      <c r="O16" s="1948"/>
      <c r="Q16" s="1948"/>
      <c r="R16" s="1948"/>
      <c r="S16" s="1948"/>
      <c r="T16" s="1948"/>
    </row>
    <row r="17" spans="2:20">
      <c r="B17" s="1948"/>
      <c r="C17" s="1948"/>
      <c r="D17" s="1948"/>
      <c r="E17" s="1948"/>
      <c r="G17" s="1948"/>
      <c r="H17" s="1948"/>
      <c r="I17" s="1948"/>
      <c r="J17" s="1948"/>
      <c r="L17" s="1948"/>
      <c r="M17" s="1948"/>
      <c r="N17" s="1948"/>
      <c r="O17" s="1948"/>
      <c r="Q17" s="1948"/>
      <c r="R17" s="1948"/>
      <c r="S17" s="1948"/>
      <c r="T17" s="1948"/>
    </row>
    <row r="18" spans="2:20">
      <c r="B18" s="1948"/>
      <c r="C18" s="1948"/>
      <c r="D18" s="1948"/>
      <c r="E18" s="1948"/>
      <c r="G18" s="1948"/>
      <c r="H18" s="1948"/>
      <c r="I18" s="1948"/>
      <c r="J18" s="1948"/>
      <c r="L18" s="1948"/>
      <c r="M18" s="1948"/>
      <c r="N18" s="1948"/>
      <c r="O18" s="1948"/>
      <c r="Q18" s="1948"/>
      <c r="R18" s="1948"/>
      <c r="S18" s="1948"/>
      <c r="T18" s="1948"/>
    </row>
    <row r="19" spans="2:20">
      <c r="B19" s="1948"/>
      <c r="C19" s="1948"/>
      <c r="D19" s="1948"/>
      <c r="E19" s="1948"/>
      <c r="G19" s="1948"/>
      <c r="H19" s="1948"/>
      <c r="I19" s="1948"/>
      <c r="J19" s="1948"/>
      <c r="L19" s="1948"/>
      <c r="M19" s="1948"/>
      <c r="N19" s="1948"/>
      <c r="O19" s="1948"/>
      <c r="Q19" s="1948"/>
      <c r="R19" s="1948"/>
      <c r="S19" s="1948"/>
      <c r="T19" s="1948"/>
    </row>
    <row r="20" spans="2:20">
      <c r="B20" s="1948"/>
      <c r="C20" s="1948"/>
      <c r="D20" s="1948"/>
      <c r="E20" s="1948"/>
      <c r="G20" s="1948"/>
      <c r="H20" s="1948"/>
      <c r="I20" s="1948"/>
      <c r="J20" s="1948"/>
      <c r="L20" s="1948"/>
      <c r="M20" s="1948"/>
      <c r="N20" s="1948"/>
      <c r="O20" s="1948"/>
      <c r="Q20" s="1948"/>
      <c r="R20" s="1948"/>
      <c r="S20" s="1948"/>
      <c r="T20" s="1948"/>
    </row>
    <row r="21" spans="2:20">
      <c r="B21" s="1948"/>
      <c r="C21" s="1948"/>
      <c r="D21" s="1948"/>
      <c r="E21" s="1948"/>
      <c r="G21" s="1948"/>
      <c r="H21" s="1948"/>
      <c r="I21" s="1948"/>
      <c r="J21" s="1948"/>
      <c r="L21" s="1948"/>
      <c r="M21" s="1948"/>
      <c r="N21" s="1948"/>
      <c r="O21" s="1948"/>
      <c r="Q21" s="1948"/>
      <c r="R21" s="1948"/>
      <c r="S21" s="1948"/>
      <c r="T21" s="1948"/>
    </row>
    <row r="22" spans="2:20">
      <c r="B22" s="6270" t="s">
        <v>2775</v>
      </c>
      <c r="C22" s="6270"/>
      <c r="D22" s="6270"/>
      <c r="E22" s="6270"/>
      <c r="G22" s="6270" t="s">
        <v>2776</v>
      </c>
      <c r="H22" s="6270"/>
      <c r="I22" s="6270"/>
      <c r="J22" s="6270"/>
      <c r="L22" s="6270" t="s">
        <v>2777</v>
      </c>
      <c r="M22" s="6270"/>
      <c r="N22" s="6270"/>
      <c r="O22" s="6270"/>
      <c r="Q22" s="6270" t="s">
        <v>2813</v>
      </c>
      <c r="R22" s="6270"/>
      <c r="S22" s="6270"/>
      <c r="T22" s="6270"/>
    </row>
    <row r="23" spans="2:20">
      <c r="B23" s="2607" t="s">
        <v>2445</v>
      </c>
      <c r="G23" s="2607" t="s">
        <v>2445</v>
      </c>
      <c r="L23" s="2607" t="s">
        <v>2445</v>
      </c>
      <c r="Q23" s="2607" t="s">
        <v>2445</v>
      </c>
    </row>
    <row r="25" spans="2:20">
      <c r="B25" s="1948"/>
      <c r="C25" s="1948"/>
      <c r="D25" s="1948"/>
      <c r="E25" s="1948"/>
      <c r="G25" s="1948"/>
      <c r="H25" s="1948"/>
      <c r="I25" s="1948"/>
      <c r="J25" s="1948"/>
      <c r="L25" s="1948"/>
      <c r="M25" s="1948"/>
      <c r="N25" s="1948"/>
      <c r="O25" s="1948"/>
      <c r="Q25" s="1948"/>
      <c r="R25" s="1948"/>
      <c r="S25" s="1948"/>
      <c r="T25" s="1948"/>
    </row>
    <row r="26" spans="2:20">
      <c r="B26" s="1948"/>
      <c r="C26" s="1948"/>
      <c r="D26" s="1948"/>
      <c r="E26" s="1948"/>
      <c r="G26" s="1948"/>
      <c r="H26" s="1948"/>
      <c r="I26" s="1948"/>
      <c r="J26" s="1948"/>
      <c r="L26" s="1948"/>
      <c r="M26" s="1948"/>
      <c r="N26" s="1948"/>
      <c r="O26" s="1948"/>
      <c r="Q26" s="1948"/>
      <c r="R26" s="1948"/>
      <c r="S26" s="1948"/>
      <c r="T26" s="1948"/>
    </row>
    <row r="27" spans="2:20">
      <c r="B27" s="1948"/>
      <c r="C27" s="1948"/>
      <c r="D27" s="1948"/>
      <c r="E27" s="1948"/>
      <c r="G27" s="1948"/>
      <c r="H27" s="1948"/>
      <c r="I27" s="1948"/>
      <c r="J27" s="1948"/>
      <c r="L27" s="1948"/>
      <c r="M27" s="1948"/>
      <c r="N27" s="1948"/>
      <c r="O27" s="1948"/>
      <c r="Q27" s="1948"/>
      <c r="R27" s="1948"/>
      <c r="S27" s="1948"/>
      <c r="T27" s="1948"/>
    </row>
    <row r="28" spans="2:20">
      <c r="B28" s="1948"/>
      <c r="C28" s="1948"/>
      <c r="D28" s="1948"/>
      <c r="E28" s="1948"/>
      <c r="G28" s="1948"/>
      <c r="H28" s="1948"/>
      <c r="I28" s="1948"/>
      <c r="J28" s="1948"/>
      <c r="L28" s="1948"/>
      <c r="M28" s="1948"/>
      <c r="N28" s="1948"/>
      <c r="O28" s="1948"/>
      <c r="Q28" s="1948"/>
      <c r="R28" s="1948"/>
      <c r="S28" s="1948"/>
      <c r="T28" s="1948"/>
    </row>
    <row r="29" spans="2:20">
      <c r="B29" s="1948"/>
      <c r="C29" s="1948"/>
      <c r="D29" s="1948"/>
      <c r="E29" s="1948"/>
      <c r="G29" s="1948"/>
      <c r="H29" s="1948"/>
      <c r="I29" s="1948"/>
      <c r="J29" s="1948"/>
      <c r="L29" s="1948"/>
      <c r="M29" s="1948"/>
      <c r="N29" s="1948"/>
      <c r="O29" s="1948"/>
      <c r="Q29" s="1948"/>
      <c r="R29" s="1948"/>
      <c r="S29" s="1948"/>
      <c r="T29" s="1948"/>
    </row>
    <row r="30" spans="2:20">
      <c r="B30" s="1948"/>
      <c r="C30" s="1948"/>
      <c r="D30" s="1948"/>
      <c r="E30" s="1948"/>
      <c r="G30" s="1948"/>
      <c r="H30" s="1948"/>
      <c r="I30" s="1948"/>
      <c r="J30" s="1948"/>
      <c r="L30" s="1948"/>
      <c r="M30" s="1948"/>
      <c r="N30" s="1948"/>
      <c r="O30" s="1948"/>
      <c r="Q30" s="1948"/>
      <c r="R30" s="1948"/>
      <c r="S30" s="1948"/>
      <c r="T30" s="1948"/>
    </row>
    <row r="31" spans="2:20">
      <c r="B31" s="1948"/>
      <c r="C31" s="1948"/>
      <c r="D31" s="1948"/>
      <c r="E31" s="1948"/>
      <c r="G31" s="1948"/>
      <c r="H31" s="1948"/>
      <c r="I31" s="1948"/>
      <c r="J31" s="1948"/>
      <c r="L31" s="1948"/>
      <c r="M31" s="1948"/>
      <c r="N31" s="1948"/>
      <c r="O31" s="1948"/>
      <c r="Q31" s="1948"/>
      <c r="R31" s="1948"/>
      <c r="S31" s="1948"/>
      <c r="T31" s="1948"/>
    </row>
    <row r="32" spans="2:20">
      <c r="B32" s="1948"/>
      <c r="C32" s="1948"/>
      <c r="D32" s="1948"/>
      <c r="E32" s="1948"/>
      <c r="G32" s="1948"/>
      <c r="H32" s="1948"/>
      <c r="I32" s="1948"/>
      <c r="J32" s="1948"/>
      <c r="L32" s="1948"/>
      <c r="M32" s="1948"/>
      <c r="N32" s="1948"/>
      <c r="O32" s="1948"/>
      <c r="Q32" s="1948"/>
      <c r="R32" s="1948"/>
      <c r="S32" s="1948"/>
      <c r="T32" s="1948"/>
    </row>
    <row r="33" spans="2:20">
      <c r="B33" s="1948"/>
      <c r="C33" s="1948"/>
      <c r="D33" s="1948"/>
      <c r="E33" s="1948"/>
      <c r="G33" s="1948"/>
      <c r="H33" s="1948"/>
      <c r="I33" s="1948"/>
      <c r="J33" s="1948"/>
      <c r="L33" s="1948"/>
      <c r="M33" s="1948"/>
      <c r="N33" s="1948"/>
      <c r="O33" s="1948"/>
      <c r="Q33" s="1948"/>
      <c r="R33" s="1948"/>
      <c r="S33" s="1948"/>
      <c r="T33" s="1948"/>
    </row>
    <row r="34" spans="2:20">
      <c r="B34" s="1948"/>
      <c r="C34" s="1948"/>
      <c r="D34" s="1948"/>
      <c r="E34" s="1948"/>
      <c r="G34" s="1948"/>
      <c r="H34" s="1948"/>
      <c r="I34" s="1948"/>
      <c r="J34" s="1948"/>
      <c r="L34" s="1948"/>
      <c r="M34" s="1948"/>
      <c r="N34" s="1948"/>
      <c r="O34" s="1948"/>
      <c r="Q34" s="1948"/>
      <c r="R34" s="1948"/>
      <c r="S34" s="1948"/>
      <c r="T34" s="1948"/>
    </row>
    <row r="35" spans="2:20">
      <c r="B35" s="1948"/>
      <c r="C35" s="1948"/>
      <c r="D35" s="1948"/>
      <c r="E35" s="1948"/>
      <c r="G35" s="1948"/>
      <c r="H35" s="1948"/>
      <c r="I35" s="1948"/>
      <c r="J35" s="1948"/>
      <c r="L35" s="1948"/>
      <c r="M35" s="1948"/>
      <c r="N35" s="1948"/>
      <c r="O35" s="1948"/>
      <c r="Q35" s="1948"/>
      <c r="R35" s="1948"/>
      <c r="S35" s="1948"/>
      <c r="T35" s="1948"/>
    </row>
    <row r="36" spans="2:20">
      <c r="B36" s="1948"/>
      <c r="C36" s="1948"/>
      <c r="D36" s="1948"/>
      <c r="E36" s="1948"/>
      <c r="G36" s="1948"/>
      <c r="H36" s="1948"/>
      <c r="I36" s="1948"/>
      <c r="J36" s="1948"/>
      <c r="L36" s="1948"/>
      <c r="M36" s="1948"/>
      <c r="N36" s="1948"/>
      <c r="O36" s="1948"/>
      <c r="Q36" s="1948"/>
      <c r="R36" s="1948"/>
      <c r="S36" s="1948"/>
      <c r="T36" s="1948"/>
    </row>
    <row r="37" spans="2:20">
      <c r="B37" s="1948"/>
      <c r="C37" s="1948"/>
      <c r="D37" s="1948"/>
      <c r="E37" s="1948"/>
      <c r="G37" s="1948"/>
      <c r="H37" s="1948"/>
      <c r="I37" s="1948"/>
      <c r="J37" s="1948"/>
      <c r="L37" s="1948"/>
      <c r="M37" s="1948"/>
      <c r="N37" s="1948"/>
      <c r="O37" s="1948"/>
      <c r="Q37" s="1948"/>
      <c r="R37" s="1948"/>
      <c r="S37" s="1948"/>
      <c r="T37" s="1948"/>
    </row>
    <row r="38" spans="2:20">
      <c r="B38" s="6270" t="s">
        <v>2814</v>
      </c>
      <c r="C38" s="6270"/>
      <c r="D38" s="6270"/>
      <c r="E38" s="6270"/>
      <c r="G38" s="6270" t="s">
        <v>2815</v>
      </c>
      <c r="H38" s="6270"/>
      <c r="I38" s="6270"/>
      <c r="J38" s="6270"/>
      <c r="L38" s="6270" t="s">
        <v>2816</v>
      </c>
      <c r="M38" s="6270"/>
      <c r="N38" s="6270"/>
      <c r="O38" s="6270"/>
      <c r="Q38" s="6270" t="s">
        <v>2449</v>
      </c>
      <c r="R38" s="6270"/>
      <c r="S38" s="6270"/>
      <c r="T38" s="6270"/>
    </row>
    <row r="39" spans="2:20">
      <c r="B39" s="2607" t="s">
        <v>2445</v>
      </c>
      <c r="G39" s="2607" t="s">
        <v>2445</v>
      </c>
      <c r="L39" s="2607" t="s">
        <v>2445</v>
      </c>
      <c r="Q39" s="2607" t="s">
        <v>2445</v>
      </c>
    </row>
    <row r="41" spans="2:20">
      <c r="B41" s="1948"/>
      <c r="C41" s="1948"/>
      <c r="D41" s="1948"/>
      <c r="E41" s="1948"/>
      <c r="G41" s="1948"/>
      <c r="H41" s="1948"/>
      <c r="I41" s="1948"/>
      <c r="J41" s="1948"/>
      <c r="L41" s="1948"/>
      <c r="M41" s="1948"/>
      <c r="N41" s="1948"/>
      <c r="O41" s="1948"/>
      <c r="Q41" s="1948"/>
      <c r="R41" s="1948"/>
      <c r="S41" s="1948"/>
      <c r="T41" s="1948"/>
    </row>
    <row r="42" spans="2:20">
      <c r="B42" s="1948"/>
      <c r="C42" s="1948"/>
      <c r="D42" s="1948"/>
      <c r="E42" s="1948"/>
      <c r="G42" s="1948"/>
      <c r="H42" s="1948"/>
      <c r="I42" s="1948"/>
      <c r="J42" s="1948"/>
      <c r="L42" s="1948"/>
      <c r="M42" s="1948"/>
      <c r="N42" s="1948"/>
      <c r="O42" s="1948"/>
      <c r="Q42" s="1948"/>
      <c r="R42" s="1948"/>
      <c r="S42" s="1948"/>
      <c r="T42" s="1948"/>
    </row>
    <row r="43" spans="2:20">
      <c r="B43" s="1948"/>
      <c r="C43" s="1948"/>
      <c r="D43" s="1948"/>
      <c r="E43" s="1948"/>
      <c r="G43" s="1948"/>
      <c r="H43" s="1948"/>
      <c r="I43" s="1948"/>
      <c r="J43" s="1948"/>
      <c r="L43" s="1948"/>
      <c r="M43" s="1948"/>
      <c r="N43" s="1948"/>
      <c r="O43" s="1948"/>
      <c r="Q43" s="1948"/>
      <c r="R43" s="1948"/>
      <c r="S43" s="1948"/>
      <c r="T43" s="1948"/>
    </row>
    <row r="44" spans="2:20">
      <c r="B44" s="1948"/>
      <c r="C44" s="1948"/>
      <c r="D44" s="1948"/>
      <c r="E44" s="1948"/>
      <c r="G44" s="1948"/>
      <c r="H44" s="1948"/>
      <c r="I44" s="1948"/>
      <c r="J44" s="1948"/>
      <c r="L44" s="1948"/>
      <c r="M44" s="1948"/>
      <c r="N44" s="1948"/>
      <c r="O44" s="1948"/>
      <c r="Q44" s="1948"/>
      <c r="R44" s="1948"/>
      <c r="S44" s="1948"/>
      <c r="T44" s="1948"/>
    </row>
    <row r="45" spans="2:20">
      <c r="B45" s="1948"/>
      <c r="C45" s="1948"/>
      <c r="D45" s="1948"/>
      <c r="E45" s="1948"/>
      <c r="G45" s="1948"/>
      <c r="H45" s="1948"/>
      <c r="I45" s="1948"/>
      <c r="J45" s="1948"/>
      <c r="L45" s="1948"/>
      <c r="M45" s="1948"/>
      <c r="N45" s="1948"/>
      <c r="O45" s="1948"/>
      <c r="Q45" s="1948"/>
      <c r="R45" s="1948"/>
      <c r="S45" s="1948"/>
      <c r="T45" s="1948"/>
    </row>
    <row r="46" spans="2:20">
      <c r="B46" s="1948"/>
      <c r="C46" s="1948"/>
      <c r="D46" s="1948"/>
      <c r="E46" s="1948"/>
      <c r="G46" s="1948"/>
      <c r="H46" s="1948"/>
      <c r="I46" s="1948"/>
      <c r="J46" s="1948"/>
      <c r="L46" s="1948"/>
      <c r="M46" s="1948"/>
      <c r="N46" s="1948"/>
      <c r="O46" s="1948"/>
      <c r="Q46" s="1948"/>
      <c r="R46" s="1948"/>
      <c r="S46" s="1948"/>
      <c r="T46" s="1948"/>
    </row>
    <row r="47" spans="2:20">
      <c r="B47" s="1948"/>
      <c r="C47" s="1948"/>
      <c r="D47" s="1948"/>
      <c r="E47" s="1948"/>
      <c r="G47" s="1948"/>
      <c r="H47" s="1948"/>
      <c r="I47" s="1948"/>
      <c r="J47" s="1948"/>
      <c r="L47" s="1948"/>
      <c r="M47" s="1948"/>
      <c r="N47" s="1948"/>
      <c r="O47" s="1948"/>
      <c r="Q47" s="1948"/>
      <c r="R47" s="1948"/>
      <c r="S47" s="1948"/>
      <c r="T47" s="1948"/>
    </row>
    <row r="48" spans="2:20">
      <c r="B48" s="1948"/>
      <c r="C48" s="1948"/>
      <c r="D48" s="1948"/>
      <c r="E48" s="1948"/>
      <c r="G48" s="1948"/>
      <c r="H48" s="1948"/>
      <c r="I48" s="1948"/>
      <c r="J48" s="1948"/>
      <c r="L48" s="1948"/>
      <c r="M48" s="1948"/>
      <c r="N48" s="1948"/>
      <c r="O48" s="1948"/>
      <c r="Q48" s="1948"/>
      <c r="R48" s="1948"/>
      <c r="S48" s="1948"/>
      <c r="T48" s="1948"/>
    </row>
    <row r="49" spans="2:20">
      <c r="B49" s="1948"/>
      <c r="C49" s="1948"/>
      <c r="D49" s="1948"/>
      <c r="E49" s="1948"/>
      <c r="G49" s="1948"/>
      <c r="H49" s="1948"/>
      <c r="I49" s="1948"/>
      <c r="J49" s="1948"/>
      <c r="L49" s="1948"/>
      <c r="M49" s="1948"/>
      <c r="N49" s="1948"/>
      <c r="O49" s="1948"/>
      <c r="Q49" s="1948"/>
      <c r="R49" s="1948"/>
      <c r="S49" s="1948"/>
      <c r="T49" s="1948"/>
    </row>
    <row r="50" spans="2:20">
      <c r="B50" s="1948"/>
      <c r="C50" s="1948"/>
      <c r="D50" s="1948"/>
      <c r="E50" s="1948"/>
      <c r="G50" s="1948"/>
      <c r="H50" s="1948"/>
      <c r="I50" s="1948"/>
      <c r="J50" s="1948"/>
      <c r="L50" s="1948"/>
      <c r="M50" s="1948"/>
      <c r="N50" s="1948"/>
      <c r="O50" s="1948"/>
      <c r="Q50" s="1948"/>
      <c r="R50" s="1948"/>
      <c r="S50" s="1948"/>
      <c r="T50" s="1948"/>
    </row>
    <row r="51" spans="2:20">
      <c r="B51" s="1948"/>
      <c r="C51" s="1948"/>
      <c r="D51" s="1948"/>
      <c r="E51" s="1948"/>
      <c r="G51" s="1948"/>
      <c r="H51" s="1948"/>
      <c r="I51" s="1948"/>
      <c r="J51" s="1948"/>
      <c r="L51" s="1948"/>
      <c r="M51" s="1948"/>
      <c r="N51" s="1948"/>
      <c r="O51" s="1948"/>
      <c r="Q51" s="1948"/>
      <c r="R51" s="1948"/>
      <c r="S51" s="1948"/>
      <c r="T51" s="1948"/>
    </row>
    <row r="52" spans="2:20">
      <c r="B52" s="1948"/>
      <c r="C52" s="1948"/>
      <c r="D52" s="1948"/>
      <c r="E52" s="1948"/>
      <c r="G52" s="1948"/>
      <c r="H52" s="1948"/>
      <c r="I52" s="1948"/>
      <c r="J52" s="1948"/>
      <c r="L52" s="1948"/>
      <c r="M52" s="1948"/>
      <c r="N52" s="1948"/>
      <c r="O52" s="1948"/>
      <c r="Q52" s="1948"/>
      <c r="R52" s="1948"/>
      <c r="S52" s="1948"/>
      <c r="T52" s="1948"/>
    </row>
    <row r="53" spans="2:20">
      <c r="B53" s="1948"/>
      <c r="C53" s="1948"/>
      <c r="D53" s="1948"/>
      <c r="E53" s="1948"/>
      <c r="G53" s="1948"/>
      <c r="H53" s="1948"/>
      <c r="I53" s="1948"/>
      <c r="J53" s="1948"/>
      <c r="L53" s="1948"/>
      <c r="M53" s="1948"/>
      <c r="N53" s="1948"/>
      <c r="O53" s="1948"/>
      <c r="Q53" s="1948"/>
      <c r="R53" s="1948"/>
      <c r="S53" s="1948"/>
      <c r="T53" s="1948"/>
    </row>
    <row r="54" spans="2:20" ht="18.75">
      <c r="B54" s="6271" t="s">
        <v>2419</v>
      </c>
      <c r="C54" s="6271"/>
      <c r="D54" s="6271"/>
      <c r="E54" s="6271"/>
      <c r="G54" s="6270" t="s">
        <v>2450</v>
      </c>
      <c r="H54" s="6270"/>
      <c r="I54" s="6270"/>
      <c r="J54" s="6270"/>
      <c r="L54" s="6270" t="s">
        <v>2454</v>
      </c>
      <c r="M54" s="6270"/>
      <c r="N54" s="6270"/>
      <c r="O54" s="6270"/>
      <c r="Q54" s="6271" t="s">
        <v>2420</v>
      </c>
      <c r="R54" s="6271"/>
      <c r="S54" s="6271"/>
      <c r="T54" s="6271"/>
    </row>
    <row r="55" spans="2:20" ht="18.75">
      <c r="G55" s="2607" t="s">
        <v>2445</v>
      </c>
      <c r="L55" s="2607" t="s">
        <v>2445</v>
      </c>
      <c r="N55" s="1221"/>
    </row>
    <row r="57" spans="2:20">
      <c r="B57" s="1948"/>
      <c r="C57" s="1948"/>
      <c r="D57" s="1948"/>
      <c r="E57" s="1948"/>
      <c r="G57" s="1948"/>
      <c r="H57" s="1948"/>
      <c r="I57" s="1948"/>
      <c r="J57" s="1948"/>
      <c r="L57" s="1948"/>
      <c r="M57" s="1948"/>
      <c r="N57" s="1948"/>
      <c r="O57" s="1948"/>
      <c r="Q57" s="1948"/>
      <c r="R57" s="1948"/>
      <c r="S57" s="1948"/>
      <c r="T57" s="1948"/>
    </row>
    <row r="58" spans="2:20">
      <c r="B58" s="1948"/>
      <c r="C58" s="1948"/>
      <c r="D58" s="1948"/>
      <c r="E58" s="1948"/>
      <c r="G58" s="1948"/>
      <c r="H58" s="1948"/>
      <c r="I58" s="1948"/>
      <c r="J58" s="1948"/>
      <c r="L58" s="1948"/>
      <c r="M58" s="1948"/>
      <c r="N58" s="1948"/>
      <c r="O58" s="1948"/>
      <c r="Q58" s="1948"/>
      <c r="R58" s="1948"/>
      <c r="S58" s="1948"/>
      <c r="T58" s="1948"/>
    </row>
    <row r="59" spans="2:20">
      <c r="B59" s="1948"/>
      <c r="C59" s="1948"/>
      <c r="D59" s="1948"/>
      <c r="E59" s="1948"/>
      <c r="G59" s="1948"/>
      <c r="H59" s="1948"/>
      <c r="I59" s="1948"/>
      <c r="J59" s="1948"/>
      <c r="L59" s="1948"/>
      <c r="M59" s="1948"/>
      <c r="N59" s="1948"/>
      <c r="O59" s="1948"/>
      <c r="Q59" s="1948"/>
      <c r="R59" s="1948"/>
      <c r="S59" s="1948"/>
      <c r="T59" s="1948"/>
    </row>
    <row r="60" spans="2:20">
      <c r="B60" s="1948"/>
      <c r="C60" s="1948"/>
      <c r="D60" s="1948"/>
      <c r="E60" s="1948"/>
      <c r="G60" s="1948"/>
      <c r="H60" s="1948"/>
      <c r="I60" s="1948"/>
      <c r="J60" s="1948"/>
      <c r="L60" s="1948"/>
      <c r="M60" s="1948"/>
      <c r="N60" s="1948"/>
      <c r="O60" s="1948"/>
      <c r="Q60" s="1948"/>
      <c r="R60" s="1948"/>
      <c r="S60" s="1948"/>
      <c r="T60" s="1948"/>
    </row>
    <row r="61" spans="2:20">
      <c r="B61" s="1948"/>
      <c r="C61" s="1948"/>
      <c r="D61" s="1948"/>
      <c r="E61" s="1948"/>
      <c r="G61" s="1948"/>
      <c r="H61" s="1948"/>
      <c r="I61" s="1948"/>
      <c r="J61" s="1948"/>
      <c r="L61" s="1948"/>
      <c r="M61" s="1948"/>
      <c r="N61" s="1948"/>
      <c r="O61" s="1948"/>
      <c r="Q61" s="1948"/>
      <c r="R61" s="1948"/>
      <c r="S61" s="1948"/>
      <c r="T61" s="1948"/>
    </row>
    <row r="62" spans="2:20">
      <c r="B62" s="1948"/>
      <c r="C62" s="1948"/>
      <c r="D62" s="1948"/>
      <c r="E62" s="1948"/>
      <c r="G62" s="1948"/>
      <c r="H62" s="1948"/>
      <c r="I62" s="1948"/>
      <c r="J62" s="1948"/>
      <c r="L62" s="1948"/>
      <c r="M62" s="1948"/>
      <c r="N62" s="1948"/>
      <c r="O62" s="1948"/>
      <c r="Q62" s="1948"/>
      <c r="R62" s="1948"/>
      <c r="S62" s="1948"/>
      <c r="T62" s="1948"/>
    </row>
    <row r="63" spans="2:20">
      <c r="B63" s="1948"/>
      <c r="C63" s="1948"/>
      <c r="D63" s="1948"/>
      <c r="E63" s="1948"/>
      <c r="G63" s="1948"/>
      <c r="H63" s="1948"/>
      <c r="I63" s="1948"/>
      <c r="J63" s="1948"/>
      <c r="L63" s="1948"/>
      <c r="M63" s="1948"/>
      <c r="N63" s="1948"/>
      <c r="O63" s="1948"/>
      <c r="Q63" s="1948"/>
      <c r="R63" s="1948"/>
      <c r="S63" s="1948"/>
      <c r="T63" s="1948"/>
    </row>
    <row r="64" spans="2:20">
      <c r="B64" s="1948"/>
      <c r="C64" s="1948"/>
      <c r="D64" s="1948"/>
      <c r="E64" s="1948"/>
      <c r="G64" s="1948"/>
      <c r="H64" s="1948"/>
      <c r="I64" s="1948"/>
      <c r="J64" s="1948"/>
      <c r="L64" s="1948"/>
      <c r="M64" s="1948"/>
      <c r="N64" s="1948"/>
      <c r="O64" s="1948"/>
      <c r="Q64" s="1948"/>
      <c r="R64" s="1948"/>
      <c r="S64" s="1948"/>
      <c r="T64" s="1948"/>
    </row>
    <row r="65" spans="2:20">
      <c r="B65" s="1948"/>
      <c r="C65" s="1948"/>
      <c r="D65" s="1948"/>
      <c r="E65" s="1948"/>
      <c r="G65" s="1948"/>
      <c r="H65" s="1948"/>
      <c r="I65" s="1948"/>
      <c r="J65" s="1948"/>
      <c r="L65" s="1948"/>
      <c r="M65" s="1948"/>
      <c r="N65" s="1948"/>
      <c r="O65" s="1948"/>
      <c r="Q65" s="1948"/>
      <c r="R65" s="1948"/>
      <c r="S65" s="1948"/>
      <c r="T65" s="1948"/>
    </row>
    <row r="66" spans="2:20">
      <c r="B66" s="1948"/>
      <c r="C66" s="1948"/>
      <c r="D66" s="1948"/>
      <c r="E66" s="1948"/>
      <c r="G66" s="1948"/>
      <c r="H66" s="1948"/>
      <c r="I66" s="1948"/>
      <c r="J66" s="1948"/>
      <c r="L66" s="1948"/>
      <c r="M66" s="1948"/>
      <c r="N66" s="1948"/>
      <c r="O66" s="1948"/>
      <c r="Q66" s="1948"/>
      <c r="R66" s="1948"/>
      <c r="S66" s="1948"/>
      <c r="T66" s="1948"/>
    </row>
    <row r="67" spans="2:20">
      <c r="B67" s="1948"/>
      <c r="C67" s="1948"/>
      <c r="D67" s="1948"/>
      <c r="E67" s="1948"/>
      <c r="G67" s="1948"/>
      <c r="H67" s="1948"/>
      <c r="I67" s="1948"/>
      <c r="J67" s="1948"/>
      <c r="L67" s="1948"/>
      <c r="M67" s="1948"/>
      <c r="N67" s="1948"/>
      <c r="O67" s="1948"/>
      <c r="Q67" s="1948"/>
      <c r="R67" s="1948"/>
      <c r="S67" s="1948"/>
      <c r="T67" s="1948"/>
    </row>
    <row r="68" spans="2:20">
      <c r="B68" s="1948"/>
      <c r="C68" s="1948"/>
      <c r="D68" s="1948"/>
      <c r="E68" s="1948"/>
      <c r="G68" s="1948"/>
      <c r="H68" s="1948"/>
      <c r="I68" s="1948"/>
      <c r="J68" s="1948"/>
      <c r="L68" s="1948"/>
      <c r="M68" s="1948"/>
      <c r="N68" s="1948"/>
      <c r="O68" s="1948"/>
      <c r="Q68" s="1948"/>
      <c r="R68" s="1948"/>
      <c r="S68" s="1948"/>
      <c r="T68" s="1948"/>
    </row>
    <row r="69" spans="2:20" ht="15.75" customHeight="1">
      <c r="B69" s="1948"/>
      <c r="C69" s="1948"/>
      <c r="D69" s="1948"/>
      <c r="E69" s="1948"/>
      <c r="G69" s="1948"/>
      <c r="H69" s="1948"/>
      <c r="I69" s="1948"/>
      <c r="J69" s="1948"/>
      <c r="L69" s="1948"/>
      <c r="M69" s="1948"/>
      <c r="N69" s="1948"/>
      <c r="O69" s="1948"/>
      <c r="Q69" s="1948"/>
      <c r="R69" s="1948"/>
      <c r="S69" s="1948"/>
      <c r="T69" s="1948"/>
    </row>
    <row r="70" spans="2:20" ht="18.75">
      <c r="B70" s="6271" t="s">
        <v>985</v>
      </c>
      <c r="C70" s="6271"/>
      <c r="D70" s="6271"/>
      <c r="E70" s="6271"/>
      <c r="G70" s="6270" t="s">
        <v>2453</v>
      </c>
      <c r="H70" s="6270"/>
      <c r="I70" s="6270"/>
      <c r="J70" s="6270"/>
      <c r="L70" s="6271" t="s">
        <v>2451</v>
      </c>
      <c r="M70" s="6271"/>
      <c r="N70" s="6271"/>
      <c r="O70" s="6271"/>
      <c r="Q70" s="6271" t="s">
        <v>2452</v>
      </c>
      <c r="R70" s="6271"/>
      <c r="S70" s="6271"/>
      <c r="T70" s="6271"/>
    </row>
    <row r="71" spans="2:20">
      <c r="G71" s="2607" t="s">
        <v>2445</v>
      </c>
    </row>
    <row r="73" spans="2:20">
      <c r="B73" s="1948"/>
      <c r="C73" s="1948"/>
      <c r="D73" s="1948"/>
      <c r="E73" s="1948"/>
      <c r="G73" s="1948"/>
      <c r="H73" s="1948"/>
      <c r="I73" s="1948"/>
      <c r="J73" s="1948"/>
      <c r="L73" s="1948"/>
      <c r="M73" s="1948"/>
      <c r="N73" s="1948"/>
      <c r="O73" s="1948"/>
      <c r="Q73" s="1948"/>
      <c r="R73" s="1948"/>
      <c r="S73" s="1948"/>
      <c r="T73" s="1948"/>
    </row>
    <row r="74" spans="2:20">
      <c r="B74" s="1948"/>
      <c r="C74" s="1948"/>
      <c r="D74" s="1948"/>
      <c r="E74" s="1948"/>
      <c r="G74" s="1948"/>
      <c r="H74" s="1948"/>
      <c r="I74" s="1948"/>
      <c r="J74" s="1948"/>
      <c r="L74" s="1948"/>
      <c r="M74" s="1948"/>
      <c r="N74" s="1948"/>
      <c r="O74" s="1948"/>
      <c r="Q74" s="1948"/>
      <c r="R74" s="1948"/>
      <c r="S74" s="1948"/>
      <c r="T74" s="1948"/>
    </row>
    <row r="75" spans="2:20">
      <c r="B75" s="1948"/>
      <c r="C75" s="1948"/>
      <c r="D75" s="1948"/>
      <c r="E75" s="1948"/>
      <c r="G75" s="1948"/>
      <c r="H75" s="1948"/>
      <c r="I75" s="1948"/>
      <c r="J75" s="1948"/>
      <c r="L75" s="1948"/>
      <c r="M75" s="1948"/>
      <c r="N75" s="1948"/>
      <c r="O75" s="1948"/>
      <c r="Q75" s="1948"/>
      <c r="R75" s="1948"/>
      <c r="S75" s="1948"/>
      <c r="T75" s="1948"/>
    </row>
    <row r="76" spans="2:20">
      <c r="B76" s="1948"/>
      <c r="C76" s="1948"/>
      <c r="D76" s="1948"/>
      <c r="E76" s="1948"/>
      <c r="G76" s="1948"/>
      <c r="H76" s="1948"/>
      <c r="I76" s="1948"/>
      <c r="J76" s="1948"/>
      <c r="L76" s="1948"/>
      <c r="M76" s="1948"/>
      <c r="N76" s="1948"/>
      <c r="O76" s="1948"/>
      <c r="Q76" s="1948"/>
      <c r="R76" s="1948"/>
      <c r="S76" s="1948"/>
      <c r="T76" s="1948"/>
    </row>
    <row r="77" spans="2:20">
      <c r="B77" s="1948"/>
      <c r="C77" s="1948"/>
      <c r="D77" s="1948"/>
      <c r="E77" s="1948"/>
      <c r="G77" s="1948"/>
      <c r="H77" s="1948"/>
      <c r="I77" s="1948"/>
      <c r="J77" s="1948"/>
      <c r="L77" s="1948"/>
      <c r="M77" s="1948"/>
      <c r="N77" s="1948"/>
      <c r="O77" s="1948"/>
      <c r="Q77" s="1948"/>
      <c r="R77" s="1948"/>
      <c r="S77" s="1948"/>
      <c r="T77" s="1948"/>
    </row>
    <row r="78" spans="2:20">
      <c r="B78" s="1948"/>
      <c r="C78" s="1948"/>
      <c r="D78" s="1948"/>
      <c r="E78" s="1948"/>
      <c r="G78" s="1948"/>
      <c r="H78" s="1948"/>
      <c r="I78" s="1948"/>
      <c r="J78" s="1948"/>
      <c r="L78" s="1948"/>
      <c r="M78" s="1948"/>
      <c r="N78" s="1948"/>
      <c r="O78" s="1948"/>
      <c r="Q78" s="1948"/>
      <c r="R78" s="1948"/>
      <c r="S78" s="1948"/>
      <c r="T78" s="1948"/>
    </row>
    <row r="79" spans="2:20">
      <c r="B79" s="1948"/>
      <c r="C79" s="1948"/>
      <c r="D79" s="1948"/>
      <c r="E79" s="1948"/>
      <c r="G79" s="1948"/>
      <c r="H79" s="1948"/>
      <c r="I79" s="1948"/>
      <c r="J79" s="1948"/>
      <c r="L79" s="1948"/>
      <c r="M79" s="1948"/>
      <c r="N79" s="1948"/>
      <c r="O79" s="1948"/>
      <c r="Q79" s="1948"/>
      <c r="R79" s="1948"/>
      <c r="S79" s="1948"/>
      <c r="T79" s="1948"/>
    </row>
    <row r="80" spans="2:20">
      <c r="B80" s="1948"/>
      <c r="C80" s="1948"/>
      <c r="D80" s="1948"/>
      <c r="E80" s="1948"/>
      <c r="G80" s="1948"/>
      <c r="H80" s="1948"/>
      <c r="I80" s="1948"/>
      <c r="J80" s="1948"/>
      <c r="L80" s="1948"/>
      <c r="M80" s="1948"/>
      <c r="N80" s="1948"/>
      <c r="O80" s="1948"/>
      <c r="Q80" s="1948"/>
      <c r="R80" s="1948"/>
      <c r="S80" s="1948"/>
      <c r="T80" s="1948"/>
    </row>
    <row r="81" spans="2:20">
      <c r="B81" s="1948"/>
      <c r="C81" s="1948"/>
      <c r="D81" s="1948"/>
      <c r="E81" s="1948"/>
      <c r="G81" s="1948"/>
      <c r="H81" s="1948"/>
      <c r="I81" s="1948"/>
      <c r="J81" s="1948"/>
      <c r="L81" s="1948"/>
      <c r="M81" s="1948"/>
      <c r="N81" s="1948"/>
      <c r="O81" s="1948"/>
      <c r="Q81" s="1948"/>
      <c r="R81" s="1948"/>
      <c r="S81" s="1948"/>
      <c r="T81" s="1948"/>
    </row>
    <row r="82" spans="2:20">
      <c r="B82" s="1948"/>
      <c r="C82" s="1948"/>
      <c r="D82" s="1948"/>
      <c r="E82" s="1948"/>
      <c r="G82" s="1948"/>
      <c r="H82" s="1948"/>
      <c r="I82" s="1948"/>
      <c r="J82" s="1948"/>
      <c r="L82" s="1948"/>
      <c r="M82" s="1948"/>
      <c r="N82" s="1948"/>
      <c r="O82" s="1948"/>
      <c r="Q82" s="1948"/>
      <c r="R82" s="1948"/>
      <c r="S82" s="1948"/>
      <c r="T82" s="1948"/>
    </row>
    <row r="83" spans="2:20">
      <c r="B83" s="1948"/>
      <c r="C83" s="1948"/>
      <c r="D83" s="1948"/>
      <c r="E83" s="1948"/>
      <c r="G83" s="1948"/>
      <c r="H83" s="1948"/>
      <c r="I83" s="1948"/>
      <c r="J83" s="1948"/>
      <c r="L83" s="1948"/>
      <c r="M83" s="1948"/>
      <c r="N83" s="1948"/>
      <c r="O83" s="1948"/>
      <c r="Q83" s="1948"/>
      <c r="R83" s="1948"/>
      <c r="S83" s="1948"/>
      <c r="T83" s="1948"/>
    </row>
    <row r="84" spans="2:20">
      <c r="B84" s="1948"/>
      <c r="C84" s="1948"/>
      <c r="D84" s="1948"/>
      <c r="E84" s="1948"/>
      <c r="G84" s="1948"/>
      <c r="H84" s="1948"/>
      <c r="I84" s="1948"/>
      <c r="J84" s="1948"/>
      <c r="L84" s="1948"/>
      <c r="M84" s="1948"/>
      <c r="N84" s="1948"/>
      <c r="O84" s="1948"/>
      <c r="Q84" s="1948"/>
      <c r="R84" s="1948"/>
      <c r="S84" s="1948"/>
      <c r="T84" s="1948"/>
    </row>
    <row r="85" spans="2:20">
      <c r="B85" s="1948"/>
      <c r="C85" s="1948"/>
      <c r="D85" s="1948"/>
      <c r="E85" s="1948"/>
      <c r="G85" s="1948"/>
      <c r="H85" s="1948"/>
      <c r="I85" s="1948"/>
      <c r="J85" s="1948"/>
      <c r="L85" s="1948"/>
      <c r="M85" s="1948"/>
      <c r="N85" s="1948"/>
      <c r="O85" s="1948"/>
      <c r="Q85" s="1948"/>
      <c r="R85" s="1948"/>
      <c r="S85" s="1948"/>
      <c r="T85" s="1948"/>
    </row>
    <row r="86" spans="2:20" ht="18.75" customHeight="1">
      <c r="B86" s="6271" t="s">
        <v>556</v>
      </c>
      <c r="C86" s="6271"/>
      <c r="D86" s="6271"/>
      <c r="E86" s="6271"/>
      <c r="G86" s="6271" t="s">
        <v>2205</v>
      </c>
      <c r="H86" s="6271"/>
      <c r="I86" s="6271"/>
      <c r="J86" s="6271"/>
      <c r="L86" s="6270" t="s">
        <v>2455</v>
      </c>
      <c r="M86" s="6270"/>
      <c r="N86" s="6270"/>
      <c r="O86" s="6270"/>
      <c r="Q86" s="6270" t="s">
        <v>2460</v>
      </c>
      <c r="R86" s="6270"/>
      <c r="S86" s="6270"/>
      <c r="T86" s="6270"/>
    </row>
    <row r="87" spans="2:20">
      <c r="L87" s="2607" t="s">
        <v>2445</v>
      </c>
      <c r="Q87" s="2607" t="s">
        <v>2445</v>
      </c>
    </row>
    <row r="89" spans="2:20">
      <c r="B89" s="1948"/>
      <c r="C89" s="1948"/>
      <c r="D89" s="1948"/>
      <c r="E89" s="1948"/>
      <c r="G89" s="1948"/>
      <c r="H89" s="1948"/>
      <c r="I89" s="1948"/>
      <c r="J89" s="1948"/>
      <c r="L89" s="1948"/>
      <c r="M89" s="1948"/>
      <c r="N89" s="1948"/>
      <c r="O89" s="1948"/>
      <c r="Q89" s="1948"/>
      <c r="R89" s="1948"/>
      <c r="S89" s="1948"/>
      <c r="T89" s="1948"/>
    </row>
    <row r="90" spans="2:20">
      <c r="B90" s="1948"/>
      <c r="C90" s="1948"/>
      <c r="D90" s="1948"/>
      <c r="E90" s="1948"/>
      <c r="G90" s="1948"/>
      <c r="H90" s="1948"/>
      <c r="I90" s="1948"/>
      <c r="J90" s="1948"/>
      <c r="L90" s="1948"/>
      <c r="M90" s="1948"/>
      <c r="N90" s="1948"/>
      <c r="O90" s="1948"/>
      <c r="Q90" s="1948"/>
      <c r="R90" s="1948"/>
      <c r="S90" s="1948"/>
      <c r="T90" s="1948"/>
    </row>
    <row r="91" spans="2:20">
      <c r="B91" s="1948"/>
      <c r="C91" s="1948"/>
      <c r="D91" s="1948"/>
      <c r="E91" s="1948"/>
      <c r="G91" s="1948"/>
      <c r="H91" s="1948"/>
      <c r="I91" s="1948"/>
      <c r="J91" s="1948"/>
      <c r="L91" s="1948"/>
      <c r="M91" s="1948"/>
      <c r="N91" s="1948"/>
      <c r="O91" s="1948"/>
      <c r="Q91" s="1948"/>
      <c r="R91" s="1948"/>
      <c r="S91" s="1948"/>
      <c r="T91" s="1948"/>
    </row>
    <row r="92" spans="2:20">
      <c r="B92" s="1948"/>
      <c r="C92" s="1948"/>
      <c r="D92" s="1948"/>
      <c r="E92" s="1948"/>
      <c r="G92" s="1948"/>
      <c r="H92" s="1948"/>
      <c r="I92" s="1948"/>
      <c r="J92" s="1948"/>
      <c r="L92" s="1948"/>
      <c r="M92" s="1948"/>
      <c r="N92" s="1948"/>
      <c r="O92" s="1948"/>
      <c r="Q92" s="1948"/>
      <c r="R92" s="1948"/>
      <c r="S92" s="1948"/>
      <c r="T92" s="1948"/>
    </row>
    <row r="93" spans="2:20">
      <c r="B93" s="1948"/>
      <c r="C93" s="1948"/>
      <c r="D93" s="1948"/>
      <c r="E93" s="1948"/>
      <c r="G93" s="1948"/>
      <c r="H93" s="1948"/>
      <c r="I93" s="1948"/>
      <c r="J93" s="1948"/>
      <c r="L93" s="1948"/>
      <c r="M93" s="1948"/>
      <c r="N93" s="1948"/>
      <c r="O93" s="1948"/>
      <c r="Q93" s="1948"/>
      <c r="R93" s="1948"/>
      <c r="S93" s="1948"/>
      <c r="T93" s="1948"/>
    </row>
    <row r="94" spans="2:20">
      <c r="B94" s="1948"/>
      <c r="C94" s="1948"/>
      <c r="D94" s="1948"/>
      <c r="E94" s="1948"/>
      <c r="G94" s="1948"/>
      <c r="H94" s="1948"/>
      <c r="I94" s="1948"/>
      <c r="J94" s="1948"/>
      <c r="L94" s="1948"/>
      <c r="M94" s="1948"/>
      <c r="N94" s="1948"/>
      <c r="O94" s="1948"/>
      <c r="Q94" s="1948"/>
      <c r="R94" s="1948"/>
      <c r="S94" s="1948"/>
      <c r="T94" s="1948"/>
    </row>
    <row r="95" spans="2:20">
      <c r="B95" s="1948"/>
      <c r="C95" s="1948"/>
      <c r="D95" s="1948"/>
      <c r="E95" s="1948"/>
      <c r="G95" s="1948"/>
      <c r="H95" s="1948"/>
      <c r="I95" s="1948"/>
      <c r="J95" s="1948"/>
      <c r="L95" s="1948"/>
      <c r="M95" s="1948"/>
      <c r="N95" s="1948"/>
      <c r="O95" s="1948"/>
      <c r="Q95" s="1948"/>
      <c r="R95" s="1948"/>
      <c r="S95" s="1948"/>
      <c r="T95" s="1948"/>
    </row>
    <row r="96" spans="2:20">
      <c r="B96" s="1948"/>
      <c r="C96" s="1948"/>
      <c r="D96" s="1948"/>
      <c r="E96" s="1948"/>
      <c r="G96" s="1948"/>
      <c r="H96" s="1948"/>
      <c r="I96" s="1948"/>
      <c r="J96" s="1948"/>
      <c r="L96" s="1948"/>
      <c r="M96" s="1948"/>
      <c r="N96" s="1948"/>
      <c r="O96" s="1948"/>
      <c r="Q96" s="1948"/>
      <c r="R96" s="1948"/>
      <c r="S96" s="1948"/>
      <c r="T96" s="1948"/>
    </row>
    <row r="97" spans="2:20">
      <c r="B97" s="1948"/>
      <c r="C97" s="1948"/>
      <c r="D97" s="1948"/>
      <c r="E97" s="1948"/>
      <c r="G97" s="1948"/>
      <c r="H97" s="1948"/>
      <c r="I97" s="1948"/>
      <c r="J97" s="1948"/>
      <c r="L97" s="1948"/>
      <c r="M97" s="1948"/>
      <c r="N97" s="1948"/>
      <c r="O97" s="1948"/>
      <c r="Q97" s="1948"/>
      <c r="R97" s="1948"/>
      <c r="S97" s="1948"/>
      <c r="T97" s="1948"/>
    </row>
    <row r="98" spans="2:20">
      <c r="B98" s="1948"/>
      <c r="C98" s="1948"/>
      <c r="D98" s="1948"/>
      <c r="E98" s="1948"/>
      <c r="G98" s="1948"/>
      <c r="H98" s="1948"/>
      <c r="I98" s="1948"/>
      <c r="J98" s="1948"/>
      <c r="L98" s="1948"/>
      <c r="M98" s="1948"/>
      <c r="N98" s="1948"/>
      <c r="O98" s="1948"/>
      <c r="Q98" s="1948"/>
      <c r="R98" s="1948"/>
      <c r="S98" s="1948"/>
      <c r="T98" s="1948"/>
    </row>
    <row r="99" spans="2:20">
      <c r="B99" s="1948"/>
      <c r="C99" s="1948"/>
      <c r="D99" s="1948"/>
      <c r="E99" s="1948"/>
      <c r="G99" s="1948"/>
      <c r="H99" s="1948"/>
      <c r="I99" s="1948"/>
      <c r="J99" s="1948"/>
      <c r="L99" s="1948"/>
      <c r="M99" s="1948"/>
      <c r="N99" s="1948"/>
      <c r="O99" s="1948"/>
      <c r="Q99" s="1948"/>
      <c r="R99" s="1948"/>
      <c r="S99" s="1948"/>
      <c r="T99" s="1948"/>
    </row>
    <row r="100" spans="2:20">
      <c r="B100" s="1948"/>
      <c r="C100" s="1948"/>
      <c r="D100" s="1948"/>
      <c r="E100" s="1948"/>
      <c r="G100" s="1948"/>
      <c r="H100" s="1948"/>
      <c r="I100" s="1948"/>
      <c r="J100" s="1948"/>
      <c r="L100" s="1948"/>
      <c r="M100" s="1948"/>
      <c r="N100" s="1948"/>
      <c r="O100" s="1948"/>
      <c r="Q100" s="1948"/>
      <c r="R100" s="1948"/>
      <c r="S100" s="1948"/>
      <c r="T100" s="1948"/>
    </row>
    <row r="101" spans="2:20">
      <c r="B101" s="1948"/>
      <c r="C101" s="1948"/>
      <c r="D101" s="1948"/>
      <c r="E101" s="1948"/>
      <c r="G101" s="1948"/>
      <c r="H101" s="1948"/>
      <c r="I101" s="1948"/>
      <c r="J101" s="1948"/>
      <c r="L101" s="1948"/>
      <c r="M101" s="1948"/>
      <c r="N101" s="1948"/>
      <c r="O101" s="1948"/>
      <c r="Q101" s="1948"/>
      <c r="R101" s="1948"/>
      <c r="S101" s="1948"/>
      <c r="T101" s="1948"/>
    </row>
    <row r="102" spans="2:20" ht="18.75" customHeight="1">
      <c r="B102" s="6270" t="s">
        <v>2456</v>
      </c>
      <c r="C102" s="6270"/>
      <c r="D102" s="6270"/>
      <c r="E102" s="6270"/>
      <c r="G102" s="6271" t="s">
        <v>2421</v>
      </c>
      <c r="H102" s="6271"/>
      <c r="I102" s="6271"/>
      <c r="J102" s="6271"/>
      <c r="L102" s="6271" t="s">
        <v>2422</v>
      </c>
      <c r="M102" s="6271"/>
      <c r="N102" s="6271"/>
      <c r="O102" s="6271"/>
      <c r="Q102" s="6271" t="s">
        <v>557</v>
      </c>
      <c r="R102" s="6271"/>
      <c r="S102" s="6271"/>
      <c r="T102" s="6271"/>
    </row>
    <row r="103" spans="2:20">
      <c r="B103" s="2607" t="s">
        <v>2445</v>
      </c>
    </row>
    <row r="105" spans="2:20">
      <c r="B105" s="1948"/>
      <c r="C105" s="1948"/>
      <c r="D105" s="1948"/>
      <c r="E105" s="1948"/>
      <c r="G105" s="1948"/>
      <c r="H105" s="1948"/>
      <c r="I105" s="1948"/>
      <c r="J105" s="1948"/>
      <c r="L105" s="1948"/>
      <c r="M105" s="1948"/>
      <c r="N105" s="1948"/>
      <c r="O105" s="1948"/>
      <c r="Q105" s="1948"/>
      <c r="R105" s="1948"/>
      <c r="S105" s="1948"/>
      <c r="T105" s="1948"/>
    </row>
    <row r="106" spans="2:20">
      <c r="B106" s="1948"/>
      <c r="C106" s="1948"/>
      <c r="D106" s="1948"/>
      <c r="E106" s="1948"/>
      <c r="G106" s="1948"/>
      <c r="H106" s="1948"/>
      <c r="I106" s="1948"/>
      <c r="J106" s="1948"/>
      <c r="L106" s="1948"/>
      <c r="M106" s="1948"/>
      <c r="N106" s="1948"/>
      <c r="O106" s="1948"/>
      <c r="Q106" s="1948"/>
      <c r="R106" s="1948"/>
      <c r="S106" s="1948"/>
      <c r="T106" s="1948"/>
    </row>
    <row r="107" spans="2:20">
      <c r="B107" s="1948"/>
      <c r="C107" s="1948"/>
      <c r="D107" s="1948"/>
      <c r="E107" s="1948"/>
      <c r="G107" s="1948"/>
      <c r="H107" s="1948"/>
      <c r="I107" s="1948"/>
      <c r="J107" s="1948"/>
      <c r="L107" s="1948"/>
      <c r="M107" s="1948"/>
      <c r="N107" s="1948"/>
      <c r="O107" s="1948"/>
      <c r="Q107" s="1948"/>
      <c r="R107" s="1948"/>
      <c r="S107" s="1948"/>
      <c r="T107" s="1948"/>
    </row>
    <row r="108" spans="2:20">
      <c r="B108" s="1948"/>
      <c r="C108" s="1948"/>
      <c r="D108" s="1948"/>
      <c r="E108" s="1948"/>
      <c r="G108" s="1948"/>
      <c r="H108" s="1948"/>
      <c r="I108" s="1948"/>
      <c r="J108" s="1948"/>
      <c r="L108" s="1948"/>
      <c r="M108" s="1948"/>
      <c r="N108" s="1948"/>
      <c r="O108" s="1948"/>
      <c r="Q108" s="1948"/>
      <c r="R108" s="1948"/>
      <c r="S108" s="1948"/>
      <c r="T108" s="1948"/>
    </row>
    <row r="109" spans="2:20">
      <c r="B109" s="1948"/>
      <c r="C109" s="1948"/>
      <c r="D109" s="1948"/>
      <c r="E109" s="1948"/>
      <c r="G109" s="1948"/>
      <c r="H109" s="1948"/>
      <c r="I109" s="1948"/>
      <c r="J109" s="1948"/>
      <c r="L109" s="1948"/>
      <c r="M109" s="1948"/>
      <c r="N109" s="1948"/>
      <c r="O109" s="1948"/>
      <c r="Q109" s="1948"/>
      <c r="R109" s="1948"/>
      <c r="S109" s="1948"/>
      <c r="T109" s="1948"/>
    </row>
    <row r="110" spans="2:20">
      <c r="B110" s="1948"/>
      <c r="C110" s="1948"/>
      <c r="D110" s="1948"/>
      <c r="E110" s="1948"/>
      <c r="G110" s="1948"/>
      <c r="H110" s="1948"/>
      <c r="I110" s="1948"/>
      <c r="J110" s="1948"/>
      <c r="L110" s="1948"/>
      <c r="M110" s="1948"/>
      <c r="N110" s="1948"/>
      <c r="O110" s="1948"/>
      <c r="Q110" s="1948"/>
      <c r="R110" s="1948"/>
      <c r="S110" s="1948"/>
      <c r="T110" s="1948"/>
    </row>
    <row r="111" spans="2:20">
      <c r="B111" s="1948"/>
      <c r="C111" s="1948"/>
      <c r="D111" s="1948"/>
      <c r="E111" s="1948"/>
      <c r="G111" s="1948"/>
      <c r="H111" s="1948"/>
      <c r="I111" s="1948"/>
      <c r="J111" s="1948"/>
      <c r="L111" s="1948"/>
      <c r="M111" s="1948"/>
      <c r="N111" s="1948"/>
      <c r="O111" s="1948"/>
      <c r="Q111" s="1948"/>
      <c r="R111" s="1948"/>
      <c r="S111" s="1948"/>
      <c r="T111" s="1948"/>
    </row>
    <row r="112" spans="2:20">
      <c r="B112" s="1948"/>
      <c r="C112" s="1948"/>
      <c r="D112" s="1948"/>
      <c r="E112" s="1948"/>
      <c r="G112" s="1948"/>
      <c r="H112" s="1948"/>
      <c r="I112" s="1948"/>
      <c r="J112" s="1948"/>
      <c r="L112" s="1948"/>
      <c r="M112" s="1948"/>
      <c r="N112" s="1948"/>
      <c r="O112" s="1948"/>
      <c r="Q112" s="1948"/>
      <c r="R112" s="1948"/>
      <c r="S112" s="1948"/>
      <c r="T112" s="1948"/>
    </row>
    <row r="113" spans="2:20">
      <c r="B113" s="1948"/>
      <c r="C113" s="1948"/>
      <c r="D113" s="1948"/>
      <c r="E113" s="1948"/>
      <c r="G113" s="1948"/>
      <c r="H113" s="1948"/>
      <c r="I113" s="1948"/>
      <c r="J113" s="1948"/>
      <c r="L113" s="1948"/>
      <c r="M113" s="1948"/>
      <c r="N113" s="1948"/>
      <c r="O113" s="1948"/>
      <c r="Q113" s="1948"/>
      <c r="R113" s="1948"/>
      <c r="S113" s="1948"/>
      <c r="T113" s="1948"/>
    </row>
    <row r="114" spans="2:20">
      <c r="B114" s="1948"/>
      <c r="C114" s="1948"/>
      <c r="D114" s="1948"/>
      <c r="E114" s="1948"/>
      <c r="G114" s="1948"/>
      <c r="H114" s="1948"/>
      <c r="I114" s="1948"/>
      <c r="J114" s="1948"/>
      <c r="L114" s="1948"/>
      <c r="M114" s="1948"/>
      <c r="N114" s="1948"/>
      <c r="O114" s="1948"/>
      <c r="Q114" s="1948"/>
      <c r="R114" s="1948"/>
      <c r="S114" s="1948"/>
      <c r="T114" s="1948"/>
    </row>
    <row r="115" spans="2:20">
      <c r="B115" s="1948"/>
      <c r="C115" s="1948"/>
      <c r="D115" s="1948"/>
      <c r="E115" s="1948"/>
      <c r="G115" s="1948"/>
      <c r="H115" s="1948"/>
      <c r="I115" s="1948"/>
      <c r="J115" s="1948"/>
      <c r="L115" s="1948"/>
      <c r="M115" s="1948"/>
      <c r="N115" s="1948"/>
      <c r="O115" s="1948"/>
      <c r="Q115" s="1948"/>
      <c r="R115" s="1948"/>
      <c r="S115" s="1948"/>
      <c r="T115" s="1948"/>
    </row>
    <row r="116" spans="2:20">
      <c r="B116" s="1948"/>
      <c r="C116" s="1948"/>
      <c r="D116" s="1948"/>
      <c r="E116" s="1948"/>
      <c r="G116" s="1948"/>
      <c r="H116" s="1948"/>
      <c r="I116" s="1948"/>
      <c r="J116" s="1948"/>
      <c r="L116" s="1948"/>
      <c r="M116" s="1948"/>
      <c r="N116" s="1948"/>
      <c r="O116" s="1948"/>
      <c r="Q116" s="1948"/>
      <c r="R116" s="1948"/>
      <c r="S116" s="1948"/>
      <c r="T116" s="1948"/>
    </row>
    <row r="117" spans="2:20">
      <c r="B117" s="1948"/>
      <c r="C117" s="1948"/>
      <c r="D117" s="1948"/>
      <c r="E117" s="1948"/>
      <c r="G117" s="1948"/>
      <c r="H117" s="1948"/>
      <c r="I117" s="1948"/>
      <c r="J117" s="1948"/>
      <c r="L117" s="1948"/>
      <c r="M117" s="1948"/>
      <c r="N117" s="1948"/>
      <c r="O117" s="1948"/>
      <c r="Q117" s="1948"/>
      <c r="R117" s="1948"/>
      <c r="S117" s="1948"/>
      <c r="T117" s="1948"/>
    </row>
    <row r="118" spans="2:20" ht="18.75">
      <c r="B118" s="6271" t="s">
        <v>2457</v>
      </c>
      <c r="C118" s="6271"/>
      <c r="D118" s="6271"/>
      <c r="E118" s="6271"/>
      <c r="G118" s="6271" t="s">
        <v>2423</v>
      </c>
      <c r="H118" s="6271"/>
      <c r="I118" s="6271"/>
      <c r="J118" s="6271"/>
      <c r="L118" s="6271" t="s">
        <v>554</v>
      </c>
      <c r="M118" s="6271"/>
      <c r="N118" s="6271"/>
      <c r="O118" s="6271"/>
      <c r="Q118" s="6270" t="s">
        <v>2458</v>
      </c>
      <c r="R118" s="6270"/>
      <c r="S118" s="6270"/>
      <c r="T118" s="6270"/>
    </row>
    <row r="119" spans="2:20">
      <c r="B119" s="2607" t="s">
        <v>2445</v>
      </c>
      <c r="Q119" s="2607" t="s">
        <v>2445</v>
      </c>
    </row>
    <row r="121" spans="2:20">
      <c r="B121" s="1948"/>
      <c r="C121" s="1948"/>
      <c r="D121" s="1948"/>
      <c r="E121" s="1948"/>
      <c r="G121" s="1948"/>
      <c r="H121" s="1948"/>
      <c r="I121" s="1948"/>
      <c r="J121" s="1948"/>
      <c r="L121" s="1948"/>
      <c r="M121" s="1948"/>
      <c r="N121" s="1948"/>
      <c r="O121" s="1948"/>
      <c r="Q121" s="1948"/>
      <c r="R121" s="1948"/>
      <c r="S121" s="1948"/>
      <c r="T121" s="1948"/>
    </row>
    <row r="122" spans="2:20">
      <c r="B122" s="1948"/>
      <c r="C122" s="1948"/>
      <c r="D122" s="1948"/>
      <c r="E122" s="1948"/>
      <c r="G122" s="1948"/>
      <c r="H122" s="1948"/>
      <c r="I122" s="1948"/>
      <c r="J122" s="1948"/>
      <c r="L122" s="1948"/>
      <c r="M122" s="1948"/>
      <c r="N122" s="1948"/>
      <c r="O122" s="1948"/>
      <c r="Q122" s="1948"/>
      <c r="R122" s="1948"/>
      <c r="S122" s="1948"/>
      <c r="T122" s="1948"/>
    </row>
    <row r="123" spans="2:20">
      <c r="B123" s="1948"/>
      <c r="C123" s="1948"/>
      <c r="D123" s="1948"/>
      <c r="E123" s="1948"/>
      <c r="G123" s="1948"/>
      <c r="H123" s="1948"/>
      <c r="I123" s="1948"/>
      <c r="J123" s="1948"/>
      <c r="L123" s="1948"/>
      <c r="M123" s="1948"/>
      <c r="N123" s="1948"/>
      <c r="O123" s="1948"/>
      <c r="Q123" s="1948"/>
      <c r="R123" s="1948"/>
      <c r="S123" s="1948"/>
      <c r="T123" s="1948"/>
    </row>
    <row r="124" spans="2:20">
      <c r="B124" s="1948"/>
      <c r="C124" s="1948"/>
      <c r="D124" s="1948"/>
      <c r="E124" s="1948"/>
      <c r="G124" s="1948"/>
      <c r="H124" s="1948"/>
      <c r="I124" s="1948"/>
      <c r="J124" s="1948"/>
      <c r="L124" s="1948"/>
      <c r="M124" s="1948"/>
      <c r="N124" s="1948"/>
      <c r="O124" s="1948"/>
      <c r="Q124" s="1948"/>
      <c r="R124" s="1948"/>
      <c r="S124" s="1948"/>
      <c r="T124" s="1948"/>
    </row>
    <row r="125" spans="2:20">
      <c r="B125" s="1948"/>
      <c r="C125" s="1948"/>
      <c r="D125" s="1948"/>
      <c r="E125" s="1948"/>
      <c r="G125" s="1948"/>
      <c r="H125" s="1948"/>
      <c r="I125" s="1948"/>
      <c r="J125" s="1948"/>
      <c r="L125" s="1948"/>
      <c r="M125" s="1948"/>
      <c r="N125" s="1948"/>
      <c r="O125" s="1948"/>
      <c r="Q125" s="1948"/>
      <c r="R125" s="1948"/>
      <c r="S125" s="1948"/>
      <c r="T125" s="1948"/>
    </row>
    <row r="126" spans="2:20">
      <c r="B126" s="1948"/>
      <c r="C126" s="1948"/>
      <c r="D126" s="1948"/>
      <c r="E126" s="1948"/>
      <c r="G126" s="1948"/>
      <c r="H126" s="1948"/>
      <c r="I126" s="1948"/>
      <c r="J126" s="1948"/>
      <c r="L126" s="1948"/>
      <c r="M126" s="1948"/>
      <c r="N126" s="1948"/>
      <c r="O126" s="1948"/>
      <c r="Q126" s="1948"/>
      <c r="R126" s="1948"/>
      <c r="S126" s="1948"/>
      <c r="T126" s="1948"/>
    </row>
    <row r="127" spans="2:20">
      <c r="B127" s="1948"/>
      <c r="C127" s="1948"/>
      <c r="D127" s="1948"/>
      <c r="E127" s="1948"/>
      <c r="G127" s="1948"/>
      <c r="H127" s="1948"/>
      <c r="I127" s="1948"/>
      <c r="J127" s="1948"/>
      <c r="L127" s="1948"/>
      <c r="M127" s="1948"/>
      <c r="N127" s="1948"/>
      <c r="O127" s="1948"/>
      <c r="Q127" s="1948"/>
      <c r="R127" s="1948"/>
      <c r="S127" s="1948"/>
      <c r="T127" s="1948"/>
    </row>
    <row r="128" spans="2:20">
      <c r="B128" s="1948"/>
      <c r="C128" s="1948"/>
      <c r="D128" s="1948"/>
      <c r="E128" s="1948"/>
      <c r="G128" s="1948"/>
      <c r="H128" s="1948"/>
      <c r="I128" s="1948"/>
      <c r="J128" s="1948"/>
      <c r="L128" s="1948"/>
      <c r="M128" s="1948"/>
      <c r="N128" s="1948"/>
      <c r="O128" s="1948"/>
      <c r="Q128" s="1948"/>
      <c r="R128" s="1948"/>
      <c r="S128" s="1948"/>
      <c r="T128" s="1948"/>
    </row>
    <row r="129" spans="2:20">
      <c r="B129" s="1948"/>
      <c r="C129" s="1948"/>
      <c r="D129" s="1948"/>
      <c r="E129" s="1948"/>
      <c r="G129" s="1948"/>
      <c r="H129" s="1948"/>
      <c r="I129" s="1948"/>
      <c r="J129" s="1948"/>
      <c r="L129" s="1948"/>
      <c r="M129" s="1948"/>
      <c r="N129" s="1948"/>
      <c r="O129" s="1948"/>
      <c r="Q129" s="1948"/>
      <c r="R129" s="1948"/>
      <c r="S129" s="1948"/>
      <c r="T129" s="1948"/>
    </row>
    <row r="130" spans="2:20">
      <c r="B130" s="1948"/>
      <c r="C130" s="1948"/>
      <c r="D130" s="1948"/>
      <c r="E130" s="1948"/>
      <c r="G130" s="1948"/>
      <c r="H130" s="1948"/>
      <c r="I130" s="1948"/>
      <c r="J130" s="1948"/>
      <c r="L130" s="1948"/>
      <c r="M130" s="1948"/>
      <c r="N130" s="1948"/>
      <c r="O130" s="1948"/>
      <c r="Q130" s="1948"/>
      <c r="R130" s="1948"/>
      <c r="S130" s="1948"/>
      <c r="T130" s="1948"/>
    </row>
    <row r="131" spans="2:20">
      <c r="B131" s="1948"/>
      <c r="C131" s="1948"/>
      <c r="D131" s="1948"/>
      <c r="E131" s="1948"/>
      <c r="G131" s="1948"/>
      <c r="H131" s="1948"/>
      <c r="I131" s="1948"/>
      <c r="J131" s="1948"/>
      <c r="L131" s="1948"/>
      <c r="M131" s="1948"/>
      <c r="N131" s="1948"/>
      <c r="O131" s="1948"/>
      <c r="Q131" s="1948"/>
      <c r="R131" s="1948"/>
      <c r="S131" s="1948"/>
      <c r="T131" s="1948"/>
    </row>
    <row r="132" spans="2:20">
      <c r="B132" s="1948"/>
      <c r="C132" s="1948"/>
      <c r="D132" s="1948"/>
      <c r="E132" s="1948"/>
      <c r="G132" s="1948"/>
      <c r="H132" s="1948"/>
      <c r="I132" s="1948"/>
      <c r="J132" s="1948"/>
      <c r="L132" s="1948"/>
      <c r="M132" s="1948"/>
      <c r="N132" s="1948"/>
      <c r="O132" s="1948"/>
      <c r="Q132" s="1948"/>
      <c r="R132" s="1948"/>
      <c r="S132" s="1948"/>
      <c r="T132" s="1948"/>
    </row>
    <row r="133" spans="2:20">
      <c r="B133" s="1948"/>
      <c r="C133" s="1948"/>
      <c r="D133" s="1948"/>
      <c r="E133" s="1948"/>
      <c r="G133" s="1948"/>
      <c r="H133" s="1948"/>
      <c r="I133" s="1948"/>
      <c r="J133" s="1948"/>
      <c r="L133" s="1948"/>
      <c r="M133" s="1948"/>
      <c r="N133" s="1948"/>
      <c r="O133" s="1948"/>
      <c r="Q133" s="1948"/>
      <c r="R133" s="1948"/>
      <c r="S133" s="1948"/>
      <c r="T133" s="1948"/>
    </row>
    <row r="134" spans="2:20" ht="18.75">
      <c r="B134" s="6271" t="s">
        <v>553</v>
      </c>
      <c r="C134" s="6271"/>
      <c r="D134" s="6271"/>
      <c r="E134" s="6271"/>
      <c r="G134" s="6270" t="s">
        <v>2206</v>
      </c>
      <c r="H134" s="6270"/>
      <c r="I134" s="6270"/>
      <c r="J134" s="6270"/>
      <c r="K134" s="2603"/>
      <c r="L134" s="6271" t="s">
        <v>2459</v>
      </c>
      <c r="M134" s="6271"/>
      <c r="N134" s="6271"/>
      <c r="O134" s="6271"/>
      <c r="P134" t="s">
        <v>230</v>
      </c>
      <c r="Q134" s="6271"/>
      <c r="R134" s="6271"/>
      <c r="S134" s="6271"/>
      <c r="T134" s="6271"/>
    </row>
    <row r="136" spans="2:20" ht="31.5">
      <c r="B136" s="6272" t="s">
        <v>2212</v>
      </c>
      <c r="C136" s="6272"/>
      <c r="D136" s="6272"/>
      <c r="E136" s="6272"/>
      <c r="F136" s="6272"/>
      <c r="G136" s="6272"/>
      <c r="H136" s="6272"/>
      <c r="I136" s="6272"/>
      <c r="J136" s="6272"/>
      <c r="K136" s="6272"/>
      <c r="L136" s="6272"/>
      <c r="M136" s="6272"/>
      <c r="N136" s="6272"/>
      <c r="O136" s="6272"/>
      <c r="P136" s="6272"/>
      <c r="Q136" s="6272"/>
      <c r="R136" s="6272"/>
      <c r="S136" s="6272"/>
      <c r="T136" s="6272"/>
    </row>
    <row r="138" spans="2:20" ht="18.75">
      <c r="B138" s="2602"/>
      <c r="C138" s="2602"/>
      <c r="D138" s="2602"/>
      <c r="E138" s="2602"/>
      <c r="G138" s="1948"/>
      <c r="H138" s="1948"/>
      <c r="I138" s="1948"/>
      <c r="J138" s="1948"/>
      <c r="L138" s="1948"/>
      <c r="M138" s="1948"/>
      <c r="N138" s="1948"/>
      <c r="O138" s="1948"/>
      <c r="Q138" s="1948"/>
      <c r="R138" s="1948"/>
      <c r="S138" s="1948"/>
      <c r="T138" s="1948"/>
    </row>
    <row r="139" spans="2:20" ht="23.25" customHeight="1">
      <c r="B139" s="6274" t="s">
        <v>2200</v>
      </c>
      <c r="C139" s="6274"/>
      <c r="D139" s="6274"/>
      <c r="E139" s="6274"/>
      <c r="F139" s="2603"/>
      <c r="G139" s="6273" t="s">
        <v>2208</v>
      </c>
      <c r="H139" s="6273"/>
      <c r="I139" s="6273"/>
      <c r="J139" s="6273"/>
      <c r="L139" s="6274" t="s">
        <v>2203</v>
      </c>
      <c r="M139" s="6274"/>
      <c r="N139" s="6274"/>
      <c r="O139" s="6274"/>
      <c r="Q139" s="1948"/>
      <c r="R139" s="1948"/>
      <c r="S139" s="1948"/>
      <c r="T139" s="1948"/>
    </row>
    <row r="140" spans="2:20" ht="18.75">
      <c r="B140" s="2602"/>
      <c r="C140" s="2602"/>
      <c r="D140" s="2602"/>
      <c r="E140" s="2602"/>
      <c r="G140" s="6273"/>
      <c r="H140" s="6273"/>
      <c r="I140" s="6273"/>
      <c r="J140" s="6273"/>
      <c r="L140" s="1948"/>
      <c r="M140" s="1948"/>
      <c r="N140" s="1948"/>
      <c r="O140" s="1948"/>
      <c r="Q140" s="1948"/>
      <c r="R140" s="1948"/>
      <c r="S140" s="1948"/>
      <c r="T140" s="1948"/>
    </row>
    <row r="141" spans="2:20" ht="18.75">
      <c r="B141" s="6275" t="s">
        <v>2195</v>
      </c>
      <c r="C141" s="6275"/>
      <c r="D141" s="6275"/>
      <c r="E141" s="6275"/>
      <c r="G141" s="1948"/>
      <c r="H141" s="1948"/>
      <c r="I141" s="1948"/>
      <c r="J141" s="1948"/>
      <c r="L141" s="6274" t="s">
        <v>2211</v>
      </c>
      <c r="M141" s="6274"/>
      <c r="N141" s="6274"/>
      <c r="O141" s="6274"/>
      <c r="Q141" s="1948"/>
      <c r="R141" s="1948"/>
      <c r="S141" s="1948"/>
      <c r="T141" s="1948"/>
    </row>
    <row r="142" spans="2:20" ht="23.25" customHeight="1">
      <c r="B142" s="2602"/>
      <c r="C142" s="2602"/>
      <c r="D142" s="2602"/>
      <c r="E142" s="2602"/>
      <c r="G142" s="6274" t="s">
        <v>2197</v>
      </c>
      <c r="H142" s="6274"/>
      <c r="I142" s="6274"/>
      <c r="J142" s="6274"/>
      <c r="L142" s="1948"/>
      <c r="M142" s="1948"/>
      <c r="N142" s="1948"/>
      <c r="O142" s="1948"/>
      <c r="Q142" s="1948"/>
      <c r="R142" s="1948"/>
      <c r="S142" s="1948"/>
      <c r="T142" s="1948"/>
    </row>
    <row r="143" spans="2:20" ht="18.75" customHeight="1">
      <c r="B143" s="6273" t="s">
        <v>2196</v>
      </c>
      <c r="C143" s="6273"/>
      <c r="D143" s="6273"/>
      <c r="E143" s="6273"/>
      <c r="G143" s="1948"/>
      <c r="H143" s="1948"/>
      <c r="I143" s="1948"/>
      <c r="J143" s="1948"/>
      <c r="L143" s="6274" t="s">
        <v>2199</v>
      </c>
      <c r="M143" s="6274"/>
      <c r="N143" s="6274"/>
      <c r="O143" s="6274"/>
      <c r="Q143" s="1948"/>
      <c r="R143" s="1948"/>
      <c r="S143" s="1948"/>
      <c r="T143" s="1948"/>
    </row>
    <row r="144" spans="2:20" ht="18.75" customHeight="1">
      <c r="B144" s="6273"/>
      <c r="C144" s="6273"/>
      <c r="D144" s="6273"/>
      <c r="E144" s="6273"/>
      <c r="G144" s="6274" t="s">
        <v>2209</v>
      </c>
      <c r="H144" s="6274"/>
      <c r="I144" s="6274"/>
      <c r="J144" s="6274"/>
      <c r="L144" s="1948"/>
      <c r="M144" s="1948"/>
      <c r="N144" s="1948"/>
      <c r="O144" s="1948"/>
      <c r="Q144" s="1948"/>
      <c r="R144" s="1948"/>
      <c r="S144" s="1948"/>
      <c r="T144" s="1948"/>
    </row>
    <row r="145" spans="2:21" ht="18.75">
      <c r="B145" s="2602"/>
      <c r="C145" s="2602"/>
      <c r="D145" s="2602"/>
      <c r="E145" s="2602"/>
      <c r="G145" s="1948"/>
      <c r="H145" s="1948"/>
      <c r="I145" s="1948"/>
      <c r="J145" s="1948"/>
      <c r="L145" s="6273" t="s">
        <v>2204</v>
      </c>
      <c r="M145" s="6273"/>
      <c r="N145" s="6273"/>
      <c r="O145" s="6273"/>
      <c r="Q145" s="1948"/>
      <c r="R145" s="1948"/>
      <c r="S145" s="1948"/>
      <c r="T145" s="1948"/>
    </row>
    <row r="146" spans="2:21" ht="18.75" customHeight="1">
      <c r="B146" s="6273" t="s">
        <v>2207</v>
      </c>
      <c r="C146" s="6273"/>
      <c r="D146" s="6273"/>
      <c r="E146" s="6273"/>
      <c r="G146" s="6273" t="s">
        <v>2198</v>
      </c>
      <c r="H146" s="6273"/>
      <c r="I146" s="6273"/>
      <c r="J146" s="6273"/>
      <c r="L146" s="6273"/>
      <c r="M146" s="6273"/>
      <c r="N146" s="6273"/>
      <c r="O146" s="6273"/>
      <c r="Q146" s="1948"/>
      <c r="R146" s="1948"/>
      <c r="S146" s="1948"/>
      <c r="T146" s="1948"/>
    </row>
    <row r="147" spans="2:21" ht="23.25" customHeight="1">
      <c r="B147" s="6273"/>
      <c r="C147" s="6273"/>
      <c r="D147" s="6273"/>
      <c r="E147" s="6273"/>
      <c r="G147" s="6273"/>
      <c r="H147" s="6273"/>
      <c r="I147" s="6273"/>
      <c r="J147" s="6273"/>
      <c r="L147" s="1948"/>
      <c r="M147" s="1948"/>
      <c r="N147" s="1948"/>
      <c r="O147" s="1948"/>
      <c r="Q147" s="1948"/>
      <c r="R147" s="1948"/>
      <c r="S147" s="1948"/>
      <c r="T147" s="1948"/>
    </row>
    <row r="148" spans="2:21" ht="18.75">
      <c r="B148" s="1948"/>
      <c r="C148" s="1948"/>
      <c r="D148" s="1948"/>
      <c r="E148" s="1948"/>
      <c r="G148" s="1948"/>
      <c r="H148" s="1948"/>
      <c r="I148" s="1948"/>
      <c r="J148" s="1948"/>
      <c r="L148" s="6274" t="s">
        <v>2201</v>
      </c>
      <c r="M148" s="6274"/>
      <c r="N148" s="6274"/>
      <c r="O148" s="6274"/>
      <c r="Q148" s="1948"/>
      <c r="R148" s="1948"/>
      <c r="S148" s="1948"/>
      <c r="T148" s="1948"/>
    </row>
    <row r="149" spans="2:21" ht="18.75">
      <c r="B149" s="6274" t="s">
        <v>2210</v>
      </c>
      <c r="C149" s="6274"/>
      <c r="D149" s="6274"/>
      <c r="E149" s="6274"/>
      <c r="G149" s="6274" t="s">
        <v>2202</v>
      </c>
      <c r="H149" s="6274"/>
      <c r="I149" s="6274"/>
      <c r="J149" s="6274"/>
      <c r="L149" s="1948"/>
      <c r="M149" s="1948"/>
      <c r="N149" s="1948"/>
      <c r="O149" s="1948"/>
      <c r="Q149" s="1948"/>
      <c r="R149" s="1948"/>
      <c r="S149" s="1948"/>
      <c r="T149" s="1948"/>
    </row>
    <row r="150" spans="2:21">
      <c r="B150" s="1948"/>
      <c r="C150" s="1948"/>
      <c r="D150" s="1948"/>
      <c r="E150" s="1948"/>
      <c r="G150" s="1948"/>
      <c r="H150" s="1948"/>
      <c r="I150" s="1948"/>
      <c r="J150" s="1948"/>
      <c r="L150" s="1948"/>
      <c r="M150" s="1948"/>
      <c r="N150" s="1948"/>
      <c r="O150" s="1948"/>
      <c r="Q150" s="1948"/>
      <c r="R150" s="1948"/>
      <c r="S150" s="1948"/>
      <c r="T150" s="1948"/>
    </row>
    <row r="151" spans="2:21" ht="18.75">
      <c r="B151" s="2589"/>
      <c r="C151" s="2589"/>
      <c r="D151" s="2589"/>
      <c r="E151" s="2589"/>
      <c r="G151" s="2589"/>
      <c r="H151" s="2589"/>
      <c r="I151" s="2589"/>
      <c r="J151" s="2589"/>
      <c r="L151" s="2589"/>
      <c r="M151" s="2589"/>
      <c r="N151" s="2589"/>
      <c r="O151" s="2589"/>
      <c r="P151" s="2603"/>
      <c r="Q151" s="6271" t="s">
        <v>2437</v>
      </c>
      <c r="R151" s="6271"/>
      <c r="S151" s="6271"/>
      <c r="T151" s="6271"/>
      <c r="U151" t="s">
        <v>230</v>
      </c>
    </row>
    <row r="154" spans="2:21">
      <c r="B154" s="1948"/>
      <c r="C154" s="1948"/>
      <c r="D154" s="1948"/>
      <c r="E154" s="1948"/>
      <c r="G154" s="1948"/>
      <c r="H154" s="1948"/>
      <c r="I154" s="1948"/>
      <c r="J154" s="1948"/>
      <c r="L154" s="1948"/>
      <c r="M154" s="1948"/>
      <c r="N154" s="1948"/>
      <c r="O154" s="1948"/>
      <c r="Q154" s="1948"/>
      <c r="R154" s="1948"/>
      <c r="S154" s="1948"/>
      <c r="T154" s="1948"/>
    </row>
    <row r="155" spans="2:21">
      <c r="B155" s="1948"/>
      <c r="C155" s="1948"/>
      <c r="D155" s="1948"/>
      <c r="E155" s="1948"/>
      <c r="G155" s="1948"/>
      <c r="H155" s="1948"/>
      <c r="I155" s="1948"/>
      <c r="J155" s="1948"/>
      <c r="L155" s="1948"/>
      <c r="M155" s="1948"/>
      <c r="N155" s="1948"/>
      <c r="O155" s="1948"/>
      <c r="Q155" s="1948"/>
      <c r="R155" s="1948"/>
      <c r="S155" s="1948"/>
      <c r="T155" s="1948"/>
    </row>
    <row r="156" spans="2:21">
      <c r="B156" s="1948"/>
      <c r="C156" s="1948"/>
      <c r="D156" s="1948"/>
      <c r="E156" s="1948"/>
      <c r="G156" s="1948"/>
      <c r="H156" s="1948"/>
      <c r="I156" s="1948"/>
      <c r="J156" s="1948"/>
      <c r="L156" s="1948"/>
      <c r="M156" s="1948"/>
      <c r="N156" s="1948"/>
      <c r="O156" s="1948"/>
      <c r="Q156" s="1948"/>
      <c r="R156" s="1948"/>
      <c r="S156" s="1948"/>
      <c r="T156" s="1948"/>
    </row>
    <row r="157" spans="2:21">
      <c r="B157" s="1948"/>
      <c r="C157" s="1948"/>
      <c r="D157" s="1948"/>
      <c r="E157" s="1948"/>
      <c r="G157" s="1948"/>
      <c r="H157" s="1948"/>
      <c r="I157" s="1948"/>
      <c r="J157" s="1948"/>
      <c r="L157" s="1948"/>
      <c r="M157" s="1948"/>
      <c r="N157" s="1948"/>
      <c r="O157" s="1948"/>
      <c r="Q157" s="1948"/>
      <c r="R157" s="1948"/>
      <c r="S157" s="1948"/>
      <c r="T157" s="1948"/>
    </row>
    <row r="158" spans="2:21">
      <c r="B158" s="1948"/>
      <c r="C158" s="1948"/>
      <c r="D158" s="1948"/>
      <c r="E158" s="1948"/>
      <c r="G158" s="1948"/>
      <c r="H158" s="1948"/>
      <c r="I158" s="1948"/>
      <c r="J158" s="1948"/>
      <c r="L158" s="1948"/>
      <c r="M158" s="1948"/>
      <c r="N158" s="1948"/>
      <c r="O158" s="1948"/>
      <c r="Q158" s="1948"/>
      <c r="R158" s="1948"/>
      <c r="S158" s="1948"/>
      <c r="T158" s="1948"/>
    </row>
    <row r="159" spans="2:21">
      <c r="B159" s="1948"/>
      <c r="C159" s="1948"/>
      <c r="D159" s="1948"/>
      <c r="E159" s="1948"/>
      <c r="G159" s="1948"/>
      <c r="H159" s="1948"/>
      <c r="I159" s="1948"/>
      <c r="J159" s="1948"/>
      <c r="L159" s="1948"/>
      <c r="M159" s="1948"/>
      <c r="N159" s="1948"/>
      <c r="O159" s="1948"/>
      <c r="Q159" s="1948"/>
      <c r="R159" s="1948"/>
      <c r="S159" s="1948"/>
      <c r="T159" s="1948"/>
    </row>
    <row r="160" spans="2:21">
      <c r="B160" s="1948"/>
      <c r="C160" s="1948"/>
      <c r="D160" s="1948"/>
      <c r="E160" s="1948"/>
      <c r="G160" s="1948"/>
      <c r="H160" s="1948"/>
      <c r="I160" s="1948"/>
      <c r="J160" s="1948"/>
      <c r="L160" s="1948"/>
      <c r="M160" s="1948"/>
      <c r="N160" s="1948"/>
      <c r="O160" s="1948"/>
      <c r="Q160" s="1948"/>
      <c r="R160" s="1948"/>
      <c r="S160" s="1948"/>
      <c r="T160" s="1948"/>
    </row>
    <row r="161" spans="1:21">
      <c r="B161" s="1948"/>
      <c r="C161" s="1948"/>
      <c r="D161" s="1948"/>
      <c r="E161" s="1948"/>
      <c r="G161" s="1948"/>
      <c r="H161" s="1948"/>
      <c r="I161" s="1948"/>
      <c r="J161" s="1948"/>
      <c r="L161" s="1948"/>
      <c r="M161" s="1948"/>
      <c r="N161" s="1948"/>
      <c r="O161" s="1948"/>
      <c r="Q161" s="1948"/>
      <c r="R161" s="1948"/>
      <c r="S161" s="1948"/>
      <c r="T161" s="1948"/>
    </row>
    <row r="162" spans="1:21">
      <c r="B162" s="1948"/>
      <c r="C162" s="1948"/>
      <c r="D162" s="1948"/>
      <c r="E162" s="1948"/>
      <c r="G162" s="1948"/>
      <c r="H162" s="1948"/>
      <c r="I162" s="1948"/>
      <c r="J162" s="1948"/>
      <c r="L162" s="1948"/>
      <c r="M162" s="1948"/>
      <c r="N162" s="1948"/>
      <c r="O162" s="1948"/>
      <c r="Q162" s="1948"/>
      <c r="R162" s="1948"/>
      <c r="S162" s="1948"/>
      <c r="T162" s="1948"/>
    </row>
    <row r="163" spans="1:21">
      <c r="B163" s="1948"/>
      <c r="C163" s="1948"/>
      <c r="D163" s="1948"/>
      <c r="E163" s="1948"/>
      <c r="G163" s="1948"/>
      <c r="H163" s="1948"/>
      <c r="I163" s="1948"/>
      <c r="J163" s="1948"/>
      <c r="L163" s="1948"/>
      <c r="M163" s="1948"/>
      <c r="N163" s="1948"/>
      <c r="O163" s="1948"/>
      <c r="Q163" s="1948"/>
      <c r="R163" s="1948"/>
      <c r="S163" s="1948"/>
      <c r="T163" s="1948"/>
    </row>
    <row r="164" spans="1:21">
      <c r="B164" s="1948"/>
      <c r="C164" s="1948"/>
      <c r="D164" s="1948"/>
      <c r="E164" s="1948"/>
      <c r="G164" s="1948"/>
      <c r="H164" s="1948"/>
      <c r="I164" s="1948"/>
      <c r="J164" s="1948"/>
      <c r="L164" s="1948"/>
      <c r="M164" s="1948"/>
      <c r="N164" s="1948"/>
      <c r="O164" s="1948"/>
      <c r="Q164" s="1948"/>
      <c r="R164" s="1948"/>
      <c r="S164" s="1948"/>
      <c r="T164" s="1948"/>
    </row>
    <row r="165" spans="1:21">
      <c r="B165" s="1948"/>
      <c r="C165" s="1948"/>
      <c r="D165" s="1948"/>
      <c r="E165" s="1948"/>
      <c r="G165" s="1948"/>
      <c r="H165" s="1948"/>
      <c r="I165" s="1948"/>
      <c r="J165" s="1948"/>
      <c r="L165" s="1948"/>
      <c r="M165" s="1948"/>
      <c r="N165" s="1948"/>
      <c r="O165" s="1948"/>
      <c r="Q165" s="1948"/>
      <c r="R165" s="1948"/>
      <c r="S165" s="1948"/>
      <c r="T165" s="1948"/>
    </row>
    <row r="166" spans="1:21">
      <c r="B166" s="1948"/>
      <c r="C166" s="1948"/>
      <c r="D166" s="1948"/>
      <c r="E166" s="1948"/>
      <c r="G166" s="1948"/>
      <c r="H166" s="1948"/>
      <c r="I166" s="1948"/>
      <c r="J166" s="1948"/>
      <c r="L166" s="1948"/>
      <c r="M166" s="1948"/>
      <c r="N166" s="1948"/>
      <c r="O166" s="1948"/>
      <c r="Q166" s="1948"/>
      <c r="R166" s="1948"/>
      <c r="S166" s="1948"/>
      <c r="T166" s="1948"/>
    </row>
    <row r="167" spans="1:21" ht="18.75">
      <c r="A167" t="s">
        <v>230</v>
      </c>
      <c r="B167" s="6271" t="s">
        <v>2440</v>
      </c>
      <c r="C167" s="6271"/>
      <c r="D167" s="6271"/>
      <c r="E167" s="6271"/>
      <c r="F167" t="s">
        <v>230</v>
      </c>
      <c r="G167" s="6271" t="s">
        <v>2441</v>
      </c>
      <c r="H167" s="6271"/>
      <c r="I167" s="6271"/>
      <c r="J167" s="6271"/>
      <c r="K167" t="s">
        <v>230</v>
      </c>
      <c r="L167" s="6271" t="s">
        <v>2439</v>
      </c>
      <c r="M167" s="6271"/>
      <c r="N167" s="6271"/>
      <c r="O167" s="6271"/>
      <c r="P167" t="s">
        <v>230</v>
      </c>
      <c r="Q167" s="6271" t="s">
        <v>2438</v>
      </c>
      <c r="R167" s="6271"/>
      <c r="S167" s="6271"/>
      <c r="T167" s="6271"/>
      <c r="U167" t="s">
        <v>230</v>
      </c>
    </row>
    <row r="170" spans="1:21">
      <c r="B170" s="1948"/>
      <c r="C170" s="1948"/>
      <c r="D170" s="1948"/>
      <c r="E170" s="1948"/>
      <c r="G170" s="1948"/>
      <c r="H170" s="1948"/>
      <c r="I170" s="1948"/>
      <c r="J170" s="1948"/>
      <c r="L170" s="1948"/>
      <c r="M170" s="1948"/>
      <c r="N170" s="1948"/>
      <c r="O170" s="1948"/>
      <c r="Q170" s="1948"/>
      <c r="R170" s="1948"/>
      <c r="S170" s="1948"/>
      <c r="T170" s="1948"/>
    </row>
    <row r="171" spans="1:21">
      <c r="B171" s="1948"/>
      <c r="C171" s="1948"/>
      <c r="D171" s="1948"/>
      <c r="E171" s="1948"/>
      <c r="G171" s="1948"/>
      <c r="H171" s="1948"/>
      <c r="I171" s="1948"/>
      <c r="J171" s="1948"/>
      <c r="L171" s="1948"/>
      <c r="M171" s="1948"/>
      <c r="N171" s="1948"/>
      <c r="O171" s="1948"/>
      <c r="Q171" s="1948"/>
      <c r="R171" s="1948"/>
      <c r="S171" s="1948"/>
      <c r="T171" s="1948"/>
    </row>
    <row r="172" spans="1:21">
      <c r="B172" s="1948"/>
      <c r="C172" s="1948"/>
      <c r="D172" s="1948"/>
      <c r="E172" s="1948"/>
      <c r="G172" s="1948"/>
      <c r="H172" s="1948"/>
      <c r="I172" s="1948"/>
      <c r="J172" s="1948"/>
      <c r="L172" s="1948"/>
      <c r="M172" s="1948"/>
      <c r="N172" s="1948"/>
      <c r="O172" s="1948"/>
      <c r="Q172" s="1948"/>
      <c r="R172" s="1948"/>
      <c r="S172" s="1948"/>
      <c r="T172" s="1948"/>
    </row>
    <row r="173" spans="1:21">
      <c r="B173" s="1948"/>
      <c r="C173" s="1948"/>
      <c r="D173" s="1948"/>
      <c r="E173" s="1948"/>
      <c r="G173" s="1948"/>
      <c r="H173" s="1948"/>
      <c r="I173" s="1948"/>
      <c r="J173" s="1948"/>
      <c r="L173" s="1948"/>
      <c r="M173" s="1948"/>
      <c r="N173" s="1948"/>
      <c r="O173" s="1948"/>
      <c r="Q173" s="1948"/>
      <c r="R173" s="1948"/>
      <c r="S173" s="1948"/>
      <c r="T173" s="1948"/>
    </row>
    <row r="174" spans="1:21">
      <c r="B174" s="1948"/>
      <c r="C174" s="1948"/>
      <c r="D174" s="1948"/>
      <c r="E174" s="1948"/>
      <c r="G174" s="1948"/>
      <c r="H174" s="1948"/>
      <c r="I174" s="1948"/>
      <c r="J174" s="1948"/>
      <c r="L174" s="1948"/>
      <c r="M174" s="1948"/>
      <c r="N174" s="1948"/>
      <c r="O174" s="1948"/>
      <c r="Q174" s="1948"/>
      <c r="R174" s="1948"/>
      <c r="S174" s="1948"/>
      <c r="T174" s="1948"/>
    </row>
    <row r="175" spans="1:21">
      <c r="B175" s="1948"/>
      <c r="C175" s="1948"/>
      <c r="D175" s="1948"/>
      <c r="E175" s="1948"/>
      <c r="G175" s="1948"/>
      <c r="H175" s="1948"/>
      <c r="I175" s="1948"/>
      <c r="J175" s="1948"/>
      <c r="L175" s="1948"/>
      <c r="M175" s="1948"/>
      <c r="N175" s="1948"/>
      <c r="O175" s="1948"/>
      <c r="Q175" s="1948"/>
      <c r="R175" s="1948"/>
      <c r="S175" s="1948"/>
      <c r="T175" s="1948"/>
    </row>
    <row r="176" spans="1:21">
      <c r="B176" s="1948"/>
      <c r="C176" s="1948"/>
      <c r="D176" s="1948"/>
      <c r="E176" s="1948"/>
      <c r="G176" s="1948"/>
      <c r="H176" s="1948"/>
      <c r="I176" s="1948"/>
      <c r="J176" s="1948"/>
      <c r="L176" s="1948"/>
      <c r="M176" s="1948"/>
      <c r="N176" s="1948"/>
      <c r="O176" s="1948"/>
      <c r="Q176" s="1948"/>
      <c r="R176" s="1948"/>
      <c r="S176" s="1948"/>
      <c r="T176" s="1948"/>
    </row>
    <row r="177" spans="2:21">
      <c r="B177" s="1948"/>
      <c r="C177" s="1948"/>
      <c r="D177" s="1948"/>
      <c r="E177" s="1948"/>
      <c r="G177" s="1948"/>
      <c r="H177" s="1948"/>
      <c r="I177" s="1948"/>
      <c r="J177" s="1948"/>
      <c r="L177" s="1948"/>
      <c r="M177" s="1948"/>
      <c r="N177" s="1948"/>
      <c r="O177" s="1948"/>
      <c r="Q177" s="1948"/>
      <c r="R177" s="1948"/>
      <c r="S177" s="1948"/>
      <c r="T177" s="1948"/>
    </row>
    <row r="178" spans="2:21">
      <c r="B178" s="1948"/>
      <c r="C178" s="1948"/>
      <c r="D178" s="1948"/>
      <c r="E178" s="1948"/>
      <c r="G178" s="1948"/>
      <c r="H178" s="1948"/>
      <c r="I178" s="1948"/>
      <c r="J178" s="1948"/>
      <c r="L178" s="1948"/>
      <c r="M178" s="1948"/>
      <c r="N178" s="1948"/>
      <c r="O178" s="1948"/>
      <c r="Q178" s="1948"/>
      <c r="R178" s="1948"/>
      <c r="S178" s="1948"/>
      <c r="T178" s="1948"/>
    </row>
    <row r="179" spans="2:21">
      <c r="B179" s="1948"/>
      <c r="C179" s="1948"/>
      <c r="D179" s="1948"/>
      <c r="E179" s="1948"/>
      <c r="G179" s="1948"/>
      <c r="H179" s="1948"/>
      <c r="I179" s="1948"/>
      <c r="J179" s="1948"/>
      <c r="L179" s="1948"/>
      <c r="M179" s="1948"/>
      <c r="N179" s="1948"/>
      <c r="O179" s="1948"/>
      <c r="Q179" s="1948"/>
      <c r="R179" s="1948"/>
      <c r="S179" s="1948"/>
      <c r="T179" s="1948"/>
    </row>
    <row r="180" spans="2:21">
      <c r="B180" s="1948"/>
      <c r="C180" s="1948"/>
      <c r="D180" s="1948"/>
      <c r="E180" s="1948"/>
      <c r="G180" s="1948"/>
      <c r="H180" s="1948"/>
      <c r="I180" s="1948"/>
      <c r="J180" s="1948"/>
      <c r="L180" s="1948"/>
      <c r="M180" s="1948"/>
      <c r="N180" s="1948"/>
      <c r="O180" s="1948"/>
      <c r="Q180" s="1948"/>
      <c r="R180" s="1948"/>
      <c r="S180" s="1948"/>
      <c r="T180" s="1948"/>
    </row>
    <row r="181" spans="2:21">
      <c r="B181" s="1948"/>
      <c r="C181" s="1948"/>
      <c r="D181" s="1948"/>
      <c r="E181" s="1948"/>
      <c r="G181" s="1948"/>
      <c r="H181" s="1948"/>
      <c r="I181" s="1948"/>
      <c r="J181" s="1948"/>
      <c r="L181" s="1948"/>
      <c r="M181" s="1948"/>
      <c r="N181" s="1948"/>
      <c r="O181" s="1948"/>
      <c r="Q181" s="1948"/>
      <c r="R181" s="1948"/>
      <c r="S181" s="1948"/>
      <c r="T181" s="1948"/>
    </row>
    <row r="182" spans="2:21">
      <c r="B182" s="1948"/>
      <c r="C182" s="1948"/>
      <c r="D182" s="1948"/>
      <c r="E182" s="1948"/>
      <c r="G182" s="1948"/>
      <c r="H182" s="1948"/>
      <c r="I182" s="1948"/>
      <c r="J182" s="1948"/>
      <c r="L182" s="1948"/>
      <c r="M182" s="1948"/>
      <c r="N182" s="1948"/>
      <c r="O182" s="1948"/>
      <c r="Q182" s="1948"/>
      <c r="R182" s="1948"/>
      <c r="S182" s="1948"/>
      <c r="T182" s="1948"/>
    </row>
    <row r="183" spans="2:21" ht="18.75">
      <c r="B183" s="6271" t="s">
        <v>555</v>
      </c>
      <c r="C183" s="6271"/>
      <c r="D183" s="6271"/>
      <c r="E183" s="6271"/>
      <c r="G183" s="6271" t="s">
        <v>2424</v>
      </c>
      <c r="H183" s="6271"/>
      <c r="I183" s="6271"/>
      <c r="J183" s="6271"/>
      <c r="L183" s="6271" t="s">
        <v>2425</v>
      </c>
      <c r="M183" s="6271"/>
      <c r="N183" s="6271"/>
      <c r="O183" s="6271"/>
      <c r="Q183" s="6271" t="s">
        <v>2426</v>
      </c>
      <c r="R183" s="6271"/>
      <c r="S183" s="6271"/>
      <c r="T183" s="6271"/>
      <c r="U183" t="s">
        <v>230</v>
      </c>
    </row>
    <row r="186" spans="2:21" ht="31.5">
      <c r="B186" s="6276" t="s">
        <v>2442</v>
      </c>
      <c r="C186" s="6276"/>
      <c r="D186" s="6276"/>
      <c r="E186" s="6276"/>
      <c r="F186" s="6276"/>
      <c r="G186" s="6276"/>
      <c r="H186" s="6276"/>
      <c r="I186" s="6276"/>
      <c r="J186" s="6276"/>
      <c r="K186" s="6276"/>
      <c r="L186" s="6276"/>
      <c r="M186" s="6276"/>
      <c r="N186" s="6276"/>
      <c r="O186" s="6276"/>
      <c r="P186" s="6276"/>
      <c r="Q186" s="6276"/>
      <c r="R186" s="6276"/>
      <c r="S186" s="6276"/>
      <c r="T186" s="6276"/>
    </row>
    <row r="188" spans="2:21">
      <c r="B188" s="1948"/>
      <c r="C188" s="1948"/>
      <c r="D188" s="1948"/>
      <c r="E188" s="1948"/>
      <c r="G188" s="1948"/>
      <c r="H188" s="1948"/>
      <c r="I188" s="1948"/>
      <c r="J188" s="1948"/>
      <c r="L188" s="1948"/>
      <c r="M188" s="1948"/>
      <c r="N188" s="1948"/>
      <c r="O188" s="1948"/>
      <c r="Q188" s="1948"/>
      <c r="R188" s="1948"/>
      <c r="S188" s="1948"/>
      <c r="T188" s="1948"/>
    </row>
    <row r="189" spans="2:21">
      <c r="B189" s="1948"/>
      <c r="C189" s="1948"/>
      <c r="D189" s="1948"/>
      <c r="E189" s="1948"/>
      <c r="G189" s="1948"/>
      <c r="H189" s="1948"/>
      <c r="I189" s="1948"/>
      <c r="J189" s="1948"/>
      <c r="L189" s="1948"/>
      <c r="M189" s="1948"/>
      <c r="N189" s="1948"/>
      <c r="O189" s="1948"/>
      <c r="Q189" s="1948"/>
      <c r="R189" s="1948"/>
      <c r="S189" s="1948"/>
      <c r="T189" s="1948"/>
    </row>
    <row r="190" spans="2:21">
      <c r="B190" s="1948"/>
      <c r="C190" s="1948"/>
      <c r="D190" s="1948"/>
      <c r="E190" s="1948"/>
      <c r="G190" s="1948"/>
      <c r="H190" s="1948"/>
      <c r="I190" s="1948"/>
      <c r="J190" s="1948"/>
      <c r="L190" s="1948"/>
      <c r="M190" s="1948"/>
      <c r="N190" s="1948"/>
      <c r="O190" s="1948"/>
      <c r="Q190" s="1948"/>
      <c r="R190" s="1948"/>
      <c r="S190" s="1948"/>
      <c r="T190" s="1948"/>
    </row>
    <row r="191" spans="2:21">
      <c r="B191" s="1948"/>
      <c r="C191" s="1948"/>
      <c r="D191" s="1948"/>
      <c r="E191" s="1948"/>
      <c r="G191" s="1948"/>
      <c r="H191" s="1948"/>
      <c r="I191" s="1948"/>
      <c r="J191" s="1948"/>
      <c r="L191" s="1948"/>
      <c r="M191" s="1948"/>
      <c r="N191" s="1948"/>
      <c r="O191" s="1948"/>
      <c r="Q191" s="1948"/>
      <c r="R191" s="1948"/>
      <c r="S191" s="1948"/>
      <c r="T191" s="1948"/>
    </row>
    <row r="192" spans="2:21">
      <c r="B192" s="1948"/>
      <c r="C192" s="1948"/>
      <c r="D192" s="1948"/>
      <c r="E192" s="1948"/>
      <c r="G192" s="1948"/>
      <c r="H192" s="1948"/>
      <c r="I192" s="1948"/>
      <c r="J192" s="1948"/>
      <c r="L192" s="1948"/>
      <c r="M192" s="1948"/>
      <c r="N192" s="1948"/>
      <c r="O192" s="1948"/>
      <c r="Q192" s="1948"/>
      <c r="R192" s="1948"/>
      <c r="S192" s="1948"/>
      <c r="T192" s="1948"/>
    </row>
    <row r="193" spans="1:20">
      <c r="B193" s="1948"/>
      <c r="C193" s="1948"/>
      <c r="D193" s="1948"/>
      <c r="E193" s="1948"/>
      <c r="G193" s="1948"/>
      <c r="H193" s="1948"/>
      <c r="I193" s="1948"/>
      <c r="J193" s="1948"/>
      <c r="L193" s="1948"/>
      <c r="M193" s="1948"/>
      <c r="N193" s="1948"/>
      <c r="O193" s="1948"/>
      <c r="Q193" s="1948"/>
      <c r="R193" s="1948"/>
      <c r="S193" s="1948"/>
      <c r="T193" s="1948"/>
    </row>
    <row r="194" spans="1:20">
      <c r="B194" s="1948"/>
      <c r="C194" s="1948"/>
      <c r="D194" s="1948"/>
      <c r="E194" s="1948"/>
      <c r="G194" s="1948"/>
      <c r="H194" s="1948"/>
      <c r="I194" s="1948"/>
      <c r="J194" s="1948"/>
      <c r="L194" s="1948"/>
      <c r="M194" s="1948"/>
      <c r="N194" s="1948"/>
      <c r="O194" s="1948"/>
      <c r="Q194" s="1948"/>
      <c r="R194" s="1948"/>
      <c r="S194" s="1948"/>
      <c r="T194" s="1948"/>
    </row>
    <row r="195" spans="1:20">
      <c r="B195" s="1948"/>
      <c r="C195" s="1948"/>
      <c r="D195" s="1948"/>
      <c r="E195" s="1948"/>
      <c r="G195" s="1948"/>
      <c r="H195" s="1948"/>
      <c r="I195" s="1948"/>
      <c r="J195" s="1948"/>
      <c r="L195" s="1948"/>
      <c r="M195" s="1948"/>
      <c r="N195" s="1948"/>
      <c r="O195" s="1948"/>
      <c r="Q195" s="1948"/>
      <c r="R195" s="1948"/>
      <c r="S195" s="1948"/>
      <c r="T195" s="1948"/>
    </row>
    <row r="196" spans="1:20">
      <c r="B196" s="1948"/>
      <c r="C196" s="1948"/>
      <c r="D196" s="1948"/>
      <c r="E196" s="1948"/>
      <c r="G196" s="1948"/>
      <c r="H196" s="1948"/>
      <c r="I196" s="1948"/>
      <c r="J196" s="1948"/>
      <c r="L196" s="1948"/>
      <c r="M196" s="1948"/>
      <c r="N196" s="1948"/>
      <c r="O196" s="1948"/>
      <c r="Q196" s="1948"/>
      <c r="R196" s="1948"/>
      <c r="S196" s="1948"/>
      <c r="T196" s="1948"/>
    </row>
    <row r="197" spans="1:20">
      <c r="B197" s="1948"/>
      <c r="C197" s="1948"/>
      <c r="D197" s="1948"/>
      <c r="E197" s="1948"/>
      <c r="G197" s="1948"/>
      <c r="H197" s="1948"/>
      <c r="I197" s="1948"/>
      <c r="J197" s="1948"/>
      <c r="L197" s="1948"/>
      <c r="M197" s="1948"/>
      <c r="N197" s="1948"/>
      <c r="O197" s="1948"/>
      <c r="Q197" s="1948"/>
      <c r="R197" s="1948"/>
      <c r="S197" s="1948"/>
      <c r="T197" s="1948"/>
    </row>
    <row r="198" spans="1:20">
      <c r="B198" s="1948"/>
      <c r="C198" s="1948"/>
      <c r="D198" s="1948"/>
      <c r="E198" s="1948"/>
      <c r="G198" s="1948"/>
      <c r="H198" s="1948"/>
      <c r="I198" s="1948"/>
      <c r="J198" s="1948"/>
      <c r="L198" s="1948"/>
      <c r="M198" s="1948"/>
      <c r="N198" s="1948"/>
      <c r="O198" s="1948"/>
      <c r="Q198" s="1948"/>
      <c r="R198" s="1948"/>
      <c r="S198" s="1948"/>
      <c r="T198" s="1948"/>
    </row>
    <row r="199" spans="1:20">
      <c r="B199" s="1948"/>
      <c r="C199" s="1948"/>
      <c r="D199" s="1948"/>
      <c r="E199" s="1948"/>
      <c r="G199" s="1948"/>
      <c r="H199" s="1948"/>
      <c r="I199" s="1948"/>
      <c r="J199" s="1948"/>
      <c r="L199" s="1948"/>
      <c r="M199" s="1948"/>
      <c r="N199" s="1948"/>
      <c r="O199" s="1948"/>
      <c r="Q199" s="1948"/>
      <c r="R199" s="1948"/>
      <c r="S199" s="1948"/>
      <c r="T199" s="1948"/>
    </row>
    <row r="200" spans="1:20">
      <c r="B200" s="1948"/>
      <c r="C200" s="1948"/>
      <c r="D200" s="1948"/>
      <c r="E200" s="1948"/>
      <c r="G200" s="1948"/>
      <c r="H200" s="1948"/>
      <c r="I200" s="1948"/>
      <c r="J200" s="1948"/>
      <c r="L200" s="1948"/>
      <c r="M200" s="1948"/>
      <c r="N200" s="1948"/>
      <c r="O200" s="1948"/>
      <c r="Q200" s="1948"/>
      <c r="R200" s="1948"/>
      <c r="S200" s="1948"/>
      <c r="T200" s="1948"/>
    </row>
    <row r="201" spans="1:20" ht="18.75">
      <c r="A201" s="2603"/>
      <c r="B201" s="6271" t="s">
        <v>2430</v>
      </c>
      <c r="C201" s="6271"/>
      <c r="D201" s="6271"/>
      <c r="E201" s="6271"/>
      <c r="F201" s="2603"/>
      <c r="G201" s="6271" t="s">
        <v>2431</v>
      </c>
      <c r="H201" s="6271"/>
      <c r="I201" s="6271"/>
      <c r="J201" s="6271"/>
      <c r="K201" s="2603"/>
      <c r="L201" s="6271" t="s">
        <v>2429</v>
      </c>
      <c r="M201" s="6271"/>
      <c r="N201" s="6271"/>
      <c r="O201" s="6271"/>
      <c r="P201" s="2603" t="s">
        <v>230</v>
      </c>
      <c r="Q201" s="6271" t="s">
        <v>2443</v>
      </c>
      <c r="R201" s="6271"/>
      <c r="S201" s="6271"/>
      <c r="T201" s="6271"/>
    </row>
    <row r="205" spans="1:20">
      <c r="B205" s="1948"/>
      <c r="C205" s="1948"/>
      <c r="D205" s="1948"/>
      <c r="E205" s="1948"/>
      <c r="G205" s="1948"/>
      <c r="H205" s="1948"/>
      <c r="I205" s="1948"/>
      <c r="J205" s="1948"/>
      <c r="L205" s="1948"/>
      <c r="M205" s="1948"/>
      <c r="N205" s="1948"/>
      <c r="O205" s="1948"/>
      <c r="Q205" s="1948"/>
      <c r="R205" s="1948"/>
      <c r="S205" s="1948"/>
      <c r="T205" s="1948"/>
    </row>
    <row r="206" spans="1:20">
      <c r="B206" s="1948"/>
      <c r="C206" s="1948"/>
      <c r="D206" s="1948"/>
      <c r="E206" s="1948"/>
      <c r="G206" s="1948"/>
      <c r="H206" s="1948"/>
      <c r="I206" s="1948"/>
      <c r="J206" s="1948"/>
      <c r="L206" s="1948"/>
      <c r="M206" s="1948"/>
      <c r="N206" s="1948"/>
      <c r="O206" s="1948"/>
      <c r="Q206" s="1948"/>
      <c r="R206" s="1948"/>
      <c r="S206" s="1948"/>
      <c r="T206" s="1948"/>
    </row>
    <row r="207" spans="1:20">
      <c r="B207" s="1948"/>
      <c r="C207" s="1948"/>
      <c r="D207" s="1948"/>
      <c r="E207" s="1948"/>
      <c r="G207" s="1948"/>
      <c r="H207" s="1948"/>
      <c r="I207" s="1948"/>
      <c r="J207" s="1948"/>
      <c r="L207" s="1948"/>
      <c r="M207" s="1948"/>
      <c r="N207" s="1948"/>
      <c r="O207" s="1948"/>
      <c r="Q207" s="1948"/>
      <c r="R207" s="1948"/>
      <c r="S207" s="1948"/>
      <c r="T207" s="1948"/>
    </row>
    <row r="208" spans="1:20">
      <c r="B208" s="1948"/>
      <c r="C208" s="1948"/>
      <c r="D208" s="1948"/>
      <c r="E208" s="1948"/>
      <c r="G208" s="1948"/>
      <c r="H208" s="1948"/>
      <c r="I208" s="1948"/>
      <c r="J208" s="1948"/>
      <c r="L208" s="1948"/>
      <c r="M208" s="1948"/>
      <c r="N208" s="1948"/>
      <c r="O208" s="1948"/>
      <c r="Q208" s="1948"/>
      <c r="R208" s="1948"/>
      <c r="S208" s="1948"/>
      <c r="T208" s="1948"/>
    </row>
    <row r="209" spans="1:21">
      <c r="B209" s="1948"/>
      <c r="C209" s="1948"/>
      <c r="D209" s="1948"/>
      <c r="E209" s="1948"/>
      <c r="G209" s="1948"/>
      <c r="H209" s="1948"/>
      <c r="I209" s="1948"/>
      <c r="J209" s="1948"/>
      <c r="L209" s="1948"/>
      <c r="M209" s="1948"/>
      <c r="N209" s="1948"/>
      <c r="O209" s="1948"/>
      <c r="Q209" s="1948"/>
      <c r="R209" s="1948"/>
      <c r="S209" s="1948"/>
      <c r="T209" s="1948"/>
    </row>
    <row r="210" spans="1:21">
      <c r="B210" s="1948"/>
      <c r="C210" s="1948"/>
      <c r="D210" s="1948"/>
      <c r="E210" s="1948"/>
      <c r="G210" s="1948"/>
      <c r="H210" s="1948"/>
      <c r="I210" s="1948"/>
      <c r="J210" s="1948"/>
      <c r="L210" s="1948"/>
      <c r="M210" s="1948"/>
      <c r="N210" s="1948"/>
      <c r="O210" s="1948"/>
      <c r="Q210" s="1948"/>
      <c r="R210" s="1948"/>
      <c r="S210" s="1948"/>
      <c r="T210" s="1948"/>
    </row>
    <row r="211" spans="1:21">
      <c r="B211" s="1948"/>
      <c r="C211" s="1948"/>
      <c r="D211" s="1948"/>
      <c r="E211" s="1948"/>
      <c r="G211" s="1948"/>
      <c r="H211" s="1948"/>
      <c r="I211" s="1948"/>
      <c r="J211" s="1948"/>
      <c r="L211" s="1948"/>
      <c r="M211" s="1948"/>
      <c r="N211" s="1948"/>
      <c r="O211" s="1948"/>
      <c r="Q211" s="1948"/>
      <c r="R211" s="1948"/>
      <c r="S211" s="1948"/>
      <c r="T211" s="1948"/>
    </row>
    <row r="212" spans="1:21">
      <c r="B212" s="1948"/>
      <c r="C212" s="1948"/>
      <c r="D212" s="1948"/>
      <c r="E212" s="1948"/>
      <c r="G212" s="1948"/>
      <c r="H212" s="1948"/>
      <c r="I212" s="1948"/>
      <c r="J212" s="1948"/>
      <c r="L212" s="1948"/>
      <c r="M212" s="1948"/>
      <c r="N212" s="1948"/>
      <c r="O212" s="1948"/>
      <c r="Q212" s="1948"/>
      <c r="R212" s="1948"/>
      <c r="S212" s="1948"/>
      <c r="T212" s="1948"/>
    </row>
    <row r="213" spans="1:21">
      <c r="B213" s="1948"/>
      <c r="C213" s="1948"/>
      <c r="D213" s="1948"/>
      <c r="E213" s="1948"/>
      <c r="G213" s="1948"/>
      <c r="H213" s="1948"/>
      <c r="I213" s="1948"/>
      <c r="J213" s="1948"/>
      <c r="L213" s="1948"/>
      <c r="M213" s="1948"/>
      <c r="N213" s="1948"/>
      <c r="O213" s="1948"/>
      <c r="Q213" s="1948"/>
      <c r="R213" s="1948"/>
      <c r="S213" s="1948"/>
      <c r="T213" s="1948"/>
    </row>
    <row r="214" spans="1:21">
      <c r="B214" s="1948"/>
      <c r="C214" s="1948"/>
      <c r="D214" s="1948"/>
      <c r="E214" s="1948"/>
      <c r="G214" s="1948"/>
      <c r="H214" s="1948"/>
      <c r="I214" s="1948"/>
      <c r="J214" s="1948"/>
      <c r="L214" s="1948"/>
      <c r="M214" s="1948"/>
      <c r="N214" s="1948"/>
      <c r="O214" s="1948"/>
      <c r="Q214" s="1948"/>
      <c r="R214" s="1948"/>
      <c r="S214" s="1948"/>
      <c r="T214" s="1948"/>
    </row>
    <row r="215" spans="1:21">
      <c r="B215" s="1948"/>
      <c r="C215" s="1948"/>
      <c r="D215" s="1948"/>
      <c r="E215" s="1948"/>
      <c r="G215" s="1948"/>
      <c r="H215" s="1948"/>
      <c r="I215" s="1948"/>
      <c r="J215" s="1948"/>
      <c r="L215" s="1948"/>
      <c r="M215" s="1948"/>
      <c r="N215" s="1948"/>
      <c r="O215" s="1948"/>
      <c r="Q215" s="1948"/>
      <c r="R215" s="1948"/>
      <c r="S215" s="1948"/>
      <c r="T215" s="1948"/>
    </row>
    <row r="216" spans="1:21">
      <c r="B216" s="1948"/>
      <c r="C216" s="1948"/>
      <c r="D216" s="1948"/>
      <c r="E216" s="1948"/>
      <c r="G216" s="1948"/>
      <c r="H216" s="1948"/>
      <c r="I216" s="1948"/>
      <c r="J216" s="1948"/>
      <c r="L216" s="1948"/>
      <c r="M216" s="1948"/>
      <c r="N216" s="1948"/>
      <c r="O216" s="1948"/>
      <c r="Q216" s="1948"/>
      <c r="R216" s="1948"/>
      <c r="S216" s="1948"/>
      <c r="T216" s="1948"/>
    </row>
    <row r="217" spans="1:21">
      <c r="B217" s="1948"/>
      <c r="C217" s="1948"/>
      <c r="D217" s="1948"/>
      <c r="E217" s="1948"/>
      <c r="G217" s="1948"/>
      <c r="H217" s="1948"/>
      <c r="I217" s="1948"/>
      <c r="J217" s="1948"/>
      <c r="L217" s="1948"/>
      <c r="M217" s="1948"/>
      <c r="N217" s="1948"/>
      <c r="O217" s="1948"/>
      <c r="Q217" s="1948"/>
      <c r="R217" s="1948"/>
      <c r="S217" s="1948"/>
      <c r="T217" s="1948"/>
    </row>
    <row r="218" spans="1:21" ht="21">
      <c r="A218" s="2601" t="s">
        <v>230</v>
      </c>
      <c r="B218" s="6271" t="s">
        <v>2427</v>
      </c>
      <c r="C218" s="6271"/>
      <c r="D218" s="6271"/>
      <c r="E218" s="6271"/>
      <c r="F218" s="2588" t="s">
        <v>230</v>
      </c>
      <c r="G218" s="6277" t="s">
        <v>2428</v>
      </c>
      <c r="H218" s="6277"/>
      <c r="I218" s="6277"/>
      <c r="J218" s="6277"/>
      <c r="K218" s="2603" t="s">
        <v>230</v>
      </c>
      <c r="L218" s="6271" t="s">
        <v>2433</v>
      </c>
      <c r="M218" s="6271"/>
      <c r="N218" s="6271"/>
      <c r="O218" s="6271"/>
      <c r="P218" s="2603" t="s">
        <v>230</v>
      </c>
      <c r="Q218" s="6271" t="s">
        <v>2434</v>
      </c>
      <c r="R218" s="6271"/>
      <c r="S218" s="6271"/>
      <c r="T218" s="6271"/>
      <c r="U218" t="s">
        <v>230</v>
      </c>
    </row>
    <row r="221" spans="1:21">
      <c r="B221" s="1948"/>
      <c r="C221" s="1948"/>
      <c r="D221" s="1948"/>
      <c r="E221" s="1948"/>
      <c r="G221" s="1948"/>
      <c r="H221" s="1948"/>
      <c r="I221" s="1948"/>
      <c r="J221" s="1948"/>
      <c r="L221" s="1948"/>
      <c r="M221" s="1948"/>
      <c r="N221" s="1948"/>
      <c r="O221" s="1948"/>
      <c r="Q221" s="1948"/>
      <c r="R221" s="1948"/>
      <c r="S221" s="1948"/>
      <c r="T221" s="1948"/>
    </row>
    <row r="222" spans="1:21">
      <c r="B222" s="1948"/>
      <c r="C222" s="1948"/>
      <c r="D222" s="1948"/>
      <c r="E222" s="1948"/>
      <c r="G222" s="1948"/>
      <c r="H222" s="1948"/>
      <c r="I222" s="1948"/>
      <c r="J222" s="1948"/>
      <c r="L222" s="1948"/>
      <c r="M222" s="1948"/>
      <c r="N222" s="1948"/>
      <c r="O222" s="1948"/>
      <c r="Q222" s="1948"/>
      <c r="R222" s="1948"/>
      <c r="S222" s="1948"/>
      <c r="T222" s="1948"/>
    </row>
    <row r="223" spans="1:21">
      <c r="B223" s="1948"/>
      <c r="C223" s="1948"/>
      <c r="D223" s="1948"/>
      <c r="E223" s="1948"/>
      <c r="G223" s="1948"/>
      <c r="H223" s="1948"/>
      <c r="I223" s="1948"/>
      <c r="J223" s="1948"/>
      <c r="L223" s="1948"/>
      <c r="M223" s="1948"/>
      <c r="N223" s="1948"/>
      <c r="O223" s="1948"/>
      <c r="Q223" s="1948"/>
      <c r="R223" s="1948"/>
      <c r="S223" s="1948"/>
      <c r="T223" s="1948"/>
    </row>
    <row r="224" spans="1:21">
      <c r="B224" s="1948"/>
      <c r="C224" s="1948"/>
      <c r="D224" s="1948"/>
      <c r="E224" s="1948"/>
      <c r="G224" s="1948"/>
      <c r="H224" s="1948"/>
      <c r="I224" s="1948"/>
      <c r="J224" s="1948"/>
      <c r="L224" s="1948"/>
      <c r="M224" s="1948"/>
      <c r="N224" s="1948"/>
      <c r="O224" s="1948"/>
      <c r="Q224" s="1948"/>
      <c r="R224" s="1948"/>
      <c r="S224" s="1948"/>
      <c r="T224" s="1948"/>
    </row>
    <row r="225" spans="1:20">
      <c r="B225" s="1948"/>
      <c r="C225" s="1948"/>
      <c r="D225" s="1948"/>
      <c r="E225" s="1948"/>
      <c r="G225" s="1948"/>
      <c r="H225" s="1948"/>
      <c r="I225" s="1948"/>
      <c r="J225" s="1948"/>
      <c r="L225" s="1948"/>
      <c r="M225" s="1948"/>
      <c r="N225" s="1948"/>
      <c r="O225" s="1948"/>
      <c r="Q225" s="1948"/>
      <c r="R225" s="1948"/>
      <c r="S225" s="1948"/>
      <c r="T225" s="1948"/>
    </row>
    <row r="226" spans="1:20">
      <c r="B226" s="1948"/>
      <c r="C226" s="1948"/>
      <c r="D226" s="1948"/>
      <c r="E226" s="1948"/>
      <c r="G226" s="1948"/>
      <c r="H226" s="1948"/>
      <c r="I226" s="1948"/>
      <c r="J226" s="1948"/>
      <c r="L226" s="1948"/>
      <c r="M226" s="1948"/>
      <c r="N226" s="1948"/>
      <c r="O226" s="1948"/>
      <c r="Q226" s="1948"/>
      <c r="R226" s="1948"/>
      <c r="S226" s="1948"/>
      <c r="T226" s="1948"/>
    </row>
    <row r="227" spans="1:20">
      <c r="B227" s="1948"/>
      <c r="C227" s="1948"/>
      <c r="D227" s="1948"/>
      <c r="E227" s="1948"/>
      <c r="G227" s="1948"/>
      <c r="H227" s="1948"/>
      <c r="I227" s="1948"/>
      <c r="J227" s="1948"/>
      <c r="L227" s="1948"/>
      <c r="M227" s="1948"/>
      <c r="N227" s="1948"/>
      <c r="O227" s="1948"/>
      <c r="Q227" s="1948"/>
      <c r="R227" s="1948"/>
      <c r="S227" s="1948"/>
      <c r="T227" s="1948"/>
    </row>
    <row r="228" spans="1:20">
      <c r="B228" s="1948"/>
      <c r="C228" s="1948"/>
      <c r="D228" s="1948"/>
      <c r="E228" s="1948"/>
      <c r="G228" s="1948"/>
      <c r="H228" s="1948"/>
      <c r="I228" s="1948"/>
      <c r="J228" s="1948"/>
      <c r="L228" s="1948"/>
      <c r="M228" s="1948"/>
      <c r="N228" s="1948"/>
      <c r="O228" s="1948"/>
      <c r="Q228" s="1948"/>
      <c r="R228" s="1948"/>
      <c r="S228" s="1948"/>
      <c r="T228" s="1948"/>
    </row>
    <row r="229" spans="1:20">
      <c r="B229" s="1948"/>
      <c r="C229" s="1948"/>
      <c r="D229" s="1948"/>
      <c r="E229" s="1948"/>
      <c r="G229" s="1948"/>
      <c r="H229" s="1948"/>
      <c r="I229" s="1948"/>
      <c r="J229" s="1948"/>
      <c r="L229" s="1948"/>
      <c r="M229" s="1948"/>
      <c r="N229" s="1948"/>
      <c r="O229" s="1948"/>
      <c r="Q229" s="1948"/>
      <c r="R229" s="1948"/>
      <c r="S229" s="1948"/>
      <c r="T229" s="1948"/>
    </row>
    <row r="230" spans="1:20">
      <c r="B230" s="1948"/>
      <c r="C230" s="1948"/>
      <c r="D230" s="1948"/>
      <c r="E230" s="1948"/>
      <c r="G230" s="1948"/>
      <c r="H230" s="1948"/>
      <c r="I230" s="1948"/>
      <c r="J230" s="1948"/>
      <c r="L230" s="1948"/>
      <c r="M230" s="1948"/>
      <c r="N230" s="1948"/>
      <c r="O230" s="1948"/>
      <c r="Q230" s="1948"/>
      <c r="R230" s="1948"/>
      <c r="S230" s="1948"/>
      <c r="T230" s="1948"/>
    </row>
    <row r="231" spans="1:20">
      <c r="B231" s="1948"/>
      <c r="C231" s="1948"/>
      <c r="D231" s="1948"/>
      <c r="E231" s="1948"/>
      <c r="G231" s="1948"/>
      <c r="H231" s="1948"/>
      <c r="I231" s="1948"/>
      <c r="J231" s="1948"/>
      <c r="L231" s="1948"/>
      <c r="M231" s="1948"/>
      <c r="N231" s="1948"/>
      <c r="O231" s="1948"/>
      <c r="Q231" s="1948"/>
      <c r="R231" s="1948"/>
      <c r="S231" s="1948"/>
      <c r="T231" s="1948"/>
    </row>
    <row r="232" spans="1:20">
      <c r="B232" s="1948"/>
      <c r="C232" s="1948"/>
      <c r="D232" s="1948"/>
      <c r="E232" s="1948"/>
      <c r="G232" s="1948"/>
      <c r="H232" s="1948"/>
      <c r="I232" s="1948"/>
      <c r="J232" s="1948"/>
      <c r="L232" s="1948"/>
      <c r="M232" s="1948"/>
      <c r="N232" s="1948"/>
      <c r="O232" s="1948"/>
      <c r="Q232" s="1948"/>
      <c r="R232" s="1948"/>
      <c r="S232" s="1948"/>
      <c r="T232" s="1948"/>
    </row>
    <row r="233" spans="1:20">
      <c r="B233" s="1948"/>
      <c r="C233" s="1948"/>
      <c r="D233" s="1948"/>
      <c r="E233" s="1948"/>
      <c r="G233" s="1948"/>
      <c r="H233" s="1948"/>
      <c r="I233" s="1948"/>
      <c r="J233" s="1948"/>
      <c r="L233" s="1948"/>
      <c r="M233" s="1948"/>
      <c r="N233" s="1948"/>
      <c r="O233" s="1948"/>
      <c r="Q233" s="1948"/>
      <c r="R233" s="1948"/>
      <c r="S233" s="1948"/>
      <c r="T233" s="1948"/>
    </row>
    <row r="234" spans="1:20" ht="18.75">
      <c r="A234" s="2601" t="s">
        <v>230</v>
      </c>
      <c r="B234" s="6271" t="s">
        <v>2435</v>
      </c>
      <c r="C234" s="6271"/>
      <c r="D234" s="6271"/>
      <c r="E234" s="6271"/>
      <c r="F234" s="2603" t="s">
        <v>230</v>
      </c>
      <c r="G234" s="6271" t="s">
        <v>2436</v>
      </c>
      <c r="H234" s="6271"/>
      <c r="I234" s="6271"/>
      <c r="J234" s="6271"/>
      <c r="K234" s="2603" t="s">
        <v>230</v>
      </c>
      <c r="L234" s="6271" t="s">
        <v>2432</v>
      </c>
      <c r="M234" s="6271"/>
      <c r="N234" s="6271"/>
      <c r="O234" s="6271"/>
      <c r="P234" t="s">
        <v>230</v>
      </c>
      <c r="Q234" s="2589"/>
      <c r="R234" s="2589"/>
      <c r="S234" s="2589"/>
      <c r="T234" s="2589"/>
    </row>
  </sheetData>
  <mergeCells count="74">
    <mergeCell ref="Q151:T151"/>
    <mergeCell ref="B54:E54"/>
    <mergeCell ref="G54:J54"/>
    <mergeCell ref="L54:O54"/>
    <mergeCell ref="Q54:T54"/>
    <mergeCell ref="B70:E70"/>
    <mergeCell ref="G70:J70"/>
    <mergeCell ref="L70:O70"/>
    <mergeCell ref="G86:J86"/>
    <mergeCell ref="L86:O86"/>
    <mergeCell ref="Q86:T86"/>
    <mergeCell ref="L139:O139"/>
    <mergeCell ref="L141:O141"/>
    <mergeCell ref="L143:O143"/>
    <mergeCell ref="L145:O146"/>
    <mergeCell ref="L148:O148"/>
    <mergeCell ref="B22:E22"/>
    <mergeCell ref="G22:J22"/>
    <mergeCell ref="L22:O22"/>
    <mergeCell ref="Q22:T22"/>
    <mergeCell ref="B38:E38"/>
    <mergeCell ref="G38:J38"/>
    <mergeCell ref="L38:O38"/>
    <mergeCell ref="Q38:T38"/>
    <mergeCell ref="B183:E183"/>
    <mergeCell ref="G183:J183"/>
    <mergeCell ref="L183:O183"/>
    <mergeCell ref="Q183:T183"/>
    <mergeCell ref="B167:E167"/>
    <mergeCell ref="G167:J167"/>
    <mergeCell ref="L167:O167"/>
    <mergeCell ref="Q167:T167"/>
    <mergeCell ref="B234:E234"/>
    <mergeCell ref="G234:J234"/>
    <mergeCell ref="L234:O234"/>
    <mergeCell ref="B201:E201"/>
    <mergeCell ref="G201:J201"/>
    <mergeCell ref="L201:O201"/>
    <mergeCell ref="B186:T186"/>
    <mergeCell ref="L218:O218"/>
    <mergeCell ref="Q218:T218"/>
    <mergeCell ref="G218:J218"/>
    <mergeCell ref="B218:E218"/>
    <mergeCell ref="Q201:T201"/>
    <mergeCell ref="Q70:T70"/>
    <mergeCell ref="Q102:T102"/>
    <mergeCell ref="B86:E86"/>
    <mergeCell ref="B146:E147"/>
    <mergeCell ref="B149:E149"/>
    <mergeCell ref="B139:E139"/>
    <mergeCell ref="B141:E141"/>
    <mergeCell ref="G139:J140"/>
    <mergeCell ref="G142:J142"/>
    <mergeCell ref="G144:J144"/>
    <mergeCell ref="G146:J147"/>
    <mergeCell ref="G149:J149"/>
    <mergeCell ref="B143:E144"/>
    <mergeCell ref="B118:E118"/>
    <mergeCell ref="G118:J118"/>
    <mergeCell ref="L118:O118"/>
    <mergeCell ref="Q118:T118"/>
    <mergeCell ref="B102:E102"/>
    <mergeCell ref="G102:J102"/>
    <mergeCell ref="L102:O102"/>
    <mergeCell ref="B136:T136"/>
    <mergeCell ref="B134:E134"/>
    <mergeCell ref="G134:J134"/>
    <mergeCell ref="L134:O134"/>
    <mergeCell ref="Q134:T134"/>
    <mergeCell ref="M7:R7"/>
    <mergeCell ref="B5:T5"/>
    <mergeCell ref="F7:K7"/>
    <mergeCell ref="B3:T4"/>
    <mergeCell ref="B2:T2"/>
  </mergeCells>
  <hyperlinks>
    <hyperlink ref="L54" r:id="rId1" location="6" display="http://matoumatheux.ac-rennes.fr/num/fractions/6/poisson.htm - 6" xr:uid="{00000000-0004-0000-0D00-000000000000}"/>
    <hyperlink ref="L54:N54" r:id="rId2" location="6" display="Colorier un poisson" xr:uid="{00000000-0004-0000-0D00-000001000000}"/>
    <hyperlink ref="B70" r:id="rId3" xr:uid="{00000000-0004-0000-0D00-000002000000}"/>
    <hyperlink ref="L70" r:id="rId4" location="6" display="http://matoumatheux.ac-rennes.fr/num/proportionnalite/6/far.htm - 6" xr:uid="{00000000-0004-0000-0D00-000003000000}"/>
    <hyperlink ref="L70:N70" r:id="rId5" location="6" display="Le far breton" xr:uid="{00000000-0004-0000-0D00-000004000000}"/>
    <hyperlink ref="Q70" r:id="rId6" location="6" display="http://matoumatheux.ac-rennes.fr/num/proportionnalite/6/boulangerie.htm - 6" xr:uid="{00000000-0004-0000-0D00-000005000000}"/>
    <hyperlink ref="B86" r:id="rId7" location="6" display="http://matoumatheux.ac-rennes.fr/num/numeration/doigt.htm - 6" xr:uid="{00000000-0004-0000-0D00-000006000000}"/>
    <hyperlink ref="G86" r:id="rId8" xr:uid="{00000000-0004-0000-0D00-000007000000}"/>
    <hyperlink ref="L86" r:id="rId9" location="6" display="http://matoumatheux.ac-rennes.fr/cours/mesures/convlong.htm - 6" xr:uid="{00000000-0004-0000-0D00-000008000000}"/>
    <hyperlink ref="L86:N86" r:id="rId10" location="6" display="Conversions d'unités de longueur" xr:uid="{00000000-0004-0000-0D00-000009000000}"/>
    <hyperlink ref="Q86" r:id="rId11" location="6" display="http://matoumatheux.ac-rennes.fr/cours/mesures/convmasse.htm - 6" xr:uid="{00000000-0004-0000-0D00-00000A000000}"/>
    <hyperlink ref="Q86:S86" r:id="rId12" location="6" display="Conversion d'unités de masse" xr:uid="{00000000-0004-0000-0D00-00000B000000}"/>
    <hyperlink ref="B102" r:id="rId13" location="6" display="http://matoumatheux.ac-rennes.fr/geom/cercle/Bebert11.htm - 6" xr:uid="{00000000-0004-0000-0D00-00000C000000}"/>
    <hyperlink ref="B102:D102" r:id="rId14" location="6" display="Attaché à un piquet" xr:uid="{00000000-0004-0000-0D00-00000D000000}"/>
    <hyperlink ref="V96" r:id="rId15" display="http://matoumatheux.mschpff.eu/geom/cercle/accueil6.htm" xr:uid="{00000000-0004-0000-0D00-00000E000000}"/>
    <hyperlink ref="G102" r:id="rId16" xr:uid="{00000000-0004-0000-0D00-00000F000000}"/>
    <hyperlink ref="L102" r:id="rId17" xr:uid="{00000000-0004-0000-0D00-000010000000}"/>
    <hyperlink ref="Q102" r:id="rId18" location="6" xr:uid="{00000000-0004-0000-0D00-000011000000}"/>
    <hyperlink ref="G118" r:id="rId19" xr:uid="{00000000-0004-0000-0D00-000012000000}"/>
    <hyperlink ref="L118" r:id="rId20" location="4" display="http://matoumatheux.ac-rennes.fr/num/puissances/gateau.htm - 4" xr:uid="{00000000-0004-0000-0D00-000013000000}"/>
    <hyperlink ref="L118:M118" r:id="rId21" location="4" display="Le mille-feuille" xr:uid="{00000000-0004-0000-0D00-000014000000}"/>
    <hyperlink ref="Q118" r:id="rId22" location="4" display="http://matoumatheux.ac-rennes.fr/cours/aire/airerect.htm - 4" xr:uid="{00000000-0004-0000-0D00-000015000000}"/>
    <hyperlink ref="Q118:R118" r:id="rId23" location="4" display="L'aire d'un rectangle" xr:uid="{00000000-0004-0000-0D00-000016000000}"/>
    <hyperlink ref="Q22" r:id="rId24" location="6" display="Le sirop de menthe" xr:uid="{00000000-0004-0000-0D00-000017000000}"/>
    <hyperlink ref="B38" r:id="rId25" location="6" display="Le cocktail verger" xr:uid="{00000000-0004-0000-0D00-000018000000}"/>
    <hyperlink ref="G38" r:id="rId26" location="6" display="Le cocktail banane" xr:uid="{00000000-0004-0000-0D00-000019000000}"/>
    <hyperlink ref="L38" r:id="rId27" location="6" display=" Le cocktail rouge" xr:uid="{00000000-0004-0000-0D00-00001A000000}"/>
    <hyperlink ref="Q38" r:id="rId28" location="CM2" display="La crème pâtissière" xr:uid="{00000000-0004-0000-0D00-00001B000000}"/>
    <hyperlink ref="G70" r:id="rId29" location="6" display="Segment" xr:uid="{00000000-0004-0000-0D00-00001C000000}"/>
    <hyperlink ref="G54" r:id="rId30" location="6" display="http://matoumatheux.ac-rennes.fr/num/proportionnalite/6/gateauriz.htm - 6" xr:uid="{00000000-0004-0000-0D00-00001D000000}"/>
    <hyperlink ref="G54:H54" r:id="rId31" location="6" display="Le gâteau de riz" xr:uid="{00000000-0004-0000-0D00-00001E000000}"/>
    <hyperlink ref="Q54" r:id="rId32" location="6" xr:uid="{00000000-0004-0000-0D00-00001F000000}"/>
    <hyperlink ref="B54" r:id="rId33" location="6" xr:uid="{00000000-0004-0000-0D00-000020000000}"/>
    <hyperlink ref="B118" r:id="rId34" location="3" display="http://matoumatheux.ac-rennes.fr/num/courbe/casserole.htm - 3" xr:uid="{00000000-0004-0000-0D00-000021000000}"/>
    <hyperlink ref="B118:C118" r:id="rId35" location="3" display="La casserole" xr:uid="{00000000-0004-0000-0D00-000022000000}"/>
    <hyperlink ref="B134" r:id="rId36" location="3" display="http://matoumatheux.ac-rennes.fr/num/diviseur/probleme1.htm - 3" xr:uid="{00000000-0004-0000-0D00-000023000000}"/>
    <hyperlink ref="B134:C134" r:id="rId37" location="3" display="Le gâteau" xr:uid="{00000000-0004-0000-0D00-000024000000}"/>
    <hyperlink ref="B136:E136" r:id="rId38" display="LES FONDAMENTAUX films d'animation" xr:uid="{00000000-0004-0000-0D00-000025000000}"/>
    <hyperlink ref="B139" r:id="rId39" xr:uid="{00000000-0004-0000-0D00-000026000000}"/>
    <hyperlink ref="B141" r:id="rId40" xr:uid="{00000000-0004-0000-0D00-000027000000}"/>
    <hyperlink ref="B143" r:id="rId41" xr:uid="{00000000-0004-0000-0D00-000028000000}"/>
    <hyperlink ref="B146" r:id="rId42" xr:uid="{00000000-0004-0000-0D00-000029000000}"/>
    <hyperlink ref="B149" r:id="rId43" xr:uid="{00000000-0004-0000-0D00-00002A000000}"/>
    <hyperlink ref="G139" r:id="rId44" xr:uid="{00000000-0004-0000-0D00-00002B000000}"/>
    <hyperlink ref="G142" r:id="rId45" xr:uid="{00000000-0004-0000-0D00-00002C000000}"/>
    <hyperlink ref="G144" r:id="rId46" xr:uid="{00000000-0004-0000-0D00-00002D000000}"/>
    <hyperlink ref="G146" r:id="rId47" xr:uid="{00000000-0004-0000-0D00-00002E000000}"/>
    <hyperlink ref="G149" r:id="rId48" location="containerType=serie&amp;containerSlug=la-maison-lumni-college" xr:uid="{00000000-0004-0000-0D00-00002F000000}"/>
    <hyperlink ref="L139" r:id="rId49" location="containerType=serie&amp;containerSlug=la-maison-lumni-college" xr:uid="{00000000-0004-0000-0D00-000030000000}"/>
    <hyperlink ref="L141" r:id="rId50" xr:uid="{00000000-0004-0000-0D00-000031000000}"/>
    <hyperlink ref="L143" r:id="rId51" xr:uid="{00000000-0004-0000-0D00-000032000000}"/>
    <hyperlink ref="L145" r:id="rId52" xr:uid="{00000000-0004-0000-0D00-000033000000}"/>
    <hyperlink ref="L148" r:id="rId53" xr:uid="{00000000-0004-0000-0D00-000034000000}"/>
    <hyperlink ref="B167" r:id="rId54" xr:uid="{00000000-0004-0000-0D00-000035000000}"/>
    <hyperlink ref="G167" r:id="rId55" xr:uid="{00000000-0004-0000-0D00-000036000000}"/>
    <hyperlink ref="L167" r:id="rId56" xr:uid="{00000000-0004-0000-0D00-000037000000}"/>
    <hyperlink ref="B201" r:id="rId57" xr:uid="{00000000-0004-0000-0D00-000038000000}"/>
    <hyperlink ref="G201" r:id="rId58" xr:uid="{00000000-0004-0000-0D00-000039000000}"/>
    <hyperlink ref="L201" r:id="rId59" xr:uid="{00000000-0004-0000-0D00-00003A000000}"/>
    <hyperlink ref="V183:Y183" r:id="rId60" location="6" display="Classer des questions" xr:uid="{00000000-0004-0000-0D00-00003B000000}"/>
    <hyperlink ref="B183" r:id="rId61" location="6" display="http://matoumatheux.ac-rennes.fr/num/probleme/classer.htm - 6" xr:uid="{00000000-0004-0000-0D00-00003C000000}"/>
    <hyperlink ref="G183" r:id="rId62" xr:uid="{00000000-0004-0000-0D00-00003D000000}"/>
    <hyperlink ref="L183" r:id="rId63" xr:uid="{00000000-0004-0000-0D00-00003E000000}"/>
    <hyperlink ref="Q167" r:id="rId64" xr:uid="{00000000-0004-0000-0D00-00003F000000}"/>
    <hyperlink ref="B218" r:id="rId65" xr:uid="{00000000-0004-0000-0D00-000040000000}"/>
    <hyperlink ref="G218" r:id="rId66" xr:uid="{00000000-0004-0000-0D00-000041000000}"/>
    <hyperlink ref="Q183" r:id="rId67" xr:uid="{00000000-0004-0000-0D00-000042000000}"/>
    <hyperlink ref="L218" r:id="rId68" xr:uid="{00000000-0004-0000-0D00-000043000000}"/>
    <hyperlink ref="Q218" r:id="rId69" xr:uid="{00000000-0004-0000-0D00-000044000000}"/>
    <hyperlink ref="B234" r:id="rId70" xr:uid="{00000000-0004-0000-0D00-000045000000}"/>
    <hyperlink ref="G234" r:id="rId71" xr:uid="{00000000-0004-0000-0D00-000046000000}"/>
    <hyperlink ref="L234" r:id="rId72" xr:uid="{00000000-0004-0000-0D00-000047000000}"/>
    <hyperlink ref="Q201" r:id="rId73" xr:uid="{00000000-0004-0000-0D00-000048000000}"/>
    <hyperlink ref="Q70:S70" r:id="rId74" location="6" display="La boulangerie" xr:uid="{00000000-0004-0000-0D00-000049000000}"/>
    <hyperlink ref="Q151" r:id="rId75" xr:uid="{00000000-0004-0000-0D00-00004A000000}"/>
    <hyperlink ref="F7" r:id="rId76" xr:uid="{00000000-0004-0000-0D00-00004B000000}"/>
    <hyperlink ref="G134:J134" r:id="rId77" display="LE MATOU MATHEUX ACCUEIL.mschpff.eu" xr:uid="{00000000-0004-0000-0D00-00004C000000}"/>
    <hyperlink ref="L134" r:id="rId78" xr:uid="{00000000-0004-0000-0D00-00004D000000}"/>
    <hyperlink ref="M7" r:id="rId79" xr:uid="{00000000-0004-0000-0D00-00004E000000}"/>
  </hyperlinks>
  <pageMargins left="0.7" right="0.7" top="0.75" bottom="0.75" header="0.3" footer="0.3"/>
  <pageSetup paperSize="9" orientation="portrait" r:id="rId80"/>
  <drawing r:id="rId8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J42"/>
  <sheetViews>
    <sheetView showGridLines="0" workbookViewId="0">
      <selection activeCell="P18" sqref="P18"/>
    </sheetView>
  </sheetViews>
  <sheetFormatPr baseColWidth="10" defaultRowHeight="15.75"/>
  <sheetData>
    <row r="3" spans="2:4" ht="21">
      <c r="C3" s="2793" t="s">
        <v>2808</v>
      </c>
    </row>
    <row r="4" spans="2:4">
      <c r="B4" s="2798" t="s">
        <v>723</v>
      </c>
      <c r="C4" s="2795" t="s">
        <v>2809</v>
      </c>
    </row>
    <row r="6" spans="2:4" ht="21">
      <c r="C6" s="2793" t="s">
        <v>2792</v>
      </c>
    </row>
    <row r="7" spans="2:4">
      <c r="B7" s="2798" t="s">
        <v>723</v>
      </c>
      <c r="C7" s="2795" t="s">
        <v>2793</v>
      </c>
      <c r="D7" s="2796"/>
    </row>
    <row r="9" spans="2:4" ht="21">
      <c r="C9" s="2793" t="s">
        <v>2794</v>
      </c>
    </row>
    <row r="10" spans="2:4">
      <c r="B10" s="2798" t="s">
        <v>723</v>
      </c>
      <c r="C10" s="2795" t="s">
        <v>2795</v>
      </c>
    </row>
    <row r="11" spans="2:4">
      <c r="C11" t="s">
        <v>2796</v>
      </c>
    </row>
    <row r="12" spans="2:4">
      <c r="C12" t="s">
        <v>2797</v>
      </c>
    </row>
    <row r="13" spans="2:4">
      <c r="B13" s="2798" t="s">
        <v>723</v>
      </c>
      <c r="C13" s="2794" t="s">
        <v>2800</v>
      </c>
    </row>
    <row r="14" spans="2:4">
      <c r="C14" t="s">
        <v>2798</v>
      </c>
    </row>
    <row r="15" spans="2:4">
      <c r="C15" t="s">
        <v>2799</v>
      </c>
    </row>
    <row r="17" spans="2:10" ht="21">
      <c r="C17" s="2793" t="s">
        <v>2806</v>
      </c>
    </row>
    <row r="18" spans="2:10">
      <c r="B18" s="2798" t="s">
        <v>723</v>
      </c>
      <c r="C18" s="2795" t="s">
        <v>2807</v>
      </c>
    </row>
    <row r="20" spans="2:10" ht="21">
      <c r="C20" s="2793" t="s">
        <v>2810</v>
      </c>
    </row>
    <row r="21" spans="2:10">
      <c r="B21" s="2798" t="s">
        <v>723</v>
      </c>
      <c r="C21" s="2795" t="s">
        <v>2811</v>
      </c>
    </row>
    <row r="23" spans="2:10" ht="21">
      <c r="C23" s="2793" t="s">
        <v>2778</v>
      </c>
    </row>
    <row r="25" spans="2:10" ht="18.75">
      <c r="C25" s="2603" t="s">
        <v>2779</v>
      </c>
    </row>
    <row r="26" spans="2:10">
      <c r="B26" s="2798" t="s">
        <v>723</v>
      </c>
      <c r="C26" s="2795" t="s">
        <v>2791</v>
      </c>
      <c r="D26" s="2796"/>
      <c r="E26" s="2796"/>
      <c r="F26" s="2796"/>
      <c r="G26" s="2796"/>
      <c r="H26" s="2796"/>
      <c r="I26" s="2796"/>
      <c r="J26" s="2796"/>
    </row>
    <row r="27" spans="2:10">
      <c r="C27" t="s">
        <v>2780</v>
      </c>
    </row>
    <row r="29" spans="2:10">
      <c r="C29" s="2787" t="s">
        <v>2781</v>
      </c>
    </row>
    <row r="31" spans="2:10">
      <c r="B31" s="2798" t="s">
        <v>723</v>
      </c>
      <c r="C31" s="2788" t="s">
        <v>2782</v>
      </c>
    </row>
    <row r="33" spans="2:3">
      <c r="C33" s="2789" t="s">
        <v>2783</v>
      </c>
    </row>
    <row r="34" spans="2:3">
      <c r="C34" s="2790"/>
    </row>
    <row r="35" spans="2:3">
      <c r="B35" s="2798" t="s">
        <v>723</v>
      </c>
      <c r="C35" s="2784" t="s">
        <v>2784</v>
      </c>
    </row>
    <row r="36" spans="2:3">
      <c r="C36" s="2791" t="s">
        <v>2785</v>
      </c>
    </row>
    <row r="37" spans="2:3">
      <c r="C37" s="2791" t="s">
        <v>2786</v>
      </c>
    </row>
    <row r="38" spans="2:3">
      <c r="C38" s="2791" t="s">
        <v>2787</v>
      </c>
    </row>
    <row r="39" spans="2:3">
      <c r="C39" s="2791" t="s">
        <v>2788</v>
      </c>
    </row>
    <row r="40" spans="2:3">
      <c r="C40" s="2791" t="s">
        <v>2789</v>
      </c>
    </row>
    <row r="42" spans="2:3">
      <c r="C42" s="2792" t="s">
        <v>2790</v>
      </c>
    </row>
  </sheetData>
  <hyperlinks>
    <hyperlink ref="C31" r:id="rId1" display="https://ruffle.rs/" xr:uid="{00000000-0004-0000-0E00-000000000000}"/>
    <hyperlink ref="C35" r:id="rId2" location="releases" display="https://ruffle.rs/ - releases" xr:uid="{00000000-0004-0000-0E00-000001000000}"/>
    <hyperlink ref="C26" r:id="rId3" xr:uid="{00000000-0004-0000-0E00-000002000000}"/>
    <hyperlink ref="C7" r:id="rId4" xr:uid="{00000000-0004-0000-0E00-000003000000}"/>
    <hyperlink ref="C10" r:id="rId5" xr:uid="{00000000-0004-0000-0E00-000004000000}"/>
    <hyperlink ref="C13" r:id="rId6" xr:uid="{00000000-0004-0000-0E00-000005000000}"/>
    <hyperlink ref="C18" r:id="rId7" xr:uid="{00000000-0004-0000-0E00-000006000000}"/>
    <hyperlink ref="C4" r:id="rId8" xr:uid="{00000000-0004-0000-0E00-000007000000}"/>
    <hyperlink ref="C21" r:id="rId9" xr:uid="{00000000-0004-0000-0E00-000008000000}"/>
  </hyperlinks>
  <pageMargins left="0.7" right="0.7" top="0.75" bottom="0.75" header="0.3" footer="0.3"/>
  <drawing r:id="rId1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X96"/>
  <sheetViews>
    <sheetView showZeros="0" topLeftCell="A13" zoomScale="75" zoomScaleNormal="75" workbookViewId="0">
      <selection activeCell="R11" sqref="R11"/>
    </sheetView>
  </sheetViews>
  <sheetFormatPr baseColWidth="10" defaultRowHeight="15.75"/>
  <cols>
    <col min="1" max="1" width="7.25" style="2334" customWidth="1"/>
    <col min="2" max="2" width="11.125" style="2334" customWidth="1"/>
    <col min="3" max="3" width="32.5" style="2334" customWidth="1"/>
    <col min="4" max="4" width="14.625" style="2334" customWidth="1"/>
    <col min="5" max="5" width="11" style="2334" customWidth="1"/>
    <col min="6" max="6" width="4.375" style="2334" customWidth="1"/>
    <col min="7" max="7" width="53.375" style="2334" customWidth="1"/>
    <col min="8" max="11" width="6.75" style="2334" customWidth="1"/>
    <col min="12" max="12" width="9.25" style="2334" customWidth="1"/>
    <col min="13" max="13" width="8.375" style="2334" customWidth="1"/>
    <col min="14" max="14" width="10.5" style="2334" customWidth="1"/>
    <col min="15" max="15" width="10.375" style="2334" customWidth="1"/>
    <col min="16" max="19" width="6.75" style="2334" customWidth="1"/>
    <col min="20" max="20" width="11.375" style="2334" customWidth="1"/>
    <col min="21" max="22" width="11" style="2334" customWidth="1"/>
    <col min="23" max="23" width="24.75" style="2334" customWidth="1"/>
    <col min="24" max="24" width="11" style="2334" customWidth="1"/>
    <col min="25" max="25" width="6.125" style="2334" customWidth="1"/>
    <col min="26" max="27" width="11" style="2334"/>
    <col min="28" max="28" width="4" style="2334" customWidth="1"/>
    <col min="29" max="36" width="11" style="2334"/>
    <col min="37" max="37" width="14" style="2334" customWidth="1"/>
    <col min="38" max="39" width="11" style="2334"/>
    <col min="40" max="49" width="10.25" style="2334" customWidth="1"/>
    <col min="50" max="16384" width="11" style="2334"/>
  </cols>
  <sheetData>
    <row r="1" spans="1:50" s="2328" customFormat="1" ht="55.5" customHeight="1">
      <c r="A1" s="2327" t="s">
        <v>2256</v>
      </c>
      <c r="B1" s="6278" t="s">
        <v>2257</v>
      </c>
      <c r="C1" s="6279"/>
      <c r="D1" s="6279"/>
      <c r="E1" s="6279"/>
      <c r="F1" s="6279"/>
      <c r="G1" s="6279"/>
      <c r="H1" s="6279"/>
      <c r="I1" s="6279"/>
      <c r="J1" s="6279"/>
      <c r="K1" s="6279"/>
      <c r="L1" s="6279"/>
      <c r="M1" s="6279"/>
      <c r="N1" s="6279"/>
      <c r="O1" s="6279"/>
      <c r="P1" s="6279"/>
      <c r="Q1" s="6279"/>
      <c r="R1" s="6279"/>
      <c r="S1" s="6279"/>
      <c r="T1" s="6279"/>
      <c r="U1" s="6279"/>
      <c r="V1" s="6279"/>
      <c r="W1" s="6279"/>
      <c r="X1" s="6279"/>
      <c r="Y1" s="6279"/>
      <c r="Z1" s="6279"/>
      <c r="AA1" s="6280"/>
    </row>
    <row r="2" spans="1:50" s="2328" customFormat="1" ht="55.5" customHeight="1">
      <c r="A2" s="2329"/>
      <c r="B2" s="6281" t="s">
        <v>2326</v>
      </c>
      <c r="C2" s="6281"/>
      <c r="D2" s="6281"/>
      <c r="E2" s="6281"/>
      <c r="F2" s="6281"/>
      <c r="G2" s="6281"/>
      <c r="H2" s="6281"/>
      <c r="I2" s="6281"/>
      <c r="J2" s="6281"/>
      <c r="K2" s="6281"/>
      <c r="L2" s="6281"/>
      <c r="M2" s="6281"/>
      <c r="N2" s="6281"/>
      <c r="O2" s="6281"/>
      <c r="P2" s="6281"/>
      <c r="Q2" s="6281"/>
      <c r="R2" s="6281"/>
      <c r="S2" s="6281"/>
      <c r="T2" s="6281"/>
      <c r="U2" s="6281"/>
      <c r="V2" s="6281"/>
      <c r="W2" s="6281"/>
      <c r="X2" s="6281"/>
      <c r="Y2" s="6281"/>
      <c r="Z2" s="6281"/>
      <c r="AA2" s="6281"/>
    </row>
    <row r="3" spans="1:50" s="2328" customFormat="1" ht="55.5" customHeight="1">
      <c r="A3" s="2329"/>
      <c r="B3" s="2330"/>
      <c r="C3" s="2330" t="s">
        <v>2258</v>
      </c>
      <c r="D3" s="2330"/>
      <c r="E3" s="2330"/>
      <c r="F3" s="2331"/>
      <c r="G3" s="2331"/>
      <c r="H3" s="2331"/>
      <c r="I3" s="2331"/>
      <c r="J3" s="2331"/>
      <c r="K3" s="2331"/>
      <c r="L3" s="2331"/>
      <c r="M3" s="2331"/>
      <c r="N3" s="2331"/>
      <c r="O3" s="2331"/>
      <c r="P3" s="2331"/>
      <c r="Q3" s="2331"/>
      <c r="R3" s="2331"/>
      <c r="S3" s="2331"/>
      <c r="T3" s="2331"/>
      <c r="U3" s="2331"/>
      <c r="V3" s="2331"/>
      <c r="W3" s="2331"/>
      <c r="X3" s="2331"/>
      <c r="Y3" s="2331"/>
      <c r="Z3" s="2331"/>
      <c r="AA3" s="2331"/>
    </row>
    <row r="4" spans="1:50" s="2328" customFormat="1" ht="55.5" customHeight="1">
      <c r="A4" s="2329"/>
      <c r="B4" s="2330"/>
      <c r="C4" s="2330"/>
      <c r="D4" s="2330" t="s">
        <v>2259</v>
      </c>
      <c r="E4" s="2330"/>
      <c r="F4" s="2331"/>
      <c r="G4" s="2331"/>
      <c r="H4" s="2331"/>
      <c r="I4" s="2331"/>
      <c r="J4" s="2331"/>
      <c r="K4" s="2331"/>
      <c r="L4" s="2331"/>
      <c r="M4" s="2331"/>
      <c r="N4" s="2331"/>
      <c r="O4" s="2331"/>
      <c r="P4" s="2331"/>
      <c r="Q4" s="2331"/>
      <c r="R4" s="2331"/>
      <c r="S4" s="2331"/>
      <c r="T4" s="2331"/>
      <c r="U4" s="2331"/>
      <c r="V4" s="2331"/>
      <c r="W4" s="2331"/>
      <c r="X4" s="2331"/>
      <c r="Y4" s="2331"/>
      <c r="Z4" s="2331"/>
      <c r="AA4" s="2331"/>
    </row>
    <row r="5" spans="1:50" s="2328" customFormat="1" ht="55.5" customHeight="1">
      <c r="A5" s="2329"/>
      <c r="B5" s="2330"/>
      <c r="C5" s="2330" t="s">
        <v>2260</v>
      </c>
      <c r="D5" s="2330"/>
      <c r="E5" s="2330"/>
      <c r="F5" s="2331"/>
      <c r="G5" s="2331"/>
      <c r="H5" s="2331"/>
      <c r="I5" s="2331"/>
      <c r="J5" s="2331"/>
      <c r="K5" s="2331"/>
      <c r="L5" s="2331"/>
      <c r="M5" s="2331"/>
      <c r="N5" s="2331"/>
      <c r="O5" s="2331"/>
      <c r="P5" s="2331"/>
      <c r="Q5" s="2331"/>
      <c r="R5" s="2331"/>
      <c r="S5" s="2331"/>
      <c r="T5" s="2331"/>
      <c r="U5" s="2331"/>
      <c r="V5" s="2331"/>
      <c r="W5" s="2331"/>
      <c r="X5" s="2331"/>
      <c r="Y5" s="2331"/>
      <c r="Z5" s="2331"/>
      <c r="AA5" s="2331"/>
    </row>
    <row r="6" spans="1:50" s="2328" customFormat="1" ht="55.5" customHeight="1">
      <c r="A6" s="2329"/>
      <c r="B6" s="2330"/>
      <c r="C6" s="2330"/>
      <c r="D6" s="2330" t="s">
        <v>2261</v>
      </c>
      <c r="E6" s="2330"/>
      <c r="F6" s="2331"/>
      <c r="G6" s="2331"/>
      <c r="H6" s="2331"/>
      <c r="I6" s="2331"/>
      <c r="J6" s="2331"/>
      <c r="K6" s="2331"/>
      <c r="L6" s="2331"/>
      <c r="M6" s="2331"/>
      <c r="N6" s="2331"/>
      <c r="O6" s="2331"/>
      <c r="P6" s="2331"/>
      <c r="Q6" s="2331"/>
      <c r="R6" s="2331"/>
      <c r="S6" s="2331"/>
      <c r="T6" s="2331"/>
      <c r="U6" s="2331"/>
      <c r="V6" s="2331"/>
      <c r="W6" s="2331"/>
      <c r="X6" s="2331"/>
      <c r="Y6" s="2331"/>
      <c r="Z6" s="2331"/>
      <c r="AA6" s="2331"/>
    </row>
    <row r="7" spans="1:50" s="2328" customFormat="1" ht="55.5" customHeight="1">
      <c r="A7" s="2329"/>
      <c r="B7" s="2330"/>
      <c r="C7" s="2330"/>
      <c r="D7" s="2330" t="s">
        <v>2262</v>
      </c>
      <c r="E7" s="2330"/>
      <c r="F7" s="2331"/>
      <c r="G7" s="2331"/>
      <c r="H7" s="2331"/>
      <c r="I7" s="2331"/>
      <c r="J7" s="2331"/>
      <c r="K7" s="2331"/>
      <c r="L7" s="2331"/>
      <c r="M7" s="2331"/>
      <c r="N7" s="2331"/>
      <c r="O7" s="2331"/>
      <c r="P7" s="2331"/>
      <c r="Q7" s="2331"/>
      <c r="R7" s="2331"/>
      <c r="S7" s="2331"/>
      <c r="T7" s="2331"/>
      <c r="U7" s="2331"/>
      <c r="V7" s="2331"/>
      <c r="W7" s="2331"/>
      <c r="X7" s="2331"/>
      <c r="Y7" s="2331"/>
      <c r="Z7" s="2331"/>
      <c r="AA7" s="2331"/>
    </row>
    <row r="8" spans="1:50" s="2328" customFormat="1" ht="55.5" customHeight="1">
      <c r="A8" s="2329"/>
      <c r="B8" s="2330"/>
      <c r="C8" s="2330"/>
      <c r="D8" s="2330" t="s">
        <v>2263</v>
      </c>
      <c r="E8" s="2330"/>
      <c r="F8" s="2331"/>
      <c r="G8" s="2331"/>
      <c r="H8" s="2331"/>
      <c r="I8" s="2331"/>
      <c r="J8" s="2331"/>
      <c r="K8" s="2331"/>
      <c r="L8" s="2331"/>
      <c r="M8" s="2331"/>
      <c r="N8" s="2331"/>
      <c r="O8" s="2331"/>
      <c r="P8" s="2331"/>
      <c r="Q8" s="2331"/>
      <c r="R8" s="2331"/>
      <c r="S8" s="2331"/>
      <c r="T8" s="2331"/>
      <c r="U8" s="2331"/>
      <c r="V8" s="2331"/>
      <c r="W8" s="2331"/>
      <c r="X8" s="2331"/>
      <c r="Y8" s="2331"/>
      <c r="Z8" s="2331"/>
      <c r="AA8" s="2331"/>
    </row>
    <row r="9" spans="1:50" s="2328" customFormat="1" ht="55.5" customHeight="1">
      <c r="A9" s="2329"/>
      <c r="B9" s="2330"/>
      <c r="C9" s="2330" t="s">
        <v>2264</v>
      </c>
      <c r="D9" s="2330"/>
      <c r="E9" s="2330"/>
      <c r="F9" s="2331"/>
      <c r="G9" s="2331"/>
      <c r="H9" s="2331"/>
      <c r="I9" s="2331"/>
      <c r="J9" s="2331"/>
      <c r="K9" s="2331"/>
      <c r="L9" s="2331"/>
      <c r="M9" s="2331"/>
      <c r="N9" s="2331"/>
      <c r="O9" s="2331"/>
      <c r="P9" s="2331"/>
      <c r="Q9" s="2331"/>
      <c r="R9" s="2331"/>
      <c r="S9" s="2331"/>
      <c r="T9" s="2331"/>
      <c r="U9" s="2331"/>
      <c r="V9" s="2331"/>
      <c r="W9" s="2331"/>
      <c r="X9" s="2331"/>
      <c r="Y9" s="2331"/>
      <c r="Z9" s="2331"/>
      <c r="AA9" s="2331"/>
    </row>
    <row r="10" spans="1:50" s="2328" customFormat="1" ht="55.5" customHeight="1">
      <c r="A10" s="2329"/>
      <c r="B10" s="2330"/>
      <c r="C10" s="2330" t="s">
        <v>2265</v>
      </c>
      <c r="D10" s="2330"/>
      <c r="E10" s="2330"/>
      <c r="F10" s="2331"/>
      <c r="G10" s="2331"/>
      <c r="H10" s="2331"/>
      <c r="I10" s="2331"/>
      <c r="J10" s="2331"/>
      <c r="K10" s="2331"/>
      <c r="L10" s="2331"/>
      <c r="M10" s="2331"/>
      <c r="N10" s="2331"/>
      <c r="O10" s="2331"/>
      <c r="P10" s="2331"/>
      <c r="Q10" s="2331"/>
      <c r="R10" s="2331"/>
      <c r="S10" s="2331"/>
      <c r="T10" s="2331"/>
      <c r="U10" s="2331"/>
      <c r="V10" s="2331"/>
      <c r="W10" s="2331"/>
      <c r="X10" s="2331"/>
      <c r="Y10" s="2331"/>
      <c r="Z10" s="2331"/>
      <c r="AA10" s="2331"/>
    </row>
    <row r="11" spans="1:50" s="2328" customFormat="1" ht="55.5" customHeight="1">
      <c r="A11" s="2329"/>
      <c r="B11" s="2331"/>
      <c r="C11" s="2330" t="s">
        <v>2266</v>
      </c>
      <c r="D11" s="2331"/>
      <c r="E11" s="2331"/>
      <c r="F11" s="2331"/>
      <c r="G11" s="2331"/>
      <c r="H11" s="2331"/>
      <c r="I11" s="2331"/>
      <c r="J11" s="2331"/>
      <c r="K11" s="2331"/>
      <c r="L11" s="2331"/>
      <c r="M11" s="2331"/>
      <c r="N11" s="2331"/>
      <c r="O11" s="2331"/>
      <c r="P11" s="2331"/>
      <c r="Q11" s="2331"/>
      <c r="R11" s="2331"/>
      <c r="S11" s="2331"/>
      <c r="T11" s="2331"/>
      <c r="U11" s="2331"/>
      <c r="V11" s="2331"/>
      <c r="W11" s="2331"/>
      <c r="X11" s="2331"/>
      <c r="Y11" s="2331"/>
      <c r="Z11" s="2331"/>
      <c r="AA11" s="2331"/>
    </row>
    <row r="12" spans="1:50" s="2328" customFormat="1" ht="55.5" customHeight="1">
      <c r="A12" s="2329"/>
      <c r="B12" s="2331"/>
      <c r="C12" s="2330" t="s">
        <v>2267</v>
      </c>
      <c r="D12" s="2331"/>
      <c r="E12" s="2331"/>
      <c r="F12" s="2331"/>
      <c r="G12" s="2331"/>
      <c r="H12" s="2331"/>
      <c r="I12" s="2331"/>
      <c r="J12" s="2331"/>
      <c r="K12" s="2331"/>
      <c r="L12" s="2331"/>
      <c r="M12" s="2331"/>
      <c r="N12" s="2331"/>
      <c r="O12" s="2331"/>
      <c r="P12" s="2331"/>
      <c r="Q12" s="2331"/>
      <c r="R12" s="2331"/>
      <c r="S12" s="2331"/>
      <c r="T12" s="2331"/>
      <c r="U12" s="2331"/>
      <c r="V12" s="2331"/>
      <c r="W12" s="2331"/>
      <c r="X12" s="2331"/>
      <c r="Y12" s="2331"/>
      <c r="Z12" s="2331"/>
      <c r="AA12" s="2331"/>
    </row>
    <row r="13" spans="1:50" s="2328" customFormat="1" ht="55.5" customHeight="1" thickBot="1">
      <c r="A13" s="2608"/>
      <c r="B13" s="2774" t="s">
        <v>2756</v>
      </c>
      <c r="C13" s="2330"/>
      <c r="D13" s="2331"/>
      <c r="E13" s="2331"/>
      <c r="F13" s="2331"/>
      <c r="G13" s="2331"/>
      <c r="H13" s="2331"/>
      <c r="I13" s="2331"/>
      <c r="J13" s="2331"/>
      <c r="K13" s="2331"/>
      <c r="L13" s="2331"/>
      <c r="M13" s="2331"/>
      <c r="N13" s="2331"/>
      <c r="O13" s="2331"/>
      <c r="P13" s="2331"/>
      <c r="Q13" s="2331"/>
      <c r="R13" s="2331"/>
      <c r="S13" s="2331"/>
      <c r="T13" s="2331"/>
      <c r="U13" s="2331"/>
      <c r="V13" s="2331"/>
      <c r="W13" s="2331"/>
      <c r="X13" s="2331"/>
      <c r="Y13" s="2331"/>
      <c r="Z13" s="2331"/>
      <c r="AA13" s="2331"/>
    </row>
    <row r="14" spans="1:50" ht="24" customHeight="1">
      <c r="A14" s="2327" t="s">
        <v>2256</v>
      </c>
      <c r="B14" s="2332" t="s">
        <v>2268</v>
      </c>
      <c r="C14" s="2333"/>
      <c r="D14" s="2333"/>
      <c r="E14" s="2333"/>
      <c r="F14" s="2609" t="s">
        <v>932</v>
      </c>
      <c r="G14" s="2610">
        <f ca="1">NOW()</f>
        <v>45075.412900000003</v>
      </c>
      <c r="H14" s="2610"/>
      <c r="I14" s="2610"/>
      <c r="J14" s="2610"/>
      <c r="K14" s="2610"/>
      <c r="L14" s="2610"/>
      <c r="M14" s="2610"/>
      <c r="N14" s="2610"/>
      <c r="O14" s="2610"/>
      <c r="P14" s="2610"/>
      <c r="Q14" s="2610"/>
      <c r="R14" s="2610"/>
      <c r="S14" s="2610"/>
      <c r="T14" s="6282" t="s">
        <v>2269</v>
      </c>
      <c r="U14" s="6283"/>
      <c r="V14" s="6283"/>
      <c r="W14" s="6283"/>
      <c r="X14" s="6283"/>
      <c r="Y14" s="6283"/>
      <c r="Z14" s="6283"/>
      <c r="AA14" s="6283"/>
      <c r="AB14" s="6283"/>
      <c r="AC14" s="6283"/>
      <c r="AD14" s="6283"/>
      <c r="AE14" s="6283"/>
      <c r="AF14" s="6283"/>
      <c r="AG14" s="6283"/>
      <c r="AH14" s="6283"/>
      <c r="AI14" s="6283"/>
      <c r="AJ14" s="6283"/>
      <c r="AK14" s="6283"/>
      <c r="AL14" s="6283"/>
      <c r="AN14" s="6284" t="str">
        <f>U17</f>
        <v>NOM DU PLAT</v>
      </c>
      <c r="AO14" s="6285"/>
      <c r="AP14" s="6285"/>
      <c r="AQ14" s="6285"/>
      <c r="AR14" s="6285"/>
      <c r="AS14" s="6285"/>
      <c r="AT14" s="6285"/>
      <c r="AU14" s="6285"/>
      <c r="AV14" s="6288" t="s">
        <v>2270</v>
      </c>
      <c r="AW14" s="6290">
        <f>AJ17</f>
        <v>1</v>
      </c>
      <c r="AX14" s="2335"/>
    </row>
    <row r="15" spans="1:50" ht="18" customHeight="1">
      <c r="A15" s="6303" t="str">
        <f>SUBSTITUTE(ADDRESS(1,COLUMN(),4),"1","")</f>
        <v>A</v>
      </c>
      <c r="B15" s="2336"/>
      <c r="C15" s="2336"/>
      <c r="D15" s="2336"/>
      <c r="E15" s="2336"/>
      <c r="F15" s="2337" t="s">
        <v>2271</v>
      </c>
      <c r="G15" s="2338"/>
      <c r="H15" s="6359" t="s">
        <v>2468</v>
      </c>
      <c r="I15" s="6359"/>
      <c r="J15" s="6359"/>
      <c r="K15" s="6359"/>
      <c r="L15" s="6359"/>
      <c r="M15" s="6359"/>
      <c r="N15" s="6359"/>
      <c r="O15" s="6359"/>
      <c r="P15" s="6359"/>
      <c r="Q15" s="6359"/>
      <c r="R15" s="6359"/>
      <c r="S15" s="6359"/>
      <c r="T15" s="2339" t="s">
        <v>2272</v>
      </c>
      <c r="U15" s="2340"/>
      <c r="V15" s="2341"/>
      <c r="W15" s="2341" t="s">
        <v>2273</v>
      </c>
      <c r="X15" s="2340" t="s">
        <v>2274</v>
      </c>
      <c r="Y15" s="2340"/>
      <c r="Z15" s="2340"/>
      <c r="AA15" s="2340"/>
      <c r="AB15" s="2342"/>
      <c r="AC15" s="2342"/>
      <c r="AD15" s="2342"/>
      <c r="AE15" s="2343"/>
      <c r="AF15" s="2344"/>
      <c r="AG15" s="2344"/>
      <c r="AH15" s="2344"/>
      <c r="AI15" s="2344"/>
      <c r="AJ15" s="2344"/>
      <c r="AK15" s="2662" t="s">
        <v>2275</v>
      </c>
      <c r="AL15" s="6304" t="s">
        <v>2469</v>
      </c>
      <c r="AN15" s="6286"/>
      <c r="AO15" s="6287"/>
      <c r="AP15" s="6287"/>
      <c r="AQ15" s="6287"/>
      <c r="AR15" s="6287"/>
      <c r="AS15" s="6287"/>
      <c r="AT15" s="6287"/>
      <c r="AU15" s="6287"/>
      <c r="AV15" s="6289"/>
      <c r="AW15" s="6291"/>
    </row>
    <row r="16" spans="1:50" ht="15.75" customHeight="1">
      <c r="A16" s="6303"/>
      <c r="B16" s="2345"/>
      <c r="C16" s="2345"/>
      <c r="D16" s="2345"/>
      <c r="E16" s="2345"/>
      <c r="F16" s="6306"/>
      <c r="G16" s="6307"/>
      <c r="H16" s="6359"/>
      <c r="I16" s="6359"/>
      <c r="J16" s="6359"/>
      <c r="K16" s="6359"/>
      <c r="L16" s="6359"/>
      <c r="M16" s="6359"/>
      <c r="N16" s="6359"/>
      <c r="O16" s="6359"/>
      <c r="P16" s="6359"/>
      <c r="Q16" s="6359"/>
      <c r="R16" s="6359"/>
      <c r="S16" s="6359"/>
      <c r="T16" s="2339" t="s">
        <v>34</v>
      </c>
      <c r="U16" s="2346"/>
      <c r="V16" s="2347"/>
      <c r="W16" s="2347"/>
      <c r="X16" s="2347"/>
      <c r="Y16" s="2347"/>
      <c r="Z16" s="2347"/>
      <c r="AA16" s="2347"/>
      <c r="AB16" s="2342"/>
      <c r="AC16" s="2347"/>
      <c r="AD16" s="2347"/>
      <c r="AE16" s="2347"/>
      <c r="AF16" s="2342"/>
      <c r="AG16" s="2347"/>
      <c r="AH16" s="2347"/>
      <c r="AI16" s="2347"/>
      <c r="AJ16" s="2342"/>
      <c r="AK16" s="2663" t="s">
        <v>2276</v>
      </c>
      <c r="AL16" s="6305"/>
      <c r="AN16" s="6310" t="s">
        <v>2277</v>
      </c>
      <c r="AO16" s="6311"/>
      <c r="AP16" s="6311"/>
      <c r="AQ16" s="6311"/>
      <c r="AR16" s="6311"/>
      <c r="AS16" s="6311"/>
      <c r="AT16" s="6311"/>
      <c r="AU16" s="6311"/>
      <c r="AV16" s="6311"/>
      <c r="AW16" s="6312"/>
    </row>
    <row r="17" spans="1:49" ht="30.75" customHeight="1">
      <c r="A17" s="6313" t="str">
        <f>U17</f>
        <v>NOM DU PLAT</v>
      </c>
      <c r="B17" s="6315" t="s">
        <v>2278</v>
      </c>
      <c r="C17" s="6315"/>
      <c r="D17" s="6315"/>
      <c r="E17" s="6315"/>
      <c r="F17" s="6306"/>
      <c r="G17" s="6307"/>
      <c r="H17" s="6359"/>
      <c r="I17" s="6359"/>
      <c r="J17" s="6359"/>
      <c r="K17" s="6359"/>
      <c r="L17" s="6359"/>
      <c r="M17" s="6359"/>
      <c r="N17" s="6359"/>
      <c r="O17" s="6359"/>
      <c r="P17" s="6359"/>
      <c r="Q17" s="6359"/>
      <c r="R17" s="6359"/>
      <c r="S17" s="6359"/>
      <c r="T17" s="2348" t="s">
        <v>2279</v>
      </c>
      <c r="U17" s="6316" t="s">
        <v>2280</v>
      </c>
      <c r="V17" s="6316"/>
      <c r="W17" s="6316"/>
      <c r="X17" s="6316"/>
      <c r="Y17" s="6316"/>
      <c r="Z17" s="6316"/>
      <c r="AA17" s="6316"/>
      <c r="AB17" s="6316"/>
      <c r="AC17" s="6316"/>
      <c r="AD17" s="6316"/>
      <c r="AE17" s="6316"/>
      <c r="AF17" s="6316"/>
      <c r="AG17" s="6316"/>
      <c r="AH17" s="6316"/>
      <c r="AI17" s="6317" t="s">
        <v>2270</v>
      </c>
      <c r="AJ17" s="6318">
        <v>1</v>
      </c>
      <c r="AK17" s="6318"/>
      <c r="AL17" s="6305"/>
      <c r="AN17" s="6310"/>
      <c r="AO17" s="6311"/>
      <c r="AP17" s="6311"/>
      <c r="AQ17" s="6311"/>
      <c r="AR17" s="6311"/>
      <c r="AS17" s="6311"/>
      <c r="AT17" s="6311"/>
      <c r="AU17" s="6311"/>
      <c r="AV17" s="6311"/>
      <c r="AW17" s="6312"/>
    </row>
    <row r="18" spans="1:49" ht="21" customHeight="1">
      <c r="A18" s="6313"/>
      <c r="B18" s="6315"/>
      <c r="C18" s="6315"/>
      <c r="D18" s="6315"/>
      <c r="E18" s="6315"/>
      <c r="F18" s="6306"/>
      <c r="G18" s="6307"/>
      <c r="H18" s="6359"/>
      <c r="I18" s="6359"/>
      <c r="J18" s="6359"/>
      <c r="K18" s="6359"/>
      <c r="L18" s="6359"/>
      <c r="M18" s="6359"/>
      <c r="N18" s="6359"/>
      <c r="O18" s="6359"/>
      <c r="P18" s="6359"/>
      <c r="Q18" s="6359"/>
      <c r="R18" s="6359"/>
      <c r="S18" s="6359"/>
      <c r="T18" s="2349" t="s">
        <v>2281</v>
      </c>
      <c r="U18" s="2350"/>
      <c r="V18" s="2344" t="s">
        <v>2282</v>
      </c>
      <c r="W18" s="2344"/>
      <c r="X18" s="2351"/>
      <c r="Y18" s="2344"/>
      <c r="Z18" s="2344"/>
      <c r="AA18" s="2344"/>
      <c r="AB18" s="2344"/>
      <c r="AC18" s="2344"/>
      <c r="AD18" s="2344"/>
      <c r="AE18" s="2344"/>
      <c r="AF18" s="2344"/>
      <c r="AG18" s="2344"/>
      <c r="AH18" s="2344"/>
      <c r="AI18" s="6317"/>
      <c r="AJ18" s="6318"/>
      <c r="AK18" s="6318"/>
      <c r="AL18" s="6305"/>
      <c r="AN18" s="6319" t="s">
        <v>2283</v>
      </c>
      <c r="AO18" s="6320"/>
      <c r="AP18" s="6320"/>
      <c r="AQ18" s="6332">
        <v>3.125E-2</v>
      </c>
      <c r="AR18" s="6320" t="s">
        <v>2284</v>
      </c>
      <c r="AS18" s="6320"/>
      <c r="AT18" s="6320"/>
      <c r="AU18" s="6334">
        <v>8.3333333333333329E-2</v>
      </c>
      <c r="AV18" s="6292" t="s">
        <v>146</v>
      </c>
      <c r="AW18" s="6294">
        <f>AU18+AQ18</f>
        <v>0.11458333333333333</v>
      </c>
    </row>
    <row r="19" spans="1:49" ht="16.5" customHeight="1" thickBot="1">
      <c r="A19" s="6313"/>
      <c r="B19" s="2352" t="str">
        <f t="shared" ref="B19:E19" si="0">SUBSTITUTE(ADDRESS(1,COLUMN(),4),"1","")</f>
        <v>B</v>
      </c>
      <c r="C19" s="2352" t="str">
        <f t="shared" si="0"/>
        <v>C</v>
      </c>
      <c r="D19" s="2352" t="str">
        <f t="shared" si="0"/>
        <v>D</v>
      </c>
      <c r="E19" s="2352" t="str">
        <f t="shared" si="0"/>
        <v>E</v>
      </c>
      <c r="F19" s="6306"/>
      <c r="G19" s="6307"/>
      <c r="H19" s="6359"/>
      <c r="I19" s="6359"/>
      <c r="J19" s="6359"/>
      <c r="K19" s="6359"/>
      <c r="L19" s="6359"/>
      <c r="M19" s="6359"/>
      <c r="N19" s="6359"/>
      <c r="O19" s="6359"/>
      <c r="P19" s="6359"/>
      <c r="Q19" s="6359"/>
      <c r="R19" s="6359"/>
      <c r="S19" s="6359"/>
      <c r="T19" s="2353"/>
      <c r="U19" s="2344"/>
      <c r="V19" s="2344"/>
      <c r="W19" s="2354"/>
      <c r="X19" s="2354"/>
      <c r="Y19" s="2344"/>
      <c r="Z19" s="2344"/>
      <c r="AA19" s="2344"/>
      <c r="AB19" s="2344"/>
      <c r="AC19" s="2344"/>
      <c r="AD19" s="2344"/>
      <c r="AE19" s="2344"/>
      <c r="AF19" s="2344"/>
      <c r="AG19" s="2344"/>
      <c r="AH19" s="2344"/>
      <c r="AI19" s="6296" t="s">
        <v>2470</v>
      </c>
      <c r="AJ19" s="6296"/>
      <c r="AK19" s="6296"/>
      <c r="AL19" s="6305"/>
      <c r="AN19" s="6321"/>
      <c r="AO19" s="6322"/>
      <c r="AP19" s="6322"/>
      <c r="AQ19" s="6333"/>
      <c r="AR19" s="6322"/>
      <c r="AS19" s="6322"/>
      <c r="AT19" s="6322"/>
      <c r="AU19" s="6335"/>
      <c r="AV19" s="6293"/>
      <c r="AW19" s="6295"/>
    </row>
    <row r="20" spans="1:49" ht="15.75" customHeight="1">
      <c r="A20" s="6313"/>
      <c r="B20" s="6323" t="s">
        <v>2285</v>
      </c>
      <c r="C20" s="6323"/>
      <c r="D20" s="6323"/>
      <c r="E20" s="6323"/>
      <c r="F20" s="6306"/>
      <c r="G20" s="6307"/>
      <c r="H20" s="6359"/>
      <c r="I20" s="6359"/>
      <c r="J20" s="6359"/>
      <c r="K20" s="6359"/>
      <c r="L20" s="6359"/>
      <c r="M20" s="6359"/>
      <c r="N20" s="6359"/>
      <c r="O20" s="6359"/>
      <c r="P20" s="6359"/>
      <c r="Q20" s="6359"/>
      <c r="R20" s="6359"/>
      <c r="S20" s="6359"/>
      <c r="T20" s="2348" t="s">
        <v>2286</v>
      </c>
      <c r="U20" s="2344" t="s">
        <v>2287</v>
      </c>
      <c r="V20" s="2344"/>
      <c r="W20" s="2354"/>
      <c r="X20" s="2354"/>
      <c r="Y20" s="2344"/>
      <c r="Z20" s="2344"/>
      <c r="AA20" s="2344"/>
      <c r="AB20" s="2344"/>
      <c r="AC20" s="2344"/>
      <c r="AD20" s="2344"/>
      <c r="AE20" s="2344"/>
      <c r="AF20" s="2344"/>
      <c r="AG20" s="2344"/>
      <c r="AH20" s="2344"/>
      <c r="AI20" s="6296"/>
      <c r="AJ20" s="6296"/>
      <c r="AK20" s="6296"/>
      <c r="AL20" s="6305"/>
      <c r="AN20" s="2355">
        <v>0</v>
      </c>
      <c r="AO20" s="2356"/>
      <c r="AP20" s="2357"/>
      <c r="AQ20" s="2357"/>
      <c r="AR20" s="2357"/>
      <c r="AS20" s="2357"/>
      <c r="AT20" s="2357"/>
      <c r="AU20" s="2357"/>
      <c r="AV20" s="2357"/>
      <c r="AW20" s="2358"/>
    </row>
    <row r="21" spans="1:49" ht="15.75" customHeight="1">
      <c r="A21" s="6313"/>
      <c r="B21" s="2359"/>
      <c r="C21" s="2359"/>
      <c r="D21" s="2359"/>
      <c r="E21" s="2359"/>
      <c r="F21" s="6306"/>
      <c r="G21" s="6307"/>
      <c r="H21" s="6359"/>
      <c r="I21" s="6359"/>
      <c r="J21" s="6359"/>
      <c r="K21" s="6359"/>
      <c r="L21" s="6359"/>
      <c r="M21" s="6359"/>
      <c r="N21" s="6359"/>
      <c r="O21" s="6359"/>
      <c r="P21" s="6359"/>
      <c r="Q21" s="6359"/>
      <c r="R21" s="6359"/>
      <c r="S21" s="6359"/>
      <c r="T21" s="2348"/>
      <c r="U21" s="2344"/>
      <c r="V21" s="2344"/>
      <c r="W21" s="2344"/>
      <c r="X21" s="2344"/>
      <c r="Y21" s="2344"/>
      <c r="Z21" s="2344"/>
      <c r="AA21" s="2344"/>
      <c r="AB21" s="2344"/>
      <c r="AC21" s="2344"/>
      <c r="AD21" s="2344"/>
      <c r="AE21" s="2344"/>
      <c r="AF21" s="2344"/>
      <c r="AG21" s="2344"/>
      <c r="AH21" s="2344"/>
      <c r="AI21" s="2360"/>
      <c r="AJ21" s="2360"/>
      <c r="AK21" s="2360"/>
      <c r="AL21" s="6305"/>
      <c r="AN21" s="2355"/>
      <c r="AO21" s="2356"/>
      <c r="AP21" s="2357"/>
      <c r="AQ21" s="2357"/>
      <c r="AR21" s="2357"/>
      <c r="AS21" s="2357"/>
      <c r="AT21" s="2357"/>
      <c r="AU21" s="2357"/>
      <c r="AV21" s="2357"/>
      <c r="AW21" s="2358"/>
    </row>
    <row r="22" spans="1:49" ht="15.75" customHeight="1" thickBot="1">
      <c r="A22" s="6313"/>
      <c r="B22" s="2359"/>
      <c r="C22" s="2359"/>
      <c r="D22" s="2359"/>
      <c r="E22" s="2359"/>
      <c r="F22" s="6306"/>
      <c r="G22" s="6307"/>
      <c r="H22" s="6359"/>
      <c r="I22" s="6359"/>
      <c r="J22" s="6359"/>
      <c r="K22" s="6359"/>
      <c r="L22" s="6359"/>
      <c r="M22" s="6359"/>
      <c r="N22" s="6359"/>
      <c r="O22" s="6359"/>
      <c r="P22" s="6359"/>
      <c r="Q22" s="6359"/>
      <c r="R22" s="6359"/>
      <c r="S22" s="6359"/>
      <c r="T22" s="2348"/>
      <c r="U22" s="2344"/>
      <c r="V22" s="2344"/>
      <c r="W22" s="2344"/>
      <c r="X22" s="2344"/>
      <c r="Y22" s="2344"/>
      <c r="Z22" s="2344"/>
      <c r="AA22" s="2344"/>
      <c r="AB22" s="2344"/>
      <c r="AC22" s="2344"/>
      <c r="AD22" s="2344"/>
      <c r="AE22" s="2344"/>
      <c r="AF22" s="2344"/>
      <c r="AG22" s="2344"/>
      <c r="AH22" s="2344"/>
      <c r="AI22" s="2360"/>
      <c r="AJ22" s="2360"/>
      <c r="AK22" s="2360"/>
      <c r="AL22" s="6305"/>
      <c r="AN22" s="2355"/>
      <c r="AO22" s="2356"/>
      <c r="AP22" s="2357"/>
      <c r="AQ22" s="2357"/>
      <c r="AR22" s="2357"/>
      <c r="AS22" s="2357"/>
      <c r="AT22" s="2357"/>
      <c r="AU22" s="2357"/>
      <c r="AV22" s="2357"/>
      <c r="AW22" s="2358"/>
    </row>
    <row r="23" spans="1:49" ht="25.5" customHeight="1">
      <c r="A23" s="6313"/>
      <c r="B23" s="2611" t="s">
        <v>2288</v>
      </c>
      <c r="C23" s="2361"/>
      <c r="D23" s="2361"/>
      <c r="E23" s="2362" t="s">
        <v>2289</v>
      </c>
      <c r="F23" s="6306"/>
      <c r="G23" s="6307"/>
      <c r="H23" s="6359"/>
      <c r="I23" s="6359"/>
      <c r="J23" s="6359"/>
      <c r="K23" s="6359"/>
      <c r="L23" s="6359"/>
      <c r="M23" s="6359"/>
      <c r="N23" s="6359"/>
      <c r="O23" s="6359"/>
      <c r="P23" s="6359"/>
      <c r="Q23" s="6359"/>
      <c r="R23" s="6359"/>
      <c r="S23" s="6359"/>
      <c r="T23" s="6324" t="s">
        <v>2290</v>
      </c>
      <c r="U23" s="6325"/>
      <c r="V23" s="6325"/>
      <c r="W23" s="6326">
        <f>AK33</f>
        <v>53.75</v>
      </c>
      <c r="X23" s="6327"/>
      <c r="Y23" s="6330" t="str">
        <f>C24</f>
        <v>Kg d'agneau</v>
      </c>
      <c r="Z23" s="6330"/>
      <c r="AA23" s="6330"/>
      <c r="AB23" s="6331" t="s">
        <v>2291</v>
      </c>
      <c r="AC23" s="6331"/>
      <c r="AD23" s="6336">
        <f>$AK$28</f>
        <v>600</v>
      </c>
      <c r="AE23" s="6337" t="s">
        <v>2292</v>
      </c>
      <c r="AF23" s="6337"/>
      <c r="AG23" s="2364"/>
      <c r="AH23" s="2364"/>
      <c r="AI23" s="2364"/>
      <c r="AJ23" s="2364"/>
      <c r="AK23" s="2664" t="str">
        <f ca="1">MID(CELL("filename",AK23),FIND("[",CELL("filename",AK23)),300)</f>
        <v>[ff-22-formats-formules-pourcentages.xlsx]Comprendre pour Transmettre</v>
      </c>
      <c r="AL23" s="6305"/>
      <c r="AN23" s="2355">
        <v>1</v>
      </c>
      <c r="AO23" s="2356"/>
      <c r="AP23" s="2357"/>
      <c r="AQ23" s="2357"/>
      <c r="AR23" s="2357"/>
      <c r="AS23" s="2357"/>
      <c r="AT23" s="2357"/>
      <c r="AU23" s="2357"/>
      <c r="AV23" s="2357"/>
      <c r="AW23" s="2358"/>
    </row>
    <row r="24" spans="1:49" ht="15.75" customHeight="1" thickBot="1">
      <c r="A24" s="6313"/>
      <c r="B24" s="6338">
        <v>2</v>
      </c>
      <c r="C24" s="6360" t="s">
        <v>2293</v>
      </c>
      <c r="D24" s="2365">
        <v>10</v>
      </c>
      <c r="E24" s="2366" t="s">
        <v>2294</v>
      </c>
      <c r="F24" s="6306"/>
      <c r="G24" s="6307"/>
      <c r="H24" s="6359"/>
      <c r="I24" s="6359"/>
      <c r="J24" s="6359"/>
      <c r="K24" s="6359"/>
      <c r="L24" s="6359"/>
      <c r="M24" s="6359"/>
      <c r="N24" s="6359"/>
      <c r="O24" s="6359"/>
      <c r="P24" s="6359"/>
      <c r="Q24" s="6359"/>
      <c r="R24" s="6359"/>
      <c r="S24" s="6359"/>
      <c r="T24" s="6324"/>
      <c r="U24" s="6325"/>
      <c r="V24" s="6325"/>
      <c r="W24" s="6328"/>
      <c r="X24" s="6329"/>
      <c r="Y24" s="6330"/>
      <c r="Z24" s="6330"/>
      <c r="AA24" s="6330"/>
      <c r="AB24" s="6331"/>
      <c r="AC24" s="6331"/>
      <c r="AD24" s="6336"/>
      <c r="AE24" s="6337"/>
      <c r="AF24" s="6337"/>
      <c r="AG24" s="2367"/>
      <c r="AH24" s="2367"/>
      <c r="AI24" s="2367"/>
      <c r="AJ24" s="2367"/>
      <c r="AK24" s="2367"/>
      <c r="AL24" s="6305"/>
      <c r="AN24" s="2355">
        <v>2</v>
      </c>
      <c r="AO24" s="2356"/>
      <c r="AP24" s="2357"/>
      <c r="AQ24" s="2357"/>
      <c r="AR24" s="2357"/>
      <c r="AS24" s="2357"/>
      <c r="AT24" s="2357"/>
      <c r="AU24" s="2357"/>
      <c r="AV24" s="2357"/>
      <c r="AW24" s="2358"/>
    </row>
    <row r="25" spans="1:49" ht="15.75" customHeight="1" thickBot="1">
      <c r="A25" s="6313"/>
      <c r="B25" s="6338"/>
      <c r="C25" s="6360"/>
      <c r="D25" s="2365" t="s">
        <v>62</v>
      </c>
      <c r="E25" s="2368">
        <f>(B24/D24)*1000</f>
        <v>200</v>
      </c>
      <c r="F25" s="6308"/>
      <c r="G25" s="6309"/>
      <c r="H25" s="6359"/>
      <c r="I25" s="6359"/>
      <c r="J25" s="6359"/>
      <c r="K25" s="6359"/>
      <c r="L25" s="6359"/>
      <c r="M25" s="6359"/>
      <c r="N25" s="6359"/>
      <c r="O25" s="6359"/>
      <c r="P25" s="6359"/>
      <c r="Q25" s="6359"/>
      <c r="R25" s="6359"/>
      <c r="S25" s="6359"/>
      <c r="T25" s="2369" t="str">
        <f>SUBSTITUTE(ADDRESS(1,COLUMN(),4),"1","")</f>
        <v>T</v>
      </c>
      <c r="U25" s="2370" t="s">
        <v>2295</v>
      </c>
      <c r="V25" s="2370"/>
      <c r="W25" s="2370"/>
      <c r="X25" s="2370"/>
      <c r="Y25" s="2370"/>
      <c r="Z25" s="2370"/>
      <c r="AA25" s="2371"/>
      <c r="AB25" s="2372" t="s">
        <v>2296</v>
      </c>
      <c r="AC25" s="2373"/>
      <c r="AD25" s="2374">
        <f>(AK30/AD23)*1000</f>
        <v>89.583333333333329</v>
      </c>
      <c r="AE25" s="2375" t="s">
        <v>82</v>
      </c>
      <c r="AF25" s="2374">
        <f>(AK33/AD23)*1000</f>
        <v>89.583333333333329</v>
      </c>
      <c r="AG25" s="2376" t="s">
        <v>81</v>
      </c>
      <c r="AH25" s="2367"/>
      <c r="AI25" s="2367"/>
      <c r="AJ25" s="2377" t="s">
        <v>2297</v>
      </c>
      <c r="AK25" s="2665" t="s">
        <v>2298</v>
      </c>
      <c r="AL25" s="6305"/>
      <c r="AN25" s="2355">
        <v>3</v>
      </c>
      <c r="AO25" s="2356"/>
      <c r="AP25" s="2357"/>
      <c r="AQ25" s="2357"/>
      <c r="AR25" s="2357"/>
      <c r="AS25" s="2357"/>
      <c r="AT25" s="2357"/>
      <c r="AU25" s="2357"/>
      <c r="AV25" s="2357"/>
      <c r="AW25" s="2358"/>
    </row>
    <row r="26" spans="1:49" ht="15.75" customHeight="1">
      <c r="A26" s="6313"/>
      <c r="B26" s="6342" t="s">
        <v>733</v>
      </c>
      <c r="C26" s="6343" t="s">
        <v>734</v>
      </c>
      <c r="D26" s="6343" t="s">
        <v>2299</v>
      </c>
      <c r="E26" s="6354" t="s">
        <v>2300</v>
      </c>
      <c r="F26" s="2369" t="str">
        <f>SUBSTITUTE(ADDRESS(1,COLUMN(),4),"1","")</f>
        <v>F</v>
      </c>
      <c r="G26" s="2378" t="s">
        <v>2301</v>
      </c>
      <c r="H26" s="6359"/>
      <c r="I26" s="6359"/>
      <c r="J26" s="6359"/>
      <c r="K26" s="6359"/>
      <c r="L26" s="6359"/>
      <c r="M26" s="6359"/>
      <c r="N26" s="6359"/>
      <c r="O26" s="6359"/>
      <c r="P26" s="6359"/>
      <c r="Q26" s="6359"/>
      <c r="R26" s="6359"/>
      <c r="S26" s="6359"/>
      <c r="T26" s="6357" t="s">
        <v>206</v>
      </c>
      <c r="U26" s="6344" t="s">
        <v>2302</v>
      </c>
      <c r="V26" s="6341" t="s">
        <v>2303</v>
      </c>
      <c r="W26" s="6342"/>
      <c r="X26" s="6342"/>
      <c r="Y26" s="2379" t="s">
        <v>814</v>
      </c>
      <c r="Z26" s="6343" t="s">
        <v>2304</v>
      </c>
      <c r="AA26" s="6344"/>
      <c r="AB26" s="6345" t="s">
        <v>2305</v>
      </c>
      <c r="AC26" s="6346"/>
      <c r="AD26" s="6346"/>
      <c r="AE26" s="6346"/>
      <c r="AF26" s="6346"/>
      <c r="AG26" s="6346"/>
      <c r="AH26" s="6346"/>
      <c r="AI26" s="6346"/>
      <c r="AJ26" s="6346"/>
      <c r="AK26" s="6346"/>
      <c r="AL26" s="6305"/>
      <c r="AN26" s="2355">
        <v>4</v>
      </c>
      <c r="AO26" s="2356"/>
      <c r="AP26" s="2357"/>
      <c r="AQ26" s="2357"/>
      <c r="AR26" s="2357"/>
      <c r="AS26" s="2357"/>
      <c r="AT26" s="2357"/>
      <c r="AU26" s="2357"/>
      <c r="AV26" s="2357"/>
      <c r="AW26" s="2358"/>
    </row>
    <row r="27" spans="1:49" ht="18.75" customHeight="1">
      <c r="A27" s="6313"/>
      <c r="B27" s="6342"/>
      <c r="C27" s="6343"/>
      <c r="D27" s="6343"/>
      <c r="E27" s="6355"/>
      <c r="F27" s="2380"/>
      <c r="G27" s="6347" t="s">
        <v>2306</v>
      </c>
      <c r="H27" s="2381" t="s">
        <v>807</v>
      </c>
      <c r="I27" s="2382">
        <f>AE28</f>
        <v>100</v>
      </c>
      <c r="J27" s="2383" t="s">
        <v>810</v>
      </c>
      <c r="K27" s="2384">
        <f>AF28</f>
        <v>100</v>
      </c>
      <c r="L27" s="2383" t="s">
        <v>24</v>
      </c>
      <c r="M27" s="2384">
        <f>AG28</f>
        <v>100</v>
      </c>
      <c r="N27" s="2383" t="s">
        <v>2307</v>
      </c>
      <c r="O27" s="2384">
        <f>AH28</f>
        <v>100</v>
      </c>
      <c r="P27" s="2383" t="s">
        <v>2308</v>
      </c>
      <c r="Q27" s="2384">
        <f>AI28</f>
        <v>100</v>
      </c>
      <c r="R27" s="2383" t="s">
        <v>2309</v>
      </c>
      <c r="S27" s="2384">
        <f>AJ28</f>
        <v>100</v>
      </c>
      <c r="T27" s="6357"/>
      <c r="U27" s="6344"/>
      <c r="V27" s="6348" t="s">
        <v>733</v>
      </c>
      <c r="W27" s="6343" t="s">
        <v>734</v>
      </c>
      <c r="X27" s="6343" t="s">
        <v>2289</v>
      </c>
      <c r="Y27" s="6351" t="s">
        <v>2310</v>
      </c>
      <c r="Z27" s="6352">
        <f>SUM(AA30:AA35)</f>
        <v>64.5</v>
      </c>
      <c r="AA27" s="6353"/>
      <c r="AB27" s="2385"/>
      <c r="AC27" s="2354"/>
      <c r="AD27" s="2386" t="s">
        <v>65</v>
      </c>
      <c r="AE27" s="2646" t="s">
        <v>807</v>
      </c>
      <c r="AF27" s="2647" t="s">
        <v>810</v>
      </c>
      <c r="AG27" s="2648" t="s">
        <v>24</v>
      </c>
      <c r="AH27" s="2649" t="s">
        <v>2307</v>
      </c>
      <c r="AI27" s="2647" t="s">
        <v>2308</v>
      </c>
      <c r="AJ27" s="2647" t="s">
        <v>2309</v>
      </c>
      <c r="AK27" s="2666" t="s">
        <v>2291</v>
      </c>
      <c r="AL27" s="6305"/>
      <c r="AN27" s="2355">
        <v>5</v>
      </c>
      <c r="AO27" s="2387"/>
      <c r="AP27" s="2388"/>
      <c r="AQ27" s="2388"/>
      <c r="AR27" s="2388"/>
      <c r="AS27" s="2388"/>
      <c r="AT27" s="2388"/>
      <c r="AU27" s="2388"/>
      <c r="AV27" s="2388"/>
      <c r="AW27" s="2389"/>
    </row>
    <row r="28" spans="1:49" ht="18" customHeight="1">
      <c r="A28" s="6313"/>
      <c r="B28" s="6342"/>
      <c r="C28" s="6343"/>
      <c r="D28" s="6343"/>
      <c r="E28" s="6356"/>
      <c r="F28" s="2380"/>
      <c r="G28" s="6347"/>
      <c r="H28" s="2390">
        <f>I28/I27</f>
        <v>0.06</v>
      </c>
      <c r="I28" s="2391">
        <f>($Z$27/$W$23)*AE33</f>
        <v>6</v>
      </c>
      <c r="J28" s="2392">
        <f>K28/K27</f>
        <v>8.4000000000000005E-2</v>
      </c>
      <c r="K28" s="2393">
        <f>($Z$27/$W$23)*AF33</f>
        <v>8.4</v>
      </c>
      <c r="L28" s="2392">
        <f>M28/M27</f>
        <v>0.13200000000000001</v>
      </c>
      <c r="M28" s="2393">
        <f>($Z$27/$W$23)*AG33</f>
        <v>13.2</v>
      </c>
      <c r="N28" s="2392">
        <f>O28/O27</f>
        <v>0.16500000000000001</v>
      </c>
      <c r="O28" s="2393">
        <f>($Z$27/$W$23)*AH33</f>
        <v>16.5</v>
      </c>
      <c r="P28" s="2392">
        <f>Q28/Q27</f>
        <v>0.12</v>
      </c>
      <c r="Q28" s="2393">
        <f>($Z$27/$W$23)*AI33</f>
        <v>12</v>
      </c>
      <c r="R28" s="2392">
        <f>S28/S27</f>
        <v>8.4000000000000005E-2</v>
      </c>
      <c r="S28" s="2393">
        <f>($Z$27/$W$23)*AJ33</f>
        <v>8.4</v>
      </c>
      <c r="T28" s="6357"/>
      <c r="U28" s="6344"/>
      <c r="V28" s="6349"/>
      <c r="W28" s="6350"/>
      <c r="X28" s="6350"/>
      <c r="Y28" s="6351"/>
      <c r="Z28" s="2394" t="s">
        <v>2311</v>
      </c>
      <c r="AA28" s="2395">
        <f>(Z27/W23)*1</f>
        <v>1.2</v>
      </c>
      <c r="AB28" s="2385"/>
      <c r="AC28" s="2354"/>
      <c r="AD28" s="2386" t="s">
        <v>907</v>
      </c>
      <c r="AE28" s="2650">
        <v>100</v>
      </c>
      <c r="AF28" s="2650">
        <v>100</v>
      </c>
      <c r="AG28" s="2651">
        <v>100</v>
      </c>
      <c r="AH28" s="2396">
        <v>100</v>
      </c>
      <c r="AI28" s="2652">
        <v>100</v>
      </c>
      <c r="AJ28" s="2650">
        <v>100</v>
      </c>
      <c r="AK28" s="2667">
        <f>SUM(AE28:AJ28)</f>
        <v>600</v>
      </c>
      <c r="AL28" s="6305"/>
      <c r="AN28" s="2355">
        <v>6</v>
      </c>
      <c r="AO28" s="2397"/>
      <c r="AP28" s="2357"/>
      <c r="AQ28" s="2357"/>
      <c r="AR28" s="2357"/>
      <c r="AS28" s="2357"/>
      <c r="AT28" s="2357"/>
      <c r="AU28" s="2357"/>
      <c r="AV28" s="2357"/>
      <c r="AW28" s="2358"/>
    </row>
    <row r="29" spans="1:49" ht="26.25" customHeight="1">
      <c r="A29" s="6313"/>
      <c r="B29" s="2398"/>
      <c r="C29" s="2398"/>
      <c r="D29" s="2398"/>
      <c r="E29" s="2398"/>
      <c r="F29" s="2399"/>
      <c r="G29" s="2400" t="s">
        <v>2312</v>
      </c>
      <c r="H29" s="2401" t="s">
        <v>82</v>
      </c>
      <c r="I29" s="2402" t="s">
        <v>81</v>
      </c>
      <c r="J29" s="2403" t="s">
        <v>82</v>
      </c>
      <c r="K29" s="2402" t="s">
        <v>81</v>
      </c>
      <c r="L29" s="2403" t="s">
        <v>82</v>
      </c>
      <c r="M29" s="2402" t="s">
        <v>81</v>
      </c>
      <c r="N29" s="2403" t="s">
        <v>82</v>
      </c>
      <c r="O29" s="2402" t="s">
        <v>81</v>
      </c>
      <c r="P29" s="2403" t="s">
        <v>82</v>
      </c>
      <c r="Q29" s="2402" t="s">
        <v>81</v>
      </c>
      <c r="R29" s="2403" t="s">
        <v>82</v>
      </c>
      <c r="S29" s="2402" t="s">
        <v>81</v>
      </c>
      <c r="T29" s="2404">
        <f>P62</f>
        <v>0</v>
      </c>
      <c r="U29" s="2404">
        <f>Q62</f>
        <v>0</v>
      </c>
      <c r="V29" s="2641" t="str">
        <f>J90</f>
        <v>J93</v>
      </c>
      <c r="W29" s="2405"/>
      <c r="X29" s="2641" t="str">
        <f>$L$90</f>
        <v>L93</v>
      </c>
      <c r="Y29" s="2406"/>
      <c r="Z29" s="2407"/>
      <c r="AA29" s="2641">
        <f>P90</f>
        <v>0</v>
      </c>
      <c r="AB29" s="2385"/>
      <c r="AC29" s="2354"/>
      <c r="AD29" s="2386" t="s">
        <v>2313</v>
      </c>
      <c r="AE29" s="2408">
        <v>50</v>
      </c>
      <c r="AF29" s="2408">
        <v>70</v>
      </c>
      <c r="AG29" s="2408">
        <v>110</v>
      </c>
      <c r="AH29" s="2653">
        <f>(AG29*AK31%)+AG29</f>
        <v>137.5</v>
      </c>
      <c r="AI29" s="2408">
        <v>100</v>
      </c>
      <c r="AJ29" s="2408">
        <v>70</v>
      </c>
      <c r="AK29" s="2668" t="s">
        <v>2314</v>
      </c>
      <c r="AL29" s="6305"/>
      <c r="AN29" s="2355">
        <v>7</v>
      </c>
      <c r="AO29" s="2397"/>
      <c r="AP29" s="2357"/>
      <c r="AQ29" s="2357"/>
      <c r="AR29" s="2357"/>
      <c r="AS29" s="2357"/>
      <c r="AT29" s="2357"/>
      <c r="AU29" s="2357"/>
      <c r="AV29" s="2357"/>
      <c r="AW29" s="2358"/>
    </row>
    <row r="30" spans="1:49" ht="26.25" thickBot="1">
      <c r="A30" s="6313"/>
      <c r="B30" s="2409"/>
      <c r="C30" s="2410" t="s">
        <v>933</v>
      </c>
      <c r="D30" s="2411">
        <v>2</v>
      </c>
      <c r="E30" s="2412">
        <f t="shared" ref="E30:E33" si="1">IF(ISTEXT(B30),0,IF(ISBLANK(B30),D30,(D30*B30)))</f>
        <v>2</v>
      </c>
      <c r="F30" s="2413">
        <v>1</v>
      </c>
      <c r="G30" s="2414"/>
      <c r="H30" s="2415">
        <f>($U30/$AK$30)*$AE$30</f>
        <v>5</v>
      </c>
      <c r="I30" s="2416">
        <f>($X30/$AK$33)*$AE$33</f>
        <v>5</v>
      </c>
      <c r="J30" s="2417">
        <f>($U30/$AK$30)*$AF$30</f>
        <v>7</v>
      </c>
      <c r="K30" s="2418">
        <f>($X30/$AK$33)*$AF$33</f>
        <v>7.0000000000000009</v>
      </c>
      <c r="L30" s="2417">
        <f>($U30/$AK$30)*$AG$30</f>
        <v>11</v>
      </c>
      <c r="M30" s="2418">
        <f>($X30/$AK$33)*$AG$33</f>
        <v>11</v>
      </c>
      <c r="N30" s="2417">
        <f>($U30/$AK$30)*$AH$30</f>
        <v>13.75</v>
      </c>
      <c r="O30" s="2418">
        <f>($X30/$AK$33)*$AH$33</f>
        <v>13.750000000000002</v>
      </c>
      <c r="P30" s="2417">
        <f>($U30/$AK$30)*$AI$30</f>
        <v>10</v>
      </c>
      <c r="Q30" s="2418">
        <f>($X30/$AK$33)*$AI$33</f>
        <v>10</v>
      </c>
      <c r="R30" s="2416">
        <f>($U30/$AK$30)*$AJ$30</f>
        <v>7</v>
      </c>
      <c r="S30" s="2419">
        <f>($X30/$AK$33)*$AJ$33</f>
        <v>7.0000000000000009</v>
      </c>
      <c r="T30" s="2420"/>
      <c r="U30" s="2421">
        <f t="shared" ref="U30:U34" si="2">IF(E30=0,0,((X30-(X30*T30%))))</f>
        <v>53.75</v>
      </c>
      <c r="V30" s="2422">
        <f t="shared" ref="V30:V33" si="3">IF(ISTEXT(B30),B30,(B30/B$24)*W$23)</f>
        <v>0</v>
      </c>
      <c r="W30" s="2423" t="str">
        <f t="shared" ref="W30:W34" si="4">C30</f>
        <v>AGNEAU : Sauté d'agneau sans os- épaule - collier</v>
      </c>
      <c r="X30" s="2421">
        <f>(E30/B24)*W23</f>
        <v>53.75</v>
      </c>
      <c r="Y30" s="2424"/>
      <c r="Z30" s="2425">
        <v>1</v>
      </c>
      <c r="AA30" s="2426">
        <f t="shared" ref="AA30:AA34" si="5">IF(Y30="U",Z30*V30,X30*Z30)</f>
        <v>53.75</v>
      </c>
      <c r="AB30" s="2427"/>
      <c r="AC30" s="2357"/>
      <c r="AD30" s="2386" t="s">
        <v>2315</v>
      </c>
      <c r="AE30" s="2654">
        <f>(AE29*AE28)/1000</f>
        <v>5</v>
      </c>
      <c r="AF30" s="2654">
        <f t="shared" ref="AF30:AJ30" si="6">(AF29*AF28)/1000</f>
        <v>7</v>
      </c>
      <c r="AG30" s="2654">
        <f t="shared" si="6"/>
        <v>11</v>
      </c>
      <c r="AH30" s="2655">
        <f t="shared" si="6"/>
        <v>13.75</v>
      </c>
      <c r="AI30" s="2654">
        <f t="shared" si="6"/>
        <v>10</v>
      </c>
      <c r="AJ30" s="2654">
        <f t="shared" si="6"/>
        <v>7</v>
      </c>
      <c r="AK30" s="2654">
        <f>SUM(AE30:AJ30)</f>
        <v>53.75</v>
      </c>
      <c r="AL30" s="6305"/>
      <c r="AN30" s="2355">
        <v>8</v>
      </c>
      <c r="AO30" s="2397"/>
      <c r="AP30" s="2357"/>
      <c r="AQ30" s="2357"/>
      <c r="AR30" s="2357"/>
      <c r="AS30" s="2357"/>
      <c r="AT30" s="2357"/>
      <c r="AU30" s="2357"/>
      <c r="AV30" s="2357"/>
      <c r="AW30" s="2358"/>
    </row>
    <row r="31" spans="1:49" ht="19.5" thickBot="1">
      <c r="A31" s="6313"/>
      <c r="B31" s="2409" t="s">
        <v>2069</v>
      </c>
      <c r="C31" s="2410" t="s">
        <v>2316</v>
      </c>
      <c r="D31" s="2411"/>
      <c r="E31" s="2428">
        <f t="shared" si="1"/>
        <v>0</v>
      </c>
      <c r="F31" s="2429">
        <v>2</v>
      </c>
      <c r="G31" s="2414"/>
      <c r="H31" s="2430">
        <f>($U31/$AK$30)*$AE$30</f>
        <v>0</v>
      </c>
      <c r="I31" s="2431">
        <f>($X31/$AK$33)*$AE$33</f>
        <v>0</v>
      </c>
      <c r="J31" s="2432">
        <f>($U31/$AK$30)*$AF$30</f>
        <v>0</v>
      </c>
      <c r="K31" s="2433">
        <f>($X31/$AK$33)*$AF$33</f>
        <v>0</v>
      </c>
      <c r="L31" s="2432">
        <f>($U31/$AK$30)*$AG$30</f>
        <v>0</v>
      </c>
      <c r="M31" s="2433">
        <f>($X31/$AK$33)*$AG$33</f>
        <v>0</v>
      </c>
      <c r="N31" s="2432">
        <f>($U31/$AK$30)*$AH$30</f>
        <v>0</v>
      </c>
      <c r="O31" s="2433">
        <f>($X31/$AK$33)*$AH$33</f>
        <v>0</v>
      </c>
      <c r="P31" s="2432">
        <f>($U31/$AK$30)*$AI$30</f>
        <v>0</v>
      </c>
      <c r="Q31" s="2433">
        <f>($X31/$AK$33)*$AI$33</f>
        <v>0</v>
      </c>
      <c r="R31" s="2431">
        <f>($U31/$AK$30)*$AJ$30</f>
        <v>0</v>
      </c>
      <c r="S31" s="2434">
        <f>($X31/$AK$33)*$AJ$33</f>
        <v>0</v>
      </c>
      <c r="T31" s="2420">
        <v>0</v>
      </c>
      <c r="U31" s="2435">
        <f t="shared" si="2"/>
        <v>0</v>
      </c>
      <c r="V31" s="2436" t="str">
        <f t="shared" si="3"/>
        <v>PM</v>
      </c>
      <c r="W31" s="2437" t="str">
        <f t="shared" si="4"/>
        <v>bouquet garni</v>
      </c>
      <c r="X31" s="2435">
        <f>(E31/B24)*W23</f>
        <v>0</v>
      </c>
      <c r="Y31" s="2424"/>
      <c r="Z31" s="2425"/>
      <c r="AA31" s="2438">
        <f t="shared" si="5"/>
        <v>0</v>
      </c>
      <c r="AB31" s="2439"/>
      <c r="AC31" s="2440"/>
      <c r="AD31" s="2441" t="s">
        <v>2317</v>
      </c>
      <c r="AE31" s="2442"/>
      <c r="AF31" s="2336"/>
      <c r="AG31" s="2336"/>
      <c r="AH31" s="2336"/>
      <c r="AI31" s="2336"/>
      <c r="AJ31" s="2443" t="s">
        <v>2318</v>
      </c>
      <c r="AK31" s="2669">
        <v>25</v>
      </c>
      <c r="AL31" s="6305"/>
      <c r="AN31" s="2355">
        <v>9</v>
      </c>
      <c r="AO31" s="2397"/>
      <c r="AP31" s="2357"/>
      <c r="AQ31" s="2357"/>
      <c r="AR31" s="2357"/>
      <c r="AS31" s="2357"/>
      <c r="AT31" s="2357"/>
      <c r="AU31" s="2357"/>
      <c r="AV31" s="2357"/>
      <c r="AW31" s="2358"/>
    </row>
    <row r="32" spans="1:49" ht="18.75">
      <c r="A32" s="6313"/>
      <c r="B32" s="2444">
        <v>2</v>
      </c>
      <c r="C32" s="2445" t="s">
        <v>741</v>
      </c>
      <c r="D32" s="2446"/>
      <c r="E32" s="2412">
        <f t="shared" si="1"/>
        <v>0</v>
      </c>
      <c r="F32" s="2413">
        <v>3</v>
      </c>
      <c r="G32" s="2414"/>
      <c r="H32" s="2415">
        <f>($U32/$AK$30)*$AE$30</f>
        <v>0</v>
      </c>
      <c r="I32" s="2416">
        <f>($X32/$AK$33)*$AE$33</f>
        <v>0</v>
      </c>
      <c r="J32" s="2417">
        <f>($U32/$AK$30)*$AF$30</f>
        <v>0</v>
      </c>
      <c r="K32" s="2418">
        <f>($X32/$AK$33)*$AF$33</f>
        <v>0</v>
      </c>
      <c r="L32" s="2417">
        <f>($U32/$AK$30)*$AG$30</f>
        <v>0</v>
      </c>
      <c r="M32" s="2418">
        <f>($X32/$AK$33)*$AG$33</f>
        <v>0</v>
      </c>
      <c r="N32" s="2417">
        <f>($U32/$AK$30)*$AH$30</f>
        <v>0</v>
      </c>
      <c r="O32" s="2418">
        <f>($X32/$AK$33)*$AH$33</f>
        <v>0</v>
      </c>
      <c r="P32" s="2417">
        <f>($U32/$AK$30)*$AI$30</f>
        <v>0</v>
      </c>
      <c r="Q32" s="2418">
        <f>($X32/$AK$33)*$AI$33</f>
        <v>0</v>
      </c>
      <c r="R32" s="2416">
        <f>($U32/$AK$30)*$AJ$30</f>
        <v>0</v>
      </c>
      <c r="S32" s="2419">
        <f>($X32/$AK$33)*$AJ$33</f>
        <v>0</v>
      </c>
      <c r="T32" s="2420"/>
      <c r="U32" s="2421">
        <f t="shared" si="2"/>
        <v>0</v>
      </c>
      <c r="V32" s="2447">
        <f t="shared" si="3"/>
        <v>53.75</v>
      </c>
      <c r="W32" s="2423" t="str">
        <f t="shared" si="4"/>
        <v>œufs</v>
      </c>
      <c r="X32" s="2421">
        <f>(E32/B24)*W23</f>
        <v>0</v>
      </c>
      <c r="Y32" s="2424"/>
      <c r="Z32" s="2425">
        <v>1</v>
      </c>
      <c r="AA32" s="2426">
        <f t="shared" si="5"/>
        <v>0</v>
      </c>
      <c r="AB32" s="2385"/>
      <c r="AC32" s="2354"/>
      <c r="AD32" s="2386" t="s">
        <v>2319</v>
      </c>
      <c r="AE32" s="2656">
        <f>AE29/(100-AC31)*100</f>
        <v>50</v>
      </c>
      <c r="AF32" s="2656">
        <f>AF29/(100-AC31)*100</f>
        <v>70</v>
      </c>
      <c r="AG32" s="2656">
        <f>AG29/(100-AC31)*100</f>
        <v>110.00000000000001</v>
      </c>
      <c r="AH32" s="2657">
        <f>AH29/(100-AC31)*100</f>
        <v>137.5</v>
      </c>
      <c r="AI32" s="2656">
        <f>AI29/(100-AC31)*100</f>
        <v>100</v>
      </c>
      <c r="AJ32" s="2656">
        <f>AJ29/(100-AC31)*100</f>
        <v>70</v>
      </c>
      <c r="AK32" s="2670" t="s">
        <v>2320</v>
      </c>
      <c r="AL32" s="6305"/>
      <c r="AN32" s="2355">
        <v>10</v>
      </c>
      <c r="AO32" s="2397"/>
      <c r="AP32" s="2357"/>
      <c r="AQ32" s="2357"/>
      <c r="AR32" s="2357"/>
      <c r="AS32" s="2357"/>
      <c r="AT32" s="2357"/>
      <c r="AU32" s="2357"/>
      <c r="AV32" s="2357"/>
      <c r="AW32" s="2358"/>
    </row>
    <row r="33" spans="1:49" ht="18" customHeight="1">
      <c r="A33" s="6313"/>
      <c r="B33" s="2444">
        <v>2</v>
      </c>
      <c r="C33" s="2445" t="s">
        <v>741</v>
      </c>
      <c r="D33" s="2446">
        <v>0.05</v>
      </c>
      <c r="E33" s="2428">
        <f t="shared" si="1"/>
        <v>0.1</v>
      </c>
      <c r="F33" s="2429">
        <v>4</v>
      </c>
      <c r="G33" s="2414"/>
      <c r="H33" s="2430">
        <f>($U33/$AK$30)*$AE$30</f>
        <v>0.25</v>
      </c>
      <c r="I33" s="2431">
        <f>($X33/$AK$33)*$AE$33</f>
        <v>0.25</v>
      </c>
      <c r="J33" s="2432">
        <f>($U33/$AK$30)*$AF$30</f>
        <v>0.35000000000000003</v>
      </c>
      <c r="K33" s="2433">
        <f>($X33/$AK$33)*$AF$33</f>
        <v>0.35000000000000009</v>
      </c>
      <c r="L33" s="2432">
        <f>($U33/$AK$30)*$AG$30</f>
        <v>0.55000000000000004</v>
      </c>
      <c r="M33" s="2433">
        <f>($X33/$AK$33)*$AG$33</f>
        <v>0.55000000000000004</v>
      </c>
      <c r="N33" s="2432">
        <f>($U33/$AK$30)*$AH$30</f>
        <v>0.6875</v>
      </c>
      <c r="O33" s="2433">
        <f>($X33/$AK$33)*$AH$33</f>
        <v>0.68750000000000011</v>
      </c>
      <c r="P33" s="2432">
        <f>($U33/$AK$30)*$AI$30</f>
        <v>0.5</v>
      </c>
      <c r="Q33" s="2433">
        <f>($X33/$AK$33)*$AI$33</f>
        <v>0.5</v>
      </c>
      <c r="R33" s="2431">
        <f>($U33/$AK$30)*$AJ$30</f>
        <v>0.35000000000000003</v>
      </c>
      <c r="S33" s="2434">
        <f>($X33/$AK$33)*$AJ$33</f>
        <v>0.35000000000000009</v>
      </c>
      <c r="T33" s="2420"/>
      <c r="U33" s="2435">
        <f t="shared" si="2"/>
        <v>2.6875</v>
      </c>
      <c r="V33" s="2436">
        <f t="shared" si="3"/>
        <v>53.75</v>
      </c>
      <c r="W33" s="2437" t="str">
        <f t="shared" si="4"/>
        <v>œufs</v>
      </c>
      <c r="X33" s="2435">
        <f>(E33/B24)*W23</f>
        <v>2.6875</v>
      </c>
      <c r="Y33" s="2424"/>
      <c r="Z33" s="2448">
        <v>1</v>
      </c>
      <c r="AA33" s="2449">
        <f t="shared" si="5"/>
        <v>2.6875</v>
      </c>
      <c r="AB33" s="2439"/>
      <c r="AD33" s="2386" t="s">
        <v>2321</v>
      </c>
      <c r="AE33" s="2658">
        <f>AE30/(100-AC31)*100</f>
        <v>5</v>
      </c>
      <c r="AF33" s="2658">
        <f>AF30/(100-AC31)*100</f>
        <v>7.0000000000000009</v>
      </c>
      <c r="AG33" s="2658">
        <f>AG30/(100-AC31)*100</f>
        <v>11</v>
      </c>
      <c r="AH33" s="2659">
        <f>AH30/(100-AC31)*100</f>
        <v>13.750000000000002</v>
      </c>
      <c r="AI33" s="2658">
        <f>AI30/(100-AC31)*100</f>
        <v>10</v>
      </c>
      <c r="AJ33" s="2658">
        <f>AJ30/(100-AC31)*100</f>
        <v>7.0000000000000009</v>
      </c>
      <c r="AK33" s="2671">
        <f>SUM(AE33:AJ33)</f>
        <v>53.75</v>
      </c>
      <c r="AL33" s="6305"/>
      <c r="AN33" s="2355">
        <v>11</v>
      </c>
      <c r="AO33" s="2397"/>
      <c r="AP33" s="2357"/>
      <c r="AQ33" s="2357"/>
      <c r="AR33" s="2357"/>
      <c r="AS33" s="2357"/>
      <c r="AT33" s="2357"/>
      <c r="AU33" s="2357"/>
      <c r="AV33" s="2357"/>
      <c r="AW33" s="2358"/>
    </row>
    <row r="34" spans="1:49" ht="18" customHeight="1">
      <c r="A34" s="6313"/>
      <c r="B34" s="2444"/>
      <c r="C34" s="2445" t="s">
        <v>2322</v>
      </c>
      <c r="D34" s="2446">
        <v>0.3</v>
      </c>
      <c r="E34" s="2412">
        <f>IF(ISTEXT(B34),0,IF(ISBLANK(B34),D34,(D34*B34)))</f>
        <v>0.3</v>
      </c>
      <c r="F34" s="2413">
        <v>5</v>
      </c>
      <c r="G34" s="2414"/>
      <c r="H34" s="2415">
        <f>($U34/$AK$30)*$AE$30</f>
        <v>0.75</v>
      </c>
      <c r="I34" s="2416">
        <f>($X34/$AK$33)*$AE$33</f>
        <v>0.75</v>
      </c>
      <c r="J34" s="2417">
        <f>($U34/$AK$30)*$AF$30</f>
        <v>1.05</v>
      </c>
      <c r="K34" s="2418">
        <f>($X34/$AK$33)*$AF$33</f>
        <v>1.05</v>
      </c>
      <c r="L34" s="2417">
        <f>($U34/$AK$30)*$AG$30</f>
        <v>1.65</v>
      </c>
      <c r="M34" s="2418">
        <f>($X34/$AK$33)*$AG$33</f>
        <v>1.65</v>
      </c>
      <c r="N34" s="2417">
        <f>($U34/$AK$30)*$AH$30</f>
        <v>2.0625</v>
      </c>
      <c r="O34" s="2418">
        <f>($X34/$AK$33)*$AH$33</f>
        <v>2.0625</v>
      </c>
      <c r="P34" s="2417">
        <f>($U34/$AK$30)*$AI$30</f>
        <v>1.5</v>
      </c>
      <c r="Q34" s="2418">
        <f>($X34/$AK$33)*$AI$33</f>
        <v>1.5</v>
      </c>
      <c r="R34" s="2416">
        <f>($U34/$AK$30)*$AJ$30</f>
        <v>1.05</v>
      </c>
      <c r="S34" s="2419">
        <f>($X34/$AK$33)*$AJ$33</f>
        <v>1.05</v>
      </c>
      <c r="T34" s="2420"/>
      <c r="U34" s="2421">
        <f t="shared" si="2"/>
        <v>8.0625</v>
      </c>
      <c r="V34" s="2447">
        <f>IF(ISTEXT(B34),B34,(B34/B$24)*W$23)</f>
        <v>0</v>
      </c>
      <c r="W34" s="2423" t="str">
        <f t="shared" si="4"/>
        <v>blancs d'œufs</v>
      </c>
      <c r="X34" s="2421">
        <f>(E34/B24)*W23</f>
        <v>8.0625</v>
      </c>
      <c r="Y34" s="2424"/>
      <c r="Z34" s="2425">
        <v>1</v>
      </c>
      <c r="AA34" s="2450">
        <f t="shared" si="5"/>
        <v>8.0625</v>
      </c>
      <c r="AB34" s="2427"/>
      <c r="AC34" s="2357"/>
      <c r="AD34" s="2386" t="s">
        <v>2323</v>
      </c>
      <c r="AE34" s="2660">
        <f t="shared" ref="AE34:AJ34" si="7">IF(ISBLANK(AE32),0,1/AE32*1000)</f>
        <v>20</v>
      </c>
      <c r="AF34" s="2660">
        <f t="shared" si="7"/>
        <v>14.285714285714285</v>
      </c>
      <c r="AG34" s="2660">
        <f t="shared" si="7"/>
        <v>9.0909090909090899</v>
      </c>
      <c r="AH34" s="2661">
        <f t="shared" si="7"/>
        <v>7.2727272727272725</v>
      </c>
      <c r="AI34" s="2660">
        <f t="shared" si="7"/>
        <v>10</v>
      </c>
      <c r="AJ34" s="2660">
        <f t="shared" si="7"/>
        <v>14.285714285714285</v>
      </c>
      <c r="AK34" s="2451" t="str">
        <f>ADDRESS(ROW(AK33),COLUMN(AK33),4)</f>
        <v>AK33</v>
      </c>
      <c r="AL34" s="6305"/>
      <c r="AN34" s="2355">
        <v>12</v>
      </c>
      <c r="AO34" s="2397"/>
      <c r="AP34" s="2357"/>
      <c r="AQ34" s="2357"/>
      <c r="AR34" s="2357"/>
      <c r="AS34" s="2357"/>
      <c r="AT34" s="2357"/>
      <c r="AU34" s="2357"/>
      <c r="AV34" s="2357"/>
      <c r="AW34" s="2358"/>
    </row>
    <row r="35" spans="1:49" ht="18" customHeight="1">
      <c r="A35" s="6313"/>
      <c r="B35" s="2452"/>
      <c r="C35" s="2453"/>
      <c r="D35" s="2454"/>
      <c r="E35" s="2455"/>
      <c r="F35" s="2456"/>
      <c r="G35" s="2457"/>
      <c r="H35" s="2458"/>
      <c r="I35" s="2459"/>
      <c r="J35" s="2460"/>
      <c r="K35" s="2461"/>
      <c r="L35" s="2460"/>
      <c r="M35" s="2461"/>
      <c r="N35" s="2460"/>
      <c r="O35" s="2461"/>
      <c r="P35" s="2460"/>
      <c r="Q35" s="2461"/>
      <c r="R35" s="2459"/>
      <c r="S35" s="2462"/>
      <c r="T35" s="2457"/>
      <c r="U35" s="2463"/>
      <c r="V35" s="2464"/>
      <c r="W35" s="2465"/>
      <c r="X35" s="2463"/>
      <c r="Y35" s="2466"/>
      <c r="Z35" s="2467"/>
      <c r="AA35" s="2468"/>
      <c r="AB35" s="2427"/>
      <c r="AC35" s="2469" t="s">
        <v>723</v>
      </c>
      <c r="AD35" s="6358" t="s">
        <v>2324</v>
      </c>
      <c r="AE35" s="6358"/>
      <c r="AF35" s="6358"/>
      <c r="AG35" s="6358"/>
      <c r="AH35" s="6358"/>
      <c r="AI35" s="6358"/>
      <c r="AJ35" s="6358"/>
      <c r="AK35" s="2358"/>
      <c r="AL35" s="6297"/>
      <c r="AN35" s="2355">
        <v>46</v>
      </c>
      <c r="AO35" s="2470"/>
      <c r="AP35" s="2471"/>
      <c r="AQ35" s="2471"/>
      <c r="AR35" s="2471"/>
      <c r="AS35" s="2471"/>
      <c r="AT35" s="2471"/>
      <c r="AU35" s="2471"/>
      <c r="AV35" s="2471"/>
      <c r="AW35" s="2472"/>
    </row>
    <row r="36" spans="1:49" ht="24" thickBot="1">
      <c r="A36" s="6314"/>
      <c r="B36" s="2473"/>
      <c r="C36" s="2474"/>
      <c r="D36" s="2475"/>
      <c r="E36" s="2476">
        <f>SUM(E29:E34)</f>
        <v>2.4</v>
      </c>
      <c r="F36" s="2477"/>
      <c r="G36" s="2478"/>
      <c r="H36" s="2479">
        <f>SUM(H28:H34)</f>
        <v>6.06</v>
      </c>
      <c r="I36" s="2480">
        <f>SUM(I28:I34)</f>
        <v>12</v>
      </c>
      <c r="J36" s="2481">
        <f>SUM(J29:J34)</f>
        <v>8.4</v>
      </c>
      <c r="K36" s="2482">
        <f t="shared" ref="K36:S36" si="8">SUM(K28:K34)</f>
        <v>16.8</v>
      </c>
      <c r="L36" s="2481">
        <f t="shared" si="8"/>
        <v>13.332000000000001</v>
      </c>
      <c r="M36" s="2482">
        <f t="shared" si="8"/>
        <v>26.4</v>
      </c>
      <c r="N36" s="2481">
        <f t="shared" si="8"/>
        <v>16.664999999999999</v>
      </c>
      <c r="O36" s="2482">
        <f t="shared" si="8"/>
        <v>33</v>
      </c>
      <c r="P36" s="2481">
        <f t="shared" si="8"/>
        <v>12.12</v>
      </c>
      <c r="Q36" s="2482">
        <f t="shared" si="8"/>
        <v>24</v>
      </c>
      <c r="R36" s="2480">
        <f t="shared" si="8"/>
        <v>8.484</v>
      </c>
      <c r="S36" s="2483">
        <f t="shared" si="8"/>
        <v>16.8</v>
      </c>
      <c r="T36" s="2478"/>
      <c r="U36" s="2484">
        <f>SUM(U29:U34)</f>
        <v>64.5</v>
      </c>
      <c r="V36" s="2485"/>
      <c r="W36" s="2486"/>
      <c r="X36" s="2484">
        <f>SUM(X29:X34)</f>
        <v>64.5</v>
      </c>
      <c r="Y36" s="2487"/>
      <c r="Z36" s="2488"/>
      <c r="AA36" s="2489">
        <f>SUM(AA30:AA34)</f>
        <v>64.5</v>
      </c>
      <c r="AB36" s="2490"/>
      <c r="AC36" s="2491" t="s">
        <v>723</v>
      </c>
      <c r="AD36" s="6299" t="s">
        <v>2325</v>
      </c>
      <c r="AE36" s="6299"/>
      <c r="AF36" s="6299"/>
      <c r="AG36" s="6299"/>
      <c r="AH36" s="6299"/>
      <c r="AI36" s="6299"/>
      <c r="AJ36" s="6299"/>
      <c r="AK36" s="2492"/>
      <c r="AL36" s="6298"/>
      <c r="AN36" s="2490">
        <v>47</v>
      </c>
      <c r="AO36" s="2493"/>
      <c r="AP36" s="2494"/>
      <c r="AQ36" s="2495"/>
      <c r="AR36" s="2495"/>
      <c r="AS36" s="2495"/>
      <c r="AT36" s="2495"/>
      <c r="AU36" s="2495"/>
      <c r="AV36" s="2495"/>
      <c r="AW36" s="2496"/>
    </row>
    <row r="37" spans="1:49" s="2328" customFormat="1" ht="46.5">
      <c r="A37" s="2497"/>
      <c r="B37" s="2497"/>
      <c r="C37" s="2498"/>
      <c r="D37" s="2497"/>
      <c r="E37" s="2497"/>
      <c r="F37" s="2497"/>
      <c r="G37" s="2497"/>
      <c r="H37" s="2497"/>
      <c r="I37" s="2497"/>
      <c r="J37" s="2497"/>
      <c r="K37" s="2497"/>
      <c r="L37" s="2497"/>
      <c r="M37" s="2497"/>
    </row>
    <row r="38" spans="1:49" s="2328" customFormat="1" ht="36">
      <c r="B38" s="6300" t="s">
        <v>2466</v>
      </c>
      <c r="C38" s="6301"/>
      <c r="D38" s="6301"/>
      <c r="E38" s="6301"/>
      <c r="F38" s="6301"/>
      <c r="G38" s="6301"/>
      <c r="H38" s="6301"/>
      <c r="I38" s="6301"/>
      <c r="J38" s="6301"/>
      <c r="K38" s="6301"/>
      <c r="L38" s="6301"/>
      <c r="M38" s="6301"/>
      <c r="N38" s="6301"/>
      <c r="O38" s="6301"/>
      <c r="P38" s="6301"/>
      <c r="Q38" s="6301"/>
      <c r="R38" s="6301"/>
      <c r="S38" s="6301"/>
      <c r="T38" s="6301"/>
      <c r="U38" s="6301"/>
      <c r="V38" s="6302"/>
    </row>
    <row r="39" spans="1:49" s="2328" customFormat="1" ht="46.5">
      <c r="B39" s="2497"/>
      <c r="C39" s="2498"/>
      <c r="D39" s="2497"/>
      <c r="E39" s="2497"/>
      <c r="F39" s="2497"/>
      <c r="G39" s="2497"/>
      <c r="H39" s="2497"/>
      <c r="I39" s="2497"/>
      <c r="J39" s="2497"/>
      <c r="K39" s="2497"/>
      <c r="L39" s="2497"/>
      <c r="M39" s="2497"/>
      <c r="N39" s="2499"/>
      <c r="O39" s="2499"/>
      <c r="P39" s="2499"/>
      <c r="Q39" s="2497"/>
      <c r="R39" s="2497"/>
      <c r="S39" s="2497"/>
      <c r="T39" s="2497"/>
      <c r="U39" s="2497"/>
      <c r="V39" s="2497"/>
    </row>
    <row r="40" spans="1:49" s="2328" customFormat="1" ht="55.5" customHeight="1">
      <c r="A40" s="2500"/>
      <c r="B40" s="2331"/>
      <c r="C40" s="2330" t="s">
        <v>2327</v>
      </c>
      <c r="D40" s="2331"/>
      <c r="E40" s="2331"/>
      <c r="F40" s="2331"/>
      <c r="G40" s="2331"/>
      <c r="H40" s="2501" t="s">
        <v>2328</v>
      </c>
      <c r="I40" s="2331"/>
      <c r="J40" s="2331"/>
      <c r="K40" s="2501" t="s">
        <v>2329</v>
      </c>
      <c r="L40" s="2331"/>
      <c r="M40" s="2331"/>
      <c r="N40" s="2331"/>
      <c r="O40" s="2331"/>
      <c r="P40" s="2331"/>
      <c r="Q40" s="2331"/>
      <c r="R40" s="2331"/>
      <c r="S40" s="2331"/>
      <c r="T40" s="2331"/>
      <c r="U40" s="2331"/>
      <c r="V40" s="2331"/>
    </row>
    <row r="41" spans="1:49" s="2328" customFormat="1" ht="55.5" customHeight="1">
      <c r="A41" s="2500"/>
      <c r="B41" s="2331"/>
      <c r="C41" s="2330" t="s">
        <v>2330</v>
      </c>
      <c r="D41" s="2331"/>
      <c r="E41" s="2331"/>
      <c r="F41" s="2331"/>
      <c r="G41" s="2331"/>
      <c r="H41" s="2501" t="s">
        <v>2331</v>
      </c>
      <c r="I41" s="2331"/>
      <c r="J41" s="2331"/>
      <c r="K41" s="2501" t="s">
        <v>2332</v>
      </c>
      <c r="L41" s="2331"/>
      <c r="M41" s="2331"/>
      <c r="N41" s="2331"/>
      <c r="O41" s="2331"/>
      <c r="P41" s="2331"/>
      <c r="Q41" s="2331"/>
      <c r="R41" s="2331"/>
      <c r="S41" s="2331"/>
      <c r="T41" s="2331"/>
      <c r="U41" s="2331"/>
      <c r="V41" s="2331"/>
    </row>
    <row r="42" spans="1:49" s="2328" customFormat="1" ht="46.5" customHeight="1">
      <c r="B42" s="6339" t="s">
        <v>55</v>
      </c>
      <c r="C42" s="6339"/>
      <c r="D42" s="2497"/>
      <c r="E42" s="2497"/>
      <c r="F42" s="2497"/>
      <c r="G42" s="2497"/>
      <c r="H42" s="2497"/>
      <c r="I42" s="2497"/>
      <c r="J42" s="2497"/>
      <c r="K42" s="2497"/>
      <c r="L42" s="2497"/>
      <c r="M42" s="2497"/>
      <c r="N42" s="2497"/>
      <c r="O42" s="2497"/>
      <c r="P42" s="2497"/>
      <c r="Q42" s="2497"/>
      <c r="R42" s="2497"/>
      <c r="S42" s="2497"/>
      <c r="T42" s="2497"/>
      <c r="U42" s="6340" t="s">
        <v>55</v>
      </c>
      <c r="V42" s="6340"/>
    </row>
    <row r="43" spans="1:49" s="2328" customFormat="1" ht="46.5" customHeight="1">
      <c r="B43" s="6339"/>
      <c r="C43" s="6339"/>
      <c r="D43" s="2497"/>
      <c r="E43" s="2497"/>
      <c r="F43" s="2497"/>
      <c r="G43" s="2497"/>
      <c r="H43" s="2497"/>
      <c r="I43" s="2497"/>
      <c r="J43" s="2497"/>
      <c r="K43" s="2497"/>
      <c r="L43" s="2497"/>
      <c r="M43" s="2497"/>
      <c r="N43" s="2497"/>
      <c r="O43" s="2497"/>
      <c r="P43" s="2497"/>
      <c r="Q43" s="2497"/>
      <c r="R43" s="2497"/>
      <c r="S43" s="2497"/>
      <c r="T43" s="2497"/>
      <c r="U43" s="6340"/>
      <c r="V43" s="6340"/>
    </row>
    <row r="44" spans="1:49" s="2328" customFormat="1" ht="26.25" customHeight="1">
      <c r="B44" s="6369" t="s">
        <v>733</v>
      </c>
      <c r="C44" s="6370" t="s">
        <v>734</v>
      </c>
      <c r="D44" s="6370" t="s">
        <v>2299</v>
      </c>
      <c r="E44" s="6371" t="s">
        <v>2333</v>
      </c>
      <c r="F44" s="2497"/>
      <c r="G44" s="2497"/>
      <c r="H44" s="2497"/>
      <c r="I44" s="2497"/>
      <c r="J44" s="2497"/>
      <c r="K44" s="2497"/>
      <c r="L44" s="2497"/>
      <c r="M44" s="2497"/>
      <c r="N44" s="2497"/>
      <c r="O44" s="2497"/>
      <c r="P44" s="2497"/>
      <c r="Q44" s="2497"/>
      <c r="R44" s="2497"/>
      <c r="S44" s="2497"/>
      <c r="T44" s="2497"/>
      <c r="U44" s="2502"/>
      <c r="V44" s="2502"/>
    </row>
    <row r="45" spans="1:49" s="2328" customFormat="1" ht="26.25" customHeight="1">
      <c r="B45" s="6369"/>
      <c r="C45" s="6370"/>
      <c r="D45" s="6370"/>
      <c r="E45" s="6372"/>
      <c r="F45" s="2497"/>
      <c r="G45" s="2497"/>
      <c r="H45" s="2497"/>
      <c r="I45" s="2497"/>
      <c r="J45" s="2497"/>
      <c r="K45" s="2497"/>
      <c r="L45" s="2497"/>
      <c r="M45" s="2497"/>
      <c r="N45" s="2497"/>
      <c r="O45" s="2497"/>
      <c r="P45" s="2497"/>
      <c r="Q45" s="2497"/>
      <c r="R45" s="2497"/>
      <c r="S45" s="2497"/>
      <c r="T45" s="2497"/>
      <c r="U45" s="2497"/>
      <c r="V45" s="2497"/>
    </row>
    <row r="46" spans="1:49" s="2328" customFormat="1" ht="26.25" customHeight="1">
      <c r="B46" s="6369"/>
      <c r="C46" s="6370"/>
      <c r="D46" s="6370"/>
      <c r="E46" s="6373"/>
      <c r="F46" s="2497"/>
      <c r="G46" s="2497"/>
      <c r="H46" s="2497"/>
      <c r="I46" s="2497"/>
      <c r="J46" s="2497"/>
      <c r="K46" s="2497"/>
      <c r="L46" s="2497"/>
      <c r="M46" s="2497"/>
      <c r="N46" s="2497"/>
      <c r="O46" s="2497"/>
      <c r="P46" s="2497"/>
      <c r="Q46" s="2497"/>
      <c r="R46" s="2497"/>
      <c r="S46" s="2497"/>
      <c r="T46" s="2497"/>
      <c r="U46" s="2497"/>
      <c r="V46" s="2497"/>
    </row>
    <row r="47" spans="1:49" s="2328" customFormat="1" ht="42">
      <c r="B47" s="2503"/>
      <c r="C47" s="2504" t="str">
        <f>C30</f>
        <v>AGNEAU : Sauté d'agneau sans os- épaule - collier</v>
      </c>
      <c r="D47" s="2446">
        <f>D32</f>
        <v>0</v>
      </c>
      <c r="E47" s="2505">
        <f>E32</f>
        <v>0</v>
      </c>
      <c r="F47" s="2497"/>
      <c r="H47" s="2497"/>
      <c r="I47" s="2497"/>
      <c r="J47" s="2497"/>
      <c r="K47" s="2497"/>
      <c r="L47" s="2497"/>
      <c r="M47" s="2497"/>
      <c r="N47" s="2497"/>
      <c r="O47" s="2497"/>
      <c r="P47" s="2497"/>
      <c r="Q47" s="2497"/>
      <c r="R47" s="2497"/>
      <c r="S47" s="2497"/>
      <c r="T47" s="2497"/>
      <c r="U47" s="2497"/>
      <c r="V47" s="2497"/>
    </row>
    <row r="48" spans="1:49" s="2328" customFormat="1" ht="28.5">
      <c r="B48" s="2363" t="str">
        <f>ADDRESS(ROW(B49),COLUMN(),4)</f>
        <v>B49</v>
      </c>
      <c r="C48" s="2504"/>
      <c r="D48" s="2363" t="str">
        <f>ADDRESS(ROW(D49),COLUMN(),4)</f>
        <v>D49</v>
      </c>
      <c r="E48" s="2363" t="str">
        <f>ADDRESS(ROW(E49),COLUMN(),4)</f>
        <v>E49</v>
      </c>
      <c r="F48" s="2497"/>
      <c r="G48" s="2506" t="str">
        <f>E48</f>
        <v>E49</v>
      </c>
      <c r="H48" s="2497"/>
      <c r="I48" s="2497"/>
      <c r="J48" s="2497"/>
      <c r="K48" s="2497"/>
      <c r="L48" s="2497"/>
      <c r="M48" s="2497"/>
      <c r="N48" s="2497"/>
      <c r="O48" s="2497"/>
      <c r="P48" s="2497"/>
      <c r="Q48" s="2497"/>
      <c r="R48" s="2497"/>
      <c r="S48" s="2497"/>
      <c r="T48" s="2497"/>
      <c r="U48" s="2497"/>
      <c r="V48" s="2497"/>
    </row>
    <row r="49" spans="1:22" s="2328" customFormat="1" ht="31.5">
      <c r="B49" s="2507" t="str">
        <f>B31</f>
        <v>PM</v>
      </c>
      <c r="C49" s="2504" t="str">
        <f>C31</f>
        <v>bouquet garni</v>
      </c>
      <c r="D49" s="2446">
        <f>D31</f>
        <v>0</v>
      </c>
      <c r="E49" s="2508">
        <f t="shared" ref="E49:E51" si="9">IF(ISTEXT(B49),0,IF(ISBLANK(B49),D49,(D49*B49)))</f>
        <v>0</v>
      </c>
      <c r="F49" s="2497"/>
      <c r="G49" s="2509" t="str">
        <f ca="1">_xlfn.FORMULATEXT(E49)</f>
        <v>=SI(ESTTEXTE(B49);0;SI(ESTVIDE(B49);D49;(D49*B49)))</v>
      </c>
      <c r="H49" s="2497"/>
      <c r="I49" s="2497"/>
      <c r="J49" s="2497"/>
      <c r="K49" s="2497"/>
      <c r="L49" s="2497"/>
      <c r="M49" s="2497"/>
      <c r="N49" s="2497"/>
      <c r="O49" s="2497"/>
      <c r="P49" s="2497"/>
      <c r="Q49" s="2497"/>
      <c r="R49" s="2497"/>
      <c r="S49" s="2497"/>
      <c r="T49" s="2497"/>
      <c r="U49" s="2497"/>
      <c r="V49" s="2497"/>
    </row>
    <row r="50" spans="1:22" s="2328" customFormat="1" ht="31.5">
      <c r="B50" s="2507">
        <f>B32</f>
        <v>2</v>
      </c>
      <c r="C50" s="2504" t="str">
        <f>C32</f>
        <v>œufs</v>
      </c>
      <c r="D50" s="2446"/>
      <c r="E50" s="2508">
        <f t="shared" si="9"/>
        <v>0</v>
      </c>
      <c r="F50" s="2497"/>
      <c r="G50" s="2510" t="s">
        <v>2461</v>
      </c>
      <c r="H50" s="2497"/>
      <c r="I50" s="2497"/>
      <c r="J50" s="2497"/>
      <c r="K50" s="2497"/>
      <c r="L50" s="2497"/>
      <c r="M50" s="2497"/>
      <c r="N50" s="2497"/>
      <c r="O50" s="2497"/>
      <c r="P50" s="2497"/>
      <c r="Q50" s="2497"/>
      <c r="R50" s="2497"/>
      <c r="S50" s="2497"/>
      <c r="T50" s="2497"/>
      <c r="U50" s="2497"/>
      <c r="V50" s="2497"/>
    </row>
    <row r="51" spans="1:22" s="2328" customFormat="1" ht="31.5">
      <c r="B51" s="2507">
        <f>B33</f>
        <v>2</v>
      </c>
      <c r="C51" s="2504" t="str">
        <f>C33</f>
        <v>œufs</v>
      </c>
      <c r="D51" s="2446">
        <f>D33</f>
        <v>0.05</v>
      </c>
      <c r="E51" s="2508">
        <f t="shared" si="9"/>
        <v>0.1</v>
      </c>
      <c r="F51" s="2497"/>
      <c r="G51" s="2510" t="s">
        <v>2462</v>
      </c>
      <c r="H51" s="2497"/>
      <c r="I51" s="2497"/>
      <c r="J51" s="2497"/>
      <c r="K51" s="2497"/>
      <c r="L51" s="2497"/>
      <c r="M51" s="2497"/>
      <c r="N51" s="2497"/>
      <c r="O51" s="2497"/>
      <c r="P51" s="2497"/>
      <c r="Q51" s="2497"/>
      <c r="R51" s="2497"/>
      <c r="S51" s="2497"/>
      <c r="T51" s="2497"/>
      <c r="U51" s="2497"/>
      <c r="V51" s="2497"/>
    </row>
    <row r="52" spans="1:22" s="2328" customFormat="1" ht="28.5" customHeight="1">
      <c r="B52" s="2497"/>
      <c r="C52" s="2497"/>
      <c r="D52" s="2497"/>
      <c r="E52" s="2497"/>
      <c r="F52" s="2497"/>
      <c r="G52" s="2510" t="s">
        <v>2463</v>
      </c>
      <c r="H52" s="2497"/>
      <c r="I52" s="2497"/>
      <c r="J52" s="2497"/>
      <c r="K52" s="2497"/>
      <c r="L52" s="2497"/>
      <c r="M52" s="2497"/>
      <c r="N52" s="2497"/>
      <c r="O52" s="2497"/>
      <c r="P52" s="2497"/>
      <c r="Q52" s="2497"/>
      <c r="R52" s="2497"/>
      <c r="S52" s="2497"/>
      <c r="T52" s="2497"/>
      <c r="U52" s="2497"/>
      <c r="V52" s="2497"/>
    </row>
    <row r="53" spans="1:22" s="2328" customFormat="1" ht="47.1" customHeight="1" thickBot="1">
      <c r="B53" s="2497"/>
      <c r="C53" s="2497"/>
      <c r="D53" s="2497"/>
      <c r="E53" s="2497"/>
      <c r="F53" s="2497"/>
      <c r="G53" s="2497"/>
      <c r="H53" s="2497"/>
      <c r="I53" s="2497"/>
      <c r="J53" s="2497"/>
      <c r="K53" s="2497"/>
      <c r="L53" s="2497"/>
      <c r="M53" s="2497"/>
      <c r="N53" s="2497"/>
      <c r="O53" s="2497"/>
      <c r="P53" s="2497"/>
      <c r="Q53" s="2497"/>
      <c r="R53" s="2497"/>
      <c r="S53" s="2497"/>
      <c r="T53" s="2497"/>
      <c r="U53" s="2497"/>
      <c r="V53" s="2497"/>
    </row>
    <row r="54" spans="1:22" s="2328" customFormat="1" ht="47.1" customHeight="1">
      <c r="A54" s="2511"/>
      <c r="B54" s="6374" t="s">
        <v>44</v>
      </c>
      <c r="C54" s="6374"/>
      <c r="D54" s="2512"/>
      <c r="E54" s="2512"/>
      <c r="F54" s="2512"/>
      <c r="G54" s="2512"/>
      <c r="H54" s="2512"/>
      <c r="I54" s="2512"/>
      <c r="J54" s="2512"/>
      <c r="K54" s="2512"/>
      <c r="L54" s="2512"/>
      <c r="M54" s="2512"/>
      <c r="N54" s="2512"/>
      <c r="O54" s="2512"/>
      <c r="P54" s="2512"/>
      <c r="Q54" s="2512"/>
      <c r="R54" s="2512"/>
      <c r="S54" s="2512"/>
      <c r="T54" s="2512"/>
      <c r="U54" s="6361" t="s">
        <v>44</v>
      </c>
      <c r="V54" s="6361"/>
    </row>
    <row r="55" spans="1:22" s="2328" customFormat="1" ht="47.1" customHeight="1">
      <c r="A55" s="2513"/>
      <c r="B55" s="6339"/>
      <c r="C55" s="6339"/>
      <c r="D55" s="2497"/>
      <c r="E55" s="2497"/>
      <c r="F55" s="2497"/>
      <c r="G55" s="2497"/>
      <c r="H55" s="2497"/>
      <c r="I55" s="2497"/>
      <c r="J55" s="2497"/>
      <c r="K55" s="2497"/>
      <c r="L55" s="2497"/>
      <c r="M55" s="2497"/>
      <c r="N55" s="2497"/>
      <c r="O55" s="2497"/>
      <c r="P55" s="2497"/>
      <c r="Q55" s="2497"/>
      <c r="R55" s="2497"/>
      <c r="S55" s="2497"/>
      <c r="T55" s="2497"/>
      <c r="U55" s="6340"/>
      <c r="V55" s="6340"/>
    </row>
    <row r="56" spans="1:22" s="2328" customFormat="1" ht="23.25" customHeight="1">
      <c r="B56" s="2497"/>
      <c r="C56" s="2497"/>
      <c r="D56" s="2497"/>
      <c r="E56" s="2497"/>
      <c r="F56" s="2497"/>
      <c r="G56" s="2497"/>
      <c r="H56" s="2497"/>
      <c r="I56" s="2497"/>
      <c r="J56" s="2497"/>
      <c r="K56" s="2497"/>
      <c r="L56" s="2497"/>
      <c r="M56" s="2497"/>
      <c r="N56" s="2497"/>
      <c r="O56" s="2497"/>
      <c r="P56" s="2497"/>
      <c r="Q56" s="2497"/>
      <c r="R56" s="2497"/>
      <c r="S56" s="2497"/>
      <c r="T56" s="2497"/>
      <c r="U56" s="2497"/>
      <c r="V56" s="2497"/>
    </row>
    <row r="57" spans="1:22" s="2328" customFormat="1" ht="15.75" customHeight="1">
      <c r="B57" s="2497"/>
      <c r="C57" s="6362" t="s">
        <v>2333</v>
      </c>
      <c r="D57" s="6365" t="s">
        <v>206</v>
      </c>
      <c r="E57" s="6366" t="s">
        <v>2302</v>
      </c>
      <c r="F57" s="2497"/>
      <c r="G57" s="2497"/>
      <c r="H57" s="2497"/>
      <c r="I57" s="2497"/>
      <c r="J57" s="6367" t="s">
        <v>2303</v>
      </c>
      <c r="K57" s="6367"/>
      <c r="L57" s="6367"/>
      <c r="M57" s="6367"/>
      <c r="N57" s="6367"/>
      <c r="O57" s="6367"/>
      <c r="P57" s="2497"/>
      <c r="Q57" s="2497"/>
      <c r="R57" s="2497"/>
      <c r="S57" s="2497"/>
      <c r="T57" s="2497"/>
      <c r="U57" s="2497"/>
      <c r="V57" s="2497"/>
    </row>
    <row r="58" spans="1:22" s="2328" customFormat="1" ht="15.75" customHeight="1">
      <c r="B58" s="2497"/>
      <c r="C58" s="6363"/>
      <c r="D58" s="6365"/>
      <c r="E58" s="6366"/>
      <c r="F58" s="2497"/>
      <c r="G58" s="2497"/>
      <c r="H58" s="2497"/>
      <c r="I58" s="2497"/>
      <c r="J58" s="6367"/>
      <c r="K58" s="6367"/>
      <c r="L58" s="6367"/>
      <c r="M58" s="6367"/>
      <c r="N58" s="6367"/>
      <c r="O58" s="6367"/>
      <c r="P58" s="2497"/>
      <c r="Q58" s="2497"/>
      <c r="R58" s="2497"/>
      <c r="S58" s="2497"/>
      <c r="T58" s="2497"/>
      <c r="U58" s="2497"/>
      <c r="V58" s="2497"/>
    </row>
    <row r="59" spans="1:22" s="2328" customFormat="1" ht="15.75" customHeight="1">
      <c r="B59" s="2497"/>
      <c r="C59" s="6364"/>
      <c r="D59" s="6365"/>
      <c r="E59" s="6366"/>
      <c r="F59" s="2497"/>
      <c r="G59" s="2497"/>
      <c r="H59" s="2497"/>
      <c r="I59" s="2497"/>
      <c r="J59" s="2643" t="s">
        <v>733</v>
      </c>
      <c r="K59" s="6368" t="s">
        <v>734</v>
      </c>
      <c r="L59" s="6368"/>
      <c r="M59" s="6368"/>
      <c r="N59" s="6368" t="s">
        <v>2289</v>
      </c>
      <c r="O59" s="6368"/>
      <c r="P59" s="2497"/>
      <c r="Q59" s="2497"/>
      <c r="R59" s="2497"/>
      <c r="S59" s="2497"/>
      <c r="T59" s="2497"/>
      <c r="U59" s="2497"/>
      <c r="V59" s="2497"/>
    </row>
    <row r="60" spans="1:22" s="2328" customFormat="1" ht="28.5">
      <c r="B60" s="2497"/>
      <c r="C60" s="2514" t="str">
        <f>ADDRESS(ROW(C61),COLUMN(C61),4)</f>
        <v>C61</v>
      </c>
      <c r="D60" s="2514" t="str">
        <f>ADDRESS(ROW(D61),COLUMN(D61),4)</f>
        <v>D61</v>
      </c>
      <c r="E60" s="2514" t="str">
        <f>ADDRESS(ROW(E61),COLUMN(E61),4)</f>
        <v>E61</v>
      </c>
      <c r="F60" s="2497"/>
      <c r="G60" s="2506" t="str">
        <f>E60</f>
        <v>E61</v>
      </c>
      <c r="H60" s="2497"/>
      <c r="I60" s="2497"/>
      <c r="J60" s="2515"/>
      <c r="K60" s="6379"/>
      <c r="L60" s="6379"/>
      <c r="M60" s="6379"/>
      <c r="N60" s="6380" t="str">
        <f>ADDRESS(ROW(N61),COLUMN(N61),4)</f>
        <v>N61</v>
      </c>
      <c r="O60" s="6380"/>
      <c r="P60" s="2604" t="str">
        <f>N60</f>
        <v>N61</v>
      </c>
      <c r="Q60" s="2497"/>
      <c r="R60" s="2497"/>
      <c r="S60" s="2497"/>
      <c r="T60" s="2497"/>
      <c r="U60" s="2497"/>
      <c r="V60" s="2497"/>
    </row>
    <row r="61" spans="1:22" s="2328" customFormat="1" ht="31.5">
      <c r="B61" s="2497"/>
      <c r="C61" s="2516">
        <f>E30</f>
        <v>2</v>
      </c>
      <c r="D61" s="2517">
        <v>35</v>
      </c>
      <c r="E61" s="2518">
        <f>IF(C61=0,0,((N61-(N61*D61%))))</f>
        <v>34.9375</v>
      </c>
      <c r="G61" s="2509" t="str">
        <f ca="1">_xlfn.FORMULATEXT(E61)</f>
        <v>=SI(C61=0;0;((N61-(N61*D61%))))</v>
      </c>
      <c r="H61" s="2497"/>
      <c r="I61" s="2497"/>
      <c r="J61" s="2519">
        <f>V30</f>
        <v>0</v>
      </c>
      <c r="K61" s="6381" t="str">
        <f>W30</f>
        <v>AGNEAU : Sauté d'agneau sans os- épaule - collier</v>
      </c>
      <c r="L61" s="6381"/>
      <c r="M61" s="6381"/>
      <c r="N61" s="6382">
        <f>X30</f>
        <v>53.75</v>
      </c>
      <c r="O61" s="6382"/>
      <c r="P61" s="2612" t="str">
        <f ca="1">_xlfn.FORMULATEXT(N61)</f>
        <v>=X30</v>
      </c>
      <c r="Q61" s="2497"/>
      <c r="R61" s="2497"/>
      <c r="S61" s="2497"/>
      <c r="T61" s="2497"/>
      <c r="U61" s="2497"/>
      <c r="V61" s="2497"/>
    </row>
    <row r="62" spans="1:22" s="2328" customFormat="1" ht="31.5">
      <c r="B62" s="2497"/>
      <c r="C62" s="2497"/>
      <c r="D62" s="2520"/>
      <c r="E62" s="2521"/>
      <c r="F62" s="2497"/>
      <c r="G62" s="2510" t="s">
        <v>2464</v>
      </c>
      <c r="H62" s="2497"/>
      <c r="I62" s="2497"/>
      <c r="J62" s="2497"/>
      <c r="K62" s="2497"/>
      <c r="L62" s="2497"/>
      <c r="M62" s="2497"/>
      <c r="N62" s="2497"/>
      <c r="O62" s="2497"/>
      <c r="P62" s="2497"/>
      <c r="Q62" s="2497"/>
      <c r="R62" s="2497"/>
      <c r="S62" s="2497"/>
      <c r="T62" s="2497"/>
      <c r="U62" s="2497"/>
      <c r="V62" s="2497"/>
    </row>
    <row r="63" spans="1:22" s="2328" customFormat="1" ht="16.5" thickBot="1">
      <c r="B63" s="2497"/>
      <c r="C63" s="2497"/>
      <c r="D63" s="2497"/>
      <c r="E63" s="2497"/>
      <c r="F63" s="2497"/>
      <c r="G63" s="2497"/>
      <c r="H63" s="2497"/>
      <c r="I63" s="2497"/>
      <c r="J63" s="2497"/>
      <c r="K63" s="2497"/>
      <c r="L63" s="2497"/>
      <c r="M63" s="2497"/>
      <c r="N63" s="2497"/>
      <c r="O63" s="2497"/>
      <c r="P63" s="2497"/>
      <c r="Q63" s="2497"/>
      <c r="R63" s="2497"/>
      <c r="S63" s="2497"/>
      <c r="T63" s="2497"/>
      <c r="U63" s="2497"/>
      <c r="V63" s="2497"/>
    </row>
    <row r="64" spans="1:22" s="2328" customFormat="1" ht="47.1" customHeight="1">
      <c r="B64" s="6374" t="s">
        <v>46</v>
      </c>
      <c r="C64" s="6374"/>
      <c r="D64" s="2512"/>
      <c r="E64" s="2512"/>
      <c r="F64" s="2512"/>
      <c r="G64" s="2512"/>
      <c r="H64" s="2512"/>
      <c r="I64" s="2512"/>
      <c r="J64" s="2512"/>
      <c r="K64" s="2512"/>
      <c r="L64" s="2512"/>
      <c r="M64" s="2512"/>
      <c r="N64" s="2512"/>
      <c r="O64" s="2512"/>
      <c r="P64" s="2512"/>
      <c r="Q64" s="2512"/>
      <c r="R64" s="2512"/>
      <c r="S64" s="2512"/>
      <c r="T64" s="2512"/>
      <c r="U64" s="6361" t="s">
        <v>46</v>
      </c>
      <c r="V64" s="6361"/>
    </row>
    <row r="65" spans="2:22" s="2328" customFormat="1">
      <c r="B65" s="2497"/>
      <c r="C65" s="2497"/>
      <c r="D65" s="2497"/>
      <c r="E65" s="2497"/>
      <c r="F65" s="2497"/>
      <c r="G65" s="2497"/>
      <c r="H65" s="2497"/>
      <c r="I65" s="2497"/>
      <c r="J65" s="2497"/>
      <c r="K65" s="2497"/>
      <c r="L65" s="2497"/>
      <c r="M65" s="2497"/>
      <c r="N65" s="2497"/>
      <c r="O65" s="2497"/>
      <c r="P65" s="2497"/>
      <c r="Q65" s="2497"/>
      <c r="R65" s="2497"/>
      <c r="S65" s="2497"/>
      <c r="T65" s="2497"/>
      <c r="U65" s="2497"/>
      <c r="V65" s="2497"/>
    </row>
    <row r="66" spans="2:22" s="2328" customFormat="1" ht="16.5" thickBot="1">
      <c r="B66" s="2497"/>
      <c r="C66" s="2497"/>
      <c r="D66" s="2497"/>
      <c r="E66" s="2497"/>
      <c r="F66" s="2497"/>
      <c r="G66" s="2497"/>
      <c r="H66" s="2497"/>
      <c r="I66" s="2497"/>
      <c r="J66" s="2497"/>
      <c r="K66" s="2497"/>
      <c r="L66" s="2497"/>
      <c r="M66" s="2497"/>
      <c r="N66" s="2497"/>
      <c r="O66" s="2497"/>
      <c r="P66" s="2497"/>
      <c r="Q66" s="2497"/>
      <c r="R66" s="2497"/>
      <c r="S66" s="2497"/>
      <c r="T66" s="2497"/>
      <c r="U66" s="2497"/>
      <c r="V66" s="2497"/>
    </row>
    <row r="67" spans="2:22" s="2328" customFormat="1" ht="15.75" customHeight="1">
      <c r="B67" s="2522" t="s">
        <v>2288</v>
      </c>
      <c r="C67" s="2523"/>
      <c r="D67" s="2523"/>
      <c r="E67" s="2497"/>
      <c r="F67" s="2497"/>
      <c r="G67" s="2497"/>
      <c r="H67" s="2497"/>
      <c r="I67" s="2641" t="str">
        <f>ADDRESS(ROW(J67),COLUMN(J67),4)</f>
        <v>J67</v>
      </c>
      <c r="J67" s="6326">
        <f>W23</f>
        <v>53.75</v>
      </c>
      <c r="K67" s="6327"/>
      <c r="L67" s="6377" t="str">
        <f>C69</f>
        <v>Kg d'agneau</v>
      </c>
      <c r="M67" s="6377"/>
      <c r="N67" s="6377"/>
      <c r="O67" s="2497"/>
      <c r="P67" s="2497"/>
      <c r="Q67" s="2497"/>
      <c r="R67" s="2497"/>
      <c r="S67" s="2497"/>
      <c r="T67" s="2497"/>
      <c r="U67" s="2497"/>
      <c r="V67" s="2497"/>
    </row>
    <row r="68" spans="2:22" s="2328" customFormat="1" ht="21" customHeight="1">
      <c r="B68" s="2642" t="str">
        <f>ADDRESS(ROW(B69),COLUMN(B69),4)</f>
        <v>B69</v>
      </c>
      <c r="C68" s="2523"/>
      <c r="D68" s="2523"/>
      <c r="E68" s="2497"/>
      <c r="F68" s="2497"/>
      <c r="G68" s="2616"/>
      <c r="H68" s="2615"/>
      <c r="I68" s="2617" t="s">
        <v>2290</v>
      </c>
      <c r="J68" s="6375"/>
      <c r="K68" s="6376"/>
      <c r="L68" s="6377"/>
      <c r="M68" s="6377"/>
      <c r="N68" s="6377"/>
      <c r="O68" s="2497"/>
      <c r="P68" s="2497"/>
      <c r="Q68" s="2497"/>
      <c r="R68" s="2497"/>
      <c r="S68" s="2497"/>
      <c r="T68" s="2497"/>
      <c r="U68" s="2497"/>
      <c r="V68" s="2497"/>
    </row>
    <row r="69" spans="2:22" s="2328" customFormat="1" ht="15.75" customHeight="1">
      <c r="B69" s="6338">
        <f>B24</f>
        <v>2</v>
      </c>
      <c r="C69" s="6378" t="str">
        <f>C24</f>
        <v>Kg d'agneau</v>
      </c>
      <c r="D69" s="6378"/>
      <c r="E69" s="2497"/>
      <c r="F69" s="2497"/>
      <c r="G69" s="2615"/>
      <c r="H69" s="2615"/>
      <c r="I69" s="2615"/>
      <c r="J69" s="6375"/>
      <c r="K69" s="6376"/>
      <c r="L69" s="6377"/>
      <c r="M69" s="6377"/>
      <c r="N69" s="6377"/>
      <c r="O69" s="2497"/>
      <c r="P69" s="2497"/>
      <c r="Q69" s="2497"/>
      <c r="R69" s="2497"/>
      <c r="S69" s="2497"/>
      <c r="T69" s="2497"/>
      <c r="U69" s="2497"/>
      <c r="V69" s="2497"/>
    </row>
    <row r="70" spans="2:22" s="2328" customFormat="1" ht="15.75" customHeight="1" thickBot="1">
      <c r="B70" s="6338"/>
      <c r="C70" s="6378"/>
      <c r="D70" s="6378"/>
      <c r="E70" s="2497"/>
      <c r="F70" s="2497"/>
      <c r="G70" s="2497"/>
      <c r="H70" s="2497"/>
      <c r="I70" s="2497"/>
      <c r="J70" s="6328"/>
      <c r="K70" s="6329"/>
      <c r="L70" s="6377"/>
      <c r="M70" s="6377"/>
      <c r="N70" s="6377"/>
      <c r="O70" s="2497"/>
      <c r="P70" s="2497"/>
      <c r="Q70" s="2497"/>
      <c r="R70" s="2497"/>
      <c r="S70" s="2497"/>
      <c r="T70" s="2497"/>
      <c r="U70" s="2497"/>
      <c r="V70" s="2497"/>
    </row>
    <row r="71" spans="2:22" s="2328" customFormat="1">
      <c r="B71" s="2497"/>
      <c r="C71" s="2497"/>
      <c r="D71" s="2497"/>
      <c r="E71" s="2497"/>
      <c r="F71" s="2497"/>
      <c r="G71" s="2497"/>
      <c r="H71" s="2497"/>
      <c r="I71" s="2497"/>
      <c r="J71" s="2497"/>
      <c r="K71" s="2497"/>
      <c r="L71" s="2497"/>
      <c r="M71" s="2497"/>
      <c r="N71" s="2497"/>
      <c r="O71" s="2497"/>
      <c r="P71" s="2497"/>
      <c r="Q71" s="2497"/>
      <c r="R71" s="2497"/>
      <c r="S71" s="2497"/>
      <c r="T71" s="2497"/>
      <c r="U71" s="2497"/>
      <c r="V71" s="2497"/>
    </row>
    <row r="72" spans="2:22" s="2328" customFormat="1">
      <c r="B72" s="2497"/>
      <c r="C72" s="2497"/>
      <c r="D72" s="2497"/>
      <c r="E72" s="2497"/>
      <c r="F72" s="2497"/>
      <c r="G72" s="2497"/>
      <c r="H72" s="2497"/>
      <c r="I72" s="2497"/>
      <c r="J72" s="2497"/>
      <c r="K72" s="2497"/>
      <c r="L72" s="2497"/>
      <c r="M72" s="2497"/>
      <c r="N72" s="2497"/>
      <c r="O72" s="2497"/>
      <c r="P72" s="2497"/>
      <c r="Q72" s="2497"/>
      <c r="R72" s="2497"/>
      <c r="S72" s="2497"/>
      <c r="T72" s="2497"/>
      <c r="U72" s="2497"/>
      <c r="V72" s="2497"/>
    </row>
    <row r="73" spans="2:22" s="2328" customFormat="1">
      <c r="B73" s="2497"/>
      <c r="C73" s="2497"/>
      <c r="D73" s="2497"/>
      <c r="E73" s="2497"/>
      <c r="F73" s="2497"/>
      <c r="G73" s="2497"/>
      <c r="H73" s="2497"/>
      <c r="I73" s="2497"/>
      <c r="J73" s="2497"/>
      <c r="K73" s="2497"/>
      <c r="L73" s="2497"/>
      <c r="M73" s="2497"/>
      <c r="N73" s="2497"/>
      <c r="O73" s="2497"/>
      <c r="P73" s="2497"/>
      <c r="Q73" s="2497"/>
      <c r="R73" s="2497"/>
      <c r="S73" s="2497"/>
      <c r="T73" s="2497"/>
      <c r="U73" s="2497"/>
      <c r="V73" s="2497"/>
    </row>
    <row r="74" spans="2:22" s="2328" customFormat="1" ht="23.25" customHeight="1">
      <c r="B74" s="2497"/>
      <c r="C74" s="2497"/>
      <c r="D74" s="2497"/>
      <c r="E74" s="2497"/>
      <c r="F74" s="2497"/>
      <c r="G74" s="2497"/>
      <c r="H74" s="6402" t="s">
        <v>733</v>
      </c>
      <c r="I74" s="6402"/>
      <c r="J74" s="2497"/>
      <c r="K74" s="2497"/>
      <c r="L74" s="2497"/>
      <c r="M74" s="2497"/>
      <c r="N74" s="2497"/>
      <c r="O74" s="2497"/>
      <c r="P74" s="2497"/>
      <c r="Q74" s="2497"/>
      <c r="R74" s="2497"/>
      <c r="S74" s="2497"/>
      <c r="T74" s="2497"/>
      <c r="U74" s="2497"/>
      <c r="V74" s="2497"/>
    </row>
    <row r="75" spans="2:22" s="2328" customFormat="1" ht="28.5" customHeight="1">
      <c r="B75" s="2642" t="str">
        <f>ADDRESS(ROW(B76),COLUMN(B76),4)</f>
        <v>B76</v>
      </c>
      <c r="C75" s="2524"/>
      <c r="D75" s="2497"/>
      <c r="E75" s="2497"/>
      <c r="F75" s="2497"/>
      <c r="G75" s="2497"/>
      <c r="H75" s="2642" t="str">
        <f>B75</f>
        <v>B76</v>
      </c>
      <c r="I75" s="2497"/>
      <c r="J75" s="2497"/>
      <c r="K75" s="2497"/>
      <c r="L75" s="2497"/>
      <c r="M75" s="2497"/>
      <c r="N75" s="2497"/>
      <c r="O75" s="2497"/>
      <c r="P75" s="2497"/>
      <c r="Q75" s="2497"/>
      <c r="R75" s="2497"/>
      <c r="S75" s="2497"/>
      <c r="T75" s="2497"/>
      <c r="U75" s="2497"/>
      <c r="V75" s="2497"/>
    </row>
    <row r="76" spans="2:22" s="2328" customFormat="1" ht="47.25" customHeight="1">
      <c r="B76" s="2503" t="str">
        <f>B49</f>
        <v>PM</v>
      </c>
      <c r="C76" s="2504" t="str">
        <f>C49</f>
        <v>bouquet garni</v>
      </c>
      <c r="D76" s="2446">
        <f>D49</f>
        <v>0</v>
      </c>
      <c r="E76" s="2508">
        <f t="shared" ref="E76:E78" si="10">IF(ISTEXT(B76),0,IF(ISBLANK(B76),D76,(D76*B76)))</f>
        <v>0</v>
      </c>
      <c r="F76" s="2497"/>
      <c r="G76" s="2497"/>
      <c r="H76" s="2644" t="str">
        <f>IF(ISTEXT(B76),B76,(B76/B$69)*J$67)</f>
        <v>PM</v>
      </c>
      <c r="I76" s="6390" t="str">
        <f>C76</f>
        <v>bouquet garni</v>
      </c>
      <c r="J76" s="6390"/>
      <c r="K76" s="6390"/>
      <c r="L76" s="2613" t="str">
        <f ca="1">_xlfn.FORMULATEXT(H76)</f>
        <v>=SI(ESTTEXTE(B76);B76;(B76/B$69)*J$67)</v>
      </c>
      <c r="N76" s="2497"/>
      <c r="O76" s="2497"/>
      <c r="P76" s="2497"/>
      <c r="Q76" s="2497"/>
      <c r="R76" s="2497"/>
      <c r="S76" s="2497"/>
      <c r="T76" s="2497"/>
      <c r="U76" s="2497"/>
      <c r="V76" s="2497"/>
    </row>
    <row r="77" spans="2:22" s="2328" customFormat="1" ht="35.25" customHeight="1">
      <c r="B77" s="2497"/>
      <c r="C77" s="2497"/>
      <c r="D77" s="2497"/>
      <c r="F77" s="2497"/>
      <c r="G77" s="2497"/>
      <c r="H77" s="2510" t="s">
        <v>2465</v>
      </c>
      <c r="J77" s="2510"/>
      <c r="N77" s="2497"/>
      <c r="O77" s="2497"/>
      <c r="P77" s="2497"/>
      <c r="Q77" s="2497"/>
      <c r="R77" s="2497"/>
      <c r="S77" s="2497"/>
      <c r="T77" s="2497"/>
      <c r="U77" s="2497"/>
      <c r="V77" s="2497"/>
    </row>
    <row r="78" spans="2:22" s="2328" customFormat="1" ht="31.5" customHeight="1">
      <c r="B78" s="2525">
        <f>B51</f>
        <v>2</v>
      </c>
      <c r="C78" s="2504" t="str">
        <f>C51</f>
        <v>œufs</v>
      </c>
      <c r="D78" s="2446">
        <f>D51</f>
        <v>0.05</v>
      </c>
      <c r="E78" s="2508">
        <f t="shared" si="10"/>
        <v>0.1</v>
      </c>
      <c r="F78" s="2497"/>
      <c r="G78" s="2497"/>
      <c r="H78" s="2645">
        <f>IF(ISTEXT(B78),B78,(B78/B$69)*J$67)</f>
        <v>53.75</v>
      </c>
      <c r="I78" s="6391" t="str">
        <f>C78</f>
        <v>œufs</v>
      </c>
      <c r="J78" s="6391"/>
      <c r="K78" s="6391"/>
      <c r="M78" s="2497"/>
      <c r="N78" s="2497"/>
      <c r="O78" s="2497"/>
      <c r="P78" s="2497"/>
      <c r="Q78" s="2497"/>
      <c r="R78" s="2497"/>
      <c r="S78" s="2497"/>
      <c r="T78" s="2497"/>
      <c r="U78" s="2497"/>
      <c r="V78" s="2497"/>
    </row>
    <row r="79" spans="2:22" s="2328" customFormat="1" ht="31.5" customHeight="1">
      <c r="D79" s="2497"/>
      <c r="E79" s="2497"/>
      <c r="F79" s="2497"/>
      <c r="G79" s="2497"/>
      <c r="H79" s="2614" t="str">
        <f ca="1">_xlfn.FORMULATEXT(H78)</f>
        <v>=SI(ESTTEXTE(B78);B78;(B78/B$69)*J$67)</v>
      </c>
      <c r="I79" s="2497"/>
      <c r="J79" s="2497"/>
      <c r="K79" s="2497"/>
      <c r="L79" s="2497"/>
      <c r="M79" s="2497"/>
      <c r="N79" s="2497"/>
      <c r="O79" s="2497"/>
      <c r="P79" s="2497"/>
      <c r="Q79" s="2497"/>
      <c r="R79" s="2497"/>
      <c r="S79" s="2497"/>
      <c r="T79" s="2497"/>
      <c r="U79" s="2497"/>
      <c r="V79" s="2497"/>
    </row>
    <row r="80" spans="2:22" s="2328" customFormat="1" ht="16.5" thickBot="1">
      <c r="B80" s="2497"/>
      <c r="C80" s="2497"/>
      <c r="D80" s="2497"/>
      <c r="E80" s="2497"/>
      <c r="F80" s="2497"/>
      <c r="G80" s="2497"/>
      <c r="H80" s="2497"/>
      <c r="I80" s="2497"/>
      <c r="J80" s="2497"/>
      <c r="K80" s="2497"/>
      <c r="L80" s="2497"/>
      <c r="M80" s="2497"/>
      <c r="N80" s="2497"/>
      <c r="O80" s="2497"/>
      <c r="P80" s="2497"/>
      <c r="Q80" s="2497"/>
      <c r="R80" s="2497"/>
      <c r="S80" s="2497"/>
      <c r="T80" s="2497"/>
      <c r="U80" s="2497"/>
      <c r="V80" s="2497"/>
    </row>
    <row r="81" spans="1:22" s="2328" customFormat="1" ht="47.1" customHeight="1">
      <c r="B81" s="6374" t="s">
        <v>457</v>
      </c>
      <c r="C81" s="6374"/>
      <c r="D81" s="2512"/>
      <c r="E81" s="2512"/>
      <c r="F81" s="2512"/>
      <c r="G81" s="2512"/>
      <c r="H81" s="2512"/>
      <c r="I81" s="2512"/>
      <c r="J81" s="2512"/>
      <c r="K81" s="2512"/>
      <c r="L81" s="2512"/>
      <c r="M81" s="2512"/>
      <c r="N81" s="2512"/>
      <c r="O81" s="2512"/>
      <c r="P81" s="2512"/>
      <c r="Q81" s="2512"/>
      <c r="R81" s="2512"/>
      <c r="S81" s="2512"/>
      <c r="T81" s="2512"/>
      <c r="U81" s="6361" t="s">
        <v>457</v>
      </c>
      <c r="V81" s="6361"/>
    </row>
    <row r="82" spans="1:22" s="2328" customFormat="1" ht="47.1" customHeight="1" thickBot="1">
      <c r="B82" s="2497"/>
      <c r="C82" s="2497"/>
      <c r="D82" s="2497"/>
      <c r="E82" s="2497"/>
      <c r="F82" s="2497"/>
      <c r="G82" s="2497"/>
      <c r="H82" s="2497"/>
      <c r="I82" s="2497"/>
      <c r="J82" s="2526"/>
      <c r="K82" s="2526"/>
      <c r="L82" s="2526"/>
      <c r="M82" s="2526"/>
      <c r="N82" s="2497"/>
      <c r="O82" s="2497"/>
      <c r="P82" s="2497"/>
      <c r="Q82" s="2497"/>
      <c r="R82" s="2497"/>
      <c r="S82" s="2497"/>
      <c r="T82" s="2497"/>
      <c r="U82" s="2497"/>
      <c r="V82" s="2497"/>
    </row>
    <row r="83" spans="1:22" s="2328" customFormat="1" ht="15.75" customHeight="1">
      <c r="A83" s="2497"/>
      <c r="B83" s="2522" t="s">
        <v>2288</v>
      </c>
      <c r="C83" s="2523"/>
      <c r="D83" s="2523"/>
      <c r="E83" s="2527" t="s">
        <v>281</v>
      </c>
      <c r="F83" s="2528"/>
      <c r="G83" s="2497"/>
      <c r="H83" s="2497"/>
      <c r="I83" s="2497"/>
      <c r="J83" s="6392">
        <f>W23</f>
        <v>53.75</v>
      </c>
      <c r="K83" s="6393"/>
      <c r="L83" s="6396" t="str">
        <f>C85</f>
        <v>Kg d'agneau</v>
      </c>
      <c r="M83" s="6377"/>
      <c r="N83" s="6377"/>
      <c r="O83" s="6397" t="s">
        <v>2334</v>
      </c>
      <c r="P83" s="6397"/>
      <c r="Q83" s="6397"/>
      <c r="R83" s="6398" t="s">
        <v>2334</v>
      </c>
      <c r="S83" s="6398"/>
      <c r="T83" s="6398"/>
      <c r="U83" s="2618"/>
    </row>
    <row r="84" spans="1:22" s="2328" customFormat="1" ht="28.5" customHeight="1">
      <c r="A84" s="2497"/>
      <c r="B84" s="2523"/>
      <c r="C84" s="2523"/>
      <c r="D84" s="2523"/>
      <c r="E84" s="2527"/>
      <c r="F84" s="2528"/>
      <c r="G84" s="2616"/>
      <c r="H84" s="2615"/>
      <c r="I84" s="2641" t="str">
        <f>ADDRESS(ROW(J83),COLUMN(J83),4)</f>
        <v>J83</v>
      </c>
      <c r="J84" s="6394"/>
      <c r="K84" s="6395"/>
      <c r="L84" s="6396"/>
      <c r="M84" s="6377"/>
      <c r="N84" s="6377"/>
      <c r="O84" s="6397"/>
      <c r="P84" s="6397"/>
      <c r="Q84" s="6397"/>
      <c r="R84" s="2618"/>
      <c r="S84" s="2618"/>
      <c r="T84" s="2618"/>
      <c r="U84" s="2618"/>
    </row>
    <row r="85" spans="1:22" s="2328" customFormat="1" ht="20.25" customHeight="1">
      <c r="A85" s="6404" t="str">
        <f>ADDRESS(ROW(B85),COLUMN(B85),4)</f>
        <v>B85</v>
      </c>
      <c r="B85" s="6399">
        <f>B24</f>
        <v>2</v>
      </c>
      <c r="C85" s="6378" t="str">
        <f>C24</f>
        <v>Kg d'agneau</v>
      </c>
      <c r="D85" s="6378"/>
      <c r="E85" s="2530" t="s">
        <v>2294</v>
      </c>
      <c r="F85" s="2528"/>
      <c r="G85" s="2615"/>
      <c r="H85" s="2615"/>
      <c r="I85" s="2617" t="s">
        <v>2290</v>
      </c>
      <c r="J85" s="6394"/>
      <c r="K85" s="6395"/>
      <c r="L85" s="6396"/>
      <c r="M85" s="6377"/>
      <c r="N85" s="6377"/>
      <c r="O85" s="6400">
        <f ca="1">NOW()</f>
        <v>45075.412900000003</v>
      </c>
      <c r="P85" s="6400"/>
      <c r="Q85" s="6400"/>
      <c r="R85" s="6401" t="str">
        <f ca="1">_xlfn.FORMULATEXT(O85)</f>
        <v>=MAINTENANT()</v>
      </c>
      <c r="S85" s="6401"/>
      <c r="T85" s="6401"/>
      <c r="U85" s="6403" t="str">
        <f>ADDRESS(ROW(O85),COLUMN(O85),4)</f>
        <v>O85</v>
      </c>
    </row>
    <row r="86" spans="1:22" s="2328" customFormat="1" ht="15.75" customHeight="1">
      <c r="A86" s="6404"/>
      <c r="B86" s="6399"/>
      <c r="C86" s="6378"/>
      <c r="D86" s="6378"/>
      <c r="E86" s="2531">
        <f>SUM(E91:E93)/B85</f>
        <v>0.05</v>
      </c>
      <c r="F86" s="2528"/>
      <c r="G86" s="2497"/>
      <c r="H86" s="2497"/>
      <c r="I86" s="2497"/>
      <c r="J86" s="6394"/>
      <c r="K86" s="6395"/>
      <c r="L86" s="6396"/>
      <c r="M86" s="6377"/>
      <c r="N86" s="6377"/>
      <c r="O86" s="6400"/>
      <c r="P86" s="6400"/>
      <c r="Q86" s="6400"/>
      <c r="R86" s="6401"/>
      <c r="S86" s="6401"/>
      <c r="T86" s="6401"/>
      <c r="U86" s="6403"/>
    </row>
    <row r="87" spans="1:22" s="2328" customFormat="1" ht="21" customHeight="1">
      <c r="A87" s="2497"/>
      <c r="B87" s="6405" t="s">
        <v>733</v>
      </c>
      <c r="C87" s="6406" t="s">
        <v>734</v>
      </c>
      <c r="D87" s="6406" t="s">
        <v>2299</v>
      </c>
      <c r="E87" s="6362" t="s">
        <v>2333</v>
      </c>
      <c r="F87" s="2497"/>
      <c r="G87" s="2497"/>
      <c r="H87" s="2497"/>
      <c r="I87" s="2497"/>
      <c r="J87" s="6405" t="s">
        <v>2303</v>
      </c>
      <c r="K87" s="6405"/>
      <c r="L87" s="6405"/>
      <c r="M87" s="2625"/>
      <c r="N87" s="2622" t="s">
        <v>814</v>
      </c>
      <c r="O87" s="6385" t="s">
        <v>2304</v>
      </c>
      <c r="P87" s="6385"/>
      <c r="Q87" s="6385"/>
      <c r="R87" s="2497"/>
      <c r="S87" s="2497"/>
      <c r="T87" s="2497"/>
      <c r="U87" s="2497"/>
    </row>
    <row r="88" spans="1:22" s="2328" customFormat="1" ht="18.75" customHeight="1">
      <c r="A88" s="2497"/>
      <c r="B88" s="6405"/>
      <c r="C88" s="6406"/>
      <c r="D88" s="6406"/>
      <c r="E88" s="6363"/>
      <c r="F88" s="2497"/>
      <c r="G88" s="2497"/>
      <c r="H88" s="2497"/>
      <c r="I88" s="2497"/>
      <c r="J88" s="6405"/>
      <c r="K88" s="6405"/>
      <c r="L88" s="6405"/>
      <c r="M88" s="2626" t="s">
        <v>2010</v>
      </c>
      <c r="N88" s="6386" t="s">
        <v>2310</v>
      </c>
      <c r="O88" s="6387">
        <f>SUM(P91:P93)</f>
        <v>56.4375</v>
      </c>
      <c r="P88" s="6387"/>
      <c r="Q88" s="6387"/>
      <c r="R88" s="2497"/>
      <c r="S88" s="2497"/>
      <c r="T88" s="2497"/>
      <c r="U88" s="2497"/>
      <c r="V88" s="2497"/>
    </row>
    <row r="89" spans="1:22" s="2328" customFormat="1" ht="24" customHeight="1">
      <c r="A89" s="2497"/>
      <c r="B89" s="6405"/>
      <c r="C89" s="6406"/>
      <c r="D89" s="6406"/>
      <c r="E89" s="6364"/>
      <c r="F89" s="2497"/>
      <c r="G89" s="2497"/>
      <c r="H89" s="2497"/>
      <c r="I89" s="2497"/>
      <c r="J89" s="2627" t="s">
        <v>733</v>
      </c>
      <c r="K89" s="2628" t="s">
        <v>734</v>
      </c>
      <c r="L89" s="2628" t="s">
        <v>2289</v>
      </c>
      <c r="M89" s="2629"/>
      <c r="N89" s="6386"/>
      <c r="O89" s="2532" t="s">
        <v>2335</v>
      </c>
      <c r="P89" s="6388">
        <f>O88/J83</f>
        <v>1.05</v>
      </c>
      <c r="Q89" s="6388"/>
      <c r="R89" s="2497"/>
      <c r="S89" s="2497"/>
      <c r="T89" s="2497"/>
      <c r="U89" s="2497"/>
      <c r="V89" s="2497"/>
    </row>
    <row r="90" spans="1:22" s="2328" customFormat="1" ht="35.25" customHeight="1">
      <c r="A90" s="2497"/>
      <c r="E90" s="2398"/>
      <c r="F90" s="2497"/>
      <c r="G90" s="2497"/>
      <c r="H90" s="2497"/>
      <c r="I90" s="2497"/>
      <c r="J90" s="2641" t="str">
        <f>ADDRESS(ROW(J93),COLUMN(J93),4)</f>
        <v>J93</v>
      </c>
      <c r="K90" s="2630"/>
      <c r="L90" s="2641" t="str">
        <f>ADDRESS(ROW(L93),COLUMN(L93),4)</f>
        <v>L93</v>
      </c>
      <c r="M90" s="2630"/>
      <c r="N90" s="2630"/>
      <c r="O90" s="2641" t="str">
        <f>ADDRESS(ROW(O93),COLUMN(O93),4)</f>
        <v>O93</v>
      </c>
      <c r="P90" s="2630"/>
      <c r="Q90" s="2630"/>
      <c r="R90" s="2497"/>
      <c r="S90" s="2497"/>
      <c r="T90" s="2497"/>
      <c r="U90" s="2497"/>
      <c r="V90" s="2497"/>
    </row>
    <row r="91" spans="1:22" s="2328" customFormat="1" ht="21.95" customHeight="1">
      <c r="A91" s="2497"/>
      <c r="B91" s="2503"/>
      <c r="C91" s="2504"/>
      <c r="D91" s="2446"/>
      <c r="E91" s="2508">
        <f t="shared" ref="E91:E93" si="11">IF(ISTEXT(B91),0,IF(ISBLANK(B91),D91,(D91*B91)))</f>
        <v>0</v>
      </c>
      <c r="F91" s="2497"/>
      <c r="G91" s="2497"/>
      <c r="H91" s="2497"/>
      <c r="I91" s="2497"/>
      <c r="J91" s="2631">
        <f>IF(ISTEXT(B91),B91,(B91/B$85)*J$83)</f>
        <v>0</v>
      </c>
      <c r="K91" s="2632">
        <f t="shared" ref="K91:K93" si="12">C91</f>
        <v>0</v>
      </c>
      <c r="L91" s="2633">
        <f>(E91/B85)*J83</f>
        <v>0</v>
      </c>
      <c r="M91" s="2634">
        <f>L91/L$94</f>
        <v>0</v>
      </c>
      <c r="N91" s="2623"/>
      <c r="O91" s="2533"/>
      <c r="P91" s="6389">
        <f t="shared" ref="P91:P92" si="13">IF(N91="U",O91*J91,L91*O91)</f>
        <v>0</v>
      </c>
      <c r="Q91" s="6389"/>
      <c r="R91" s="2497"/>
      <c r="S91" s="2497"/>
      <c r="T91" s="2497"/>
      <c r="U91" s="2497"/>
      <c r="V91" s="2497"/>
    </row>
    <row r="92" spans="1:22" s="2328" customFormat="1" ht="21.95" customHeight="1">
      <c r="A92" s="2640" t="str">
        <f>ADDRESS(ROW(B92),COLUMN(B92),4)</f>
        <v>B92</v>
      </c>
      <c r="B92" s="2503">
        <v>2</v>
      </c>
      <c r="C92" s="2504" t="s">
        <v>741</v>
      </c>
      <c r="D92" s="2446">
        <v>0.05</v>
      </c>
      <c r="E92" s="2516">
        <f t="shared" si="11"/>
        <v>0.1</v>
      </c>
      <c r="F92" s="2497"/>
      <c r="G92" s="2497"/>
      <c r="H92" s="2497"/>
      <c r="I92" s="2497"/>
      <c r="J92" s="2635">
        <f t="shared" ref="J92:J93" si="14">IF(ISTEXT(B92),B92,(B92/B$85)*J$83)</f>
        <v>53.75</v>
      </c>
      <c r="K92" s="2636" t="str">
        <f t="shared" si="12"/>
        <v>œufs</v>
      </c>
      <c r="L92" s="2637">
        <f>(E92/B85)*J83</f>
        <v>2.6875</v>
      </c>
      <c r="M92" s="2638">
        <f>L92/L$94</f>
        <v>1</v>
      </c>
      <c r="N92" s="2623"/>
      <c r="O92" s="2534">
        <v>1</v>
      </c>
      <c r="P92" s="6407">
        <f t="shared" si="13"/>
        <v>2.6875</v>
      </c>
      <c r="Q92" s="6407"/>
      <c r="R92" s="2497"/>
      <c r="S92" s="2497"/>
      <c r="T92" s="2497"/>
      <c r="U92" s="2497"/>
      <c r="V92" s="2497"/>
    </row>
    <row r="93" spans="1:22" s="2328" customFormat="1" ht="21.95" customHeight="1">
      <c r="A93" s="2640" t="str">
        <f>ADDRESS(ROW(B93),COLUMN(B93),4)</f>
        <v>B93</v>
      </c>
      <c r="B93" s="2503">
        <v>2</v>
      </c>
      <c r="C93" s="2504" t="s">
        <v>741</v>
      </c>
      <c r="D93" s="2446"/>
      <c r="E93" s="2508">
        <f t="shared" si="11"/>
        <v>0</v>
      </c>
      <c r="F93" s="2497"/>
      <c r="G93" s="2497"/>
      <c r="H93" s="2497"/>
      <c r="I93" s="2497"/>
      <c r="J93" s="2631">
        <f t="shared" si="14"/>
        <v>53.75</v>
      </c>
      <c r="K93" s="2632" t="str">
        <f t="shared" si="12"/>
        <v>œufs</v>
      </c>
      <c r="L93" s="2633">
        <f>(E93/B85)*J83</f>
        <v>0</v>
      </c>
      <c r="M93" s="2638">
        <f>L93/L$94</f>
        <v>0</v>
      </c>
      <c r="N93" s="2623" t="s">
        <v>814</v>
      </c>
      <c r="O93" s="2534">
        <v>1</v>
      </c>
      <c r="P93" s="6383">
        <f>IF(N93="U",O93*J93,L93*O93)</f>
        <v>53.75</v>
      </c>
      <c r="Q93" s="6383"/>
      <c r="R93" s="2639" t="s">
        <v>602</v>
      </c>
      <c r="S93" s="2619" t="str">
        <f ca="1">_xlfn.FORMULATEXT(P93)</f>
        <v>=SI(N93="U";O93*J93;L93*O93)</v>
      </c>
      <c r="T93" s="2619"/>
      <c r="U93" s="2497"/>
      <c r="V93" s="2497"/>
    </row>
    <row r="94" spans="1:22" s="2328" customFormat="1" ht="33.75" customHeight="1">
      <c r="B94" s="2535"/>
      <c r="C94" s="2536"/>
      <c r="D94" s="2537"/>
      <c r="E94" s="2528"/>
      <c r="F94" s="2528"/>
      <c r="G94" s="2529"/>
      <c r="H94" s="2529"/>
      <c r="I94" s="2497"/>
      <c r="J94" s="2624" t="s">
        <v>593</v>
      </c>
      <c r="K94" s="2497"/>
      <c r="L94" s="2620">
        <f>SUM(L91:L93)</f>
        <v>2.6875</v>
      </c>
      <c r="N94" s="2497"/>
      <c r="O94" s="2497"/>
      <c r="P94" s="2497"/>
      <c r="Q94" s="2510" t="s">
        <v>2467</v>
      </c>
      <c r="R94" s="2497"/>
      <c r="S94" s="2497"/>
      <c r="T94" s="2497"/>
      <c r="U94" s="2497"/>
      <c r="V94" s="2497"/>
    </row>
    <row r="95" spans="1:22" s="2328" customFormat="1" ht="47.1" customHeight="1">
      <c r="B95" s="2535"/>
      <c r="C95" s="2536"/>
      <c r="D95" s="2537"/>
      <c r="E95" s="2528"/>
      <c r="F95" s="2528"/>
      <c r="G95" s="2529"/>
      <c r="H95" s="2529"/>
      <c r="I95" s="2497"/>
      <c r="J95" s="2621" t="str">
        <f ca="1">_xlfn.FORMULATEXT(J93)</f>
        <v>=SI(ESTTEXTE(B93);B93;(B93/B$85)*J$83)</v>
      </c>
      <c r="K95" s="2497"/>
      <c r="L95" s="2526"/>
      <c r="M95" s="2526"/>
      <c r="N95" s="2497"/>
      <c r="O95" s="2497"/>
      <c r="P95" s="2497"/>
      <c r="Q95" s="2497"/>
      <c r="R95" s="2497"/>
      <c r="S95" s="2497"/>
      <c r="T95" s="2497"/>
      <c r="U95" s="2497"/>
      <c r="V95" s="2497"/>
    </row>
    <row r="96" spans="1:22" s="2328" customFormat="1" ht="63" customHeight="1">
      <c r="B96" s="6384" t="s">
        <v>2336</v>
      </c>
      <c r="C96" s="6384"/>
      <c r="D96" s="6384"/>
      <c r="E96" s="6384"/>
      <c r="F96" s="6384"/>
      <c r="G96" s="6384"/>
      <c r="H96" s="6384"/>
      <c r="I96" s="6384"/>
      <c r="J96" s="6384"/>
      <c r="K96" s="6384"/>
      <c r="L96" s="6384"/>
      <c r="M96" s="6384"/>
      <c r="N96" s="6384"/>
      <c r="O96" s="6384"/>
      <c r="P96" s="6384"/>
      <c r="Q96" s="6384"/>
      <c r="R96" s="6384"/>
      <c r="S96" s="6384"/>
      <c r="T96" s="6384"/>
      <c r="U96" s="6384"/>
      <c r="V96" s="6384"/>
    </row>
  </sheetData>
  <mergeCells count="103">
    <mergeCell ref="H74:I74"/>
    <mergeCell ref="U85:U86"/>
    <mergeCell ref="A85:A86"/>
    <mergeCell ref="B87:B89"/>
    <mergeCell ref="C87:C89"/>
    <mergeCell ref="D87:D89"/>
    <mergeCell ref="E87:E89"/>
    <mergeCell ref="J87:L88"/>
    <mergeCell ref="P92:Q92"/>
    <mergeCell ref="P93:Q93"/>
    <mergeCell ref="B96:V96"/>
    <mergeCell ref="O87:Q87"/>
    <mergeCell ref="N88:N89"/>
    <mergeCell ref="O88:Q88"/>
    <mergeCell ref="P89:Q89"/>
    <mergeCell ref="P91:Q91"/>
    <mergeCell ref="I76:K76"/>
    <mergeCell ref="I78:K78"/>
    <mergeCell ref="B81:C81"/>
    <mergeCell ref="U81:V81"/>
    <mergeCell ref="J83:K86"/>
    <mergeCell ref="L83:N86"/>
    <mergeCell ref="O83:Q84"/>
    <mergeCell ref="R83:T83"/>
    <mergeCell ref="B85:B86"/>
    <mergeCell ref="C85:D86"/>
    <mergeCell ref="O85:Q86"/>
    <mergeCell ref="R85:T86"/>
    <mergeCell ref="J67:K70"/>
    <mergeCell ref="L67:N70"/>
    <mergeCell ref="B69:B70"/>
    <mergeCell ref="C69:D70"/>
    <mergeCell ref="K60:M60"/>
    <mergeCell ref="N60:O60"/>
    <mergeCell ref="K61:M61"/>
    <mergeCell ref="N61:O61"/>
    <mergeCell ref="B64:C64"/>
    <mergeCell ref="U64:V64"/>
    <mergeCell ref="C57:C59"/>
    <mergeCell ref="D57:D59"/>
    <mergeCell ref="E57:E59"/>
    <mergeCell ref="J57:O58"/>
    <mergeCell ref="K59:M59"/>
    <mergeCell ref="N59:O59"/>
    <mergeCell ref="B44:B46"/>
    <mergeCell ref="C44:C46"/>
    <mergeCell ref="D44:D46"/>
    <mergeCell ref="E44:E46"/>
    <mergeCell ref="B54:C55"/>
    <mergeCell ref="U54:V55"/>
    <mergeCell ref="B42:C43"/>
    <mergeCell ref="U42:V43"/>
    <mergeCell ref="V26:X26"/>
    <mergeCell ref="Z26:AA26"/>
    <mergeCell ref="AB26:AK26"/>
    <mergeCell ref="G27:G28"/>
    <mergeCell ref="V27:V28"/>
    <mergeCell ref="W27:W28"/>
    <mergeCell ref="X27:X28"/>
    <mergeCell ref="Y27:Y28"/>
    <mergeCell ref="Z27:AA27"/>
    <mergeCell ref="C26:C28"/>
    <mergeCell ref="D26:D28"/>
    <mergeCell ref="E26:E28"/>
    <mergeCell ref="T26:T28"/>
    <mergeCell ref="U26:U28"/>
    <mergeCell ref="AD35:AJ35"/>
    <mergeCell ref="H15:S26"/>
    <mergeCell ref="C24:C25"/>
    <mergeCell ref="B26:B28"/>
    <mergeCell ref="AL35:AL36"/>
    <mergeCell ref="AD36:AJ36"/>
    <mergeCell ref="B38:V38"/>
    <mergeCell ref="A15:A16"/>
    <mergeCell ref="AL15:AL34"/>
    <mergeCell ref="F16:G25"/>
    <mergeCell ref="AN16:AW17"/>
    <mergeCell ref="A17:A36"/>
    <mergeCell ref="B17:E18"/>
    <mergeCell ref="U17:AH17"/>
    <mergeCell ref="AI17:AI18"/>
    <mergeCell ref="AJ17:AK18"/>
    <mergeCell ref="AN18:AP19"/>
    <mergeCell ref="B20:E20"/>
    <mergeCell ref="T23:V24"/>
    <mergeCell ref="W23:X24"/>
    <mergeCell ref="Y23:AA24"/>
    <mergeCell ref="AB23:AC24"/>
    <mergeCell ref="AQ18:AQ19"/>
    <mergeCell ref="AR18:AT19"/>
    <mergeCell ref="AU18:AU19"/>
    <mergeCell ref="AD23:AD24"/>
    <mergeCell ref="AE23:AF24"/>
    <mergeCell ref="B24:B25"/>
    <mergeCell ref="B1:AA1"/>
    <mergeCell ref="B2:AA2"/>
    <mergeCell ref="T14:AL14"/>
    <mergeCell ref="AN14:AU15"/>
    <mergeCell ref="AV14:AV15"/>
    <mergeCell ref="AW14:AW15"/>
    <mergeCell ref="AV18:AV19"/>
    <mergeCell ref="AW18:AW19"/>
    <mergeCell ref="AI19:AK20"/>
  </mergeCells>
  <hyperlinks>
    <hyperlink ref="AD35" r:id="rId1" xr:uid="{00000000-0004-0000-0F00-000000000000}"/>
    <hyperlink ref="AD36" r:id="rId2" xr:uid="{00000000-0004-0000-0F00-000001000000}"/>
  </hyperlinks>
  <printOptions horizontalCentered="1"/>
  <pageMargins left="0.23622047244094491" right="0.23622047244094491" top="0.74803149606299213" bottom="0.74803149606299213" header="0.31496062992125984" footer="0.31496062992125984"/>
  <pageSetup paperSize="9" scale="50"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86"/>
  <sheetViews>
    <sheetView showGridLines="0" zoomScaleNormal="100" workbookViewId="0">
      <selection activeCell="F21" sqref="F21"/>
    </sheetView>
  </sheetViews>
  <sheetFormatPr baseColWidth="10" defaultColWidth="8" defaultRowHeight="15"/>
  <cols>
    <col min="1" max="1" width="11.125" style="2672" customWidth="1"/>
    <col min="2" max="2" width="72.5" style="2673" customWidth="1"/>
    <col min="3" max="3" width="15.125" style="2673" bestFit="1" customWidth="1"/>
    <col min="4" max="4" width="2" style="2673" customWidth="1"/>
    <col min="5" max="5" width="15.75" style="2673" bestFit="1" customWidth="1"/>
    <col min="6" max="6" width="13.75" style="2673" customWidth="1"/>
    <col min="7" max="7" width="11.625" style="2673" customWidth="1"/>
    <col min="8" max="10" width="8" style="2673"/>
    <col min="11" max="11" width="8" style="2673" customWidth="1"/>
    <col min="12" max="16384" width="8" style="2673"/>
  </cols>
  <sheetData>
    <row r="1" spans="1:7" ht="60" customHeight="1">
      <c r="A1" s="2672" t="s">
        <v>2471</v>
      </c>
      <c r="C1" s="2674"/>
      <c r="D1" s="2675"/>
      <c r="E1" s="2675"/>
      <c r="F1" s="2675"/>
    </row>
    <row r="2" spans="1:7" ht="15.75" thickBot="1">
      <c r="A2" s="2672" t="s">
        <v>2472</v>
      </c>
      <c r="C2" s="2676" t="s">
        <v>2473</v>
      </c>
      <c r="E2" s="2677" t="s">
        <v>2474</v>
      </c>
      <c r="F2" s="2678" t="s">
        <v>2475</v>
      </c>
      <c r="G2" s="2678" t="s">
        <v>2476</v>
      </c>
    </row>
    <row r="3" spans="1:7" ht="16.5" thickTop="1" thickBot="1">
      <c r="A3" s="2672" t="s">
        <v>2477</v>
      </c>
      <c r="C3" s="2679">
        <v>1</v>
      </c>
      <c r="E3" s="2680" t="s">
        <v>2478</v>
      </c>
      <c r="F3" s="2681"/>
      <c r="G3" s="2682">
        <f>C3+C4</f>
        <v>3</v>
      </c>
    </row>
    <row r="4" spans="1:7" ht="16.5" thickTop="1" thickBot="1">
      <c r="A4" s="2672" t="s">
        <v>2479</v>
      </c>
      <c r="C4" s="2679">
        <v>2</v>
      </c>
      <c r="E4" s="2680" t="s">
        <v>2480</v>
      </c>
      <c r="F4" s="2681"/>
      <c r="G4" s="2682">
        <f>C3-C4</f>
        <v>-1</v>
      </c>
    </row>
    <row r="5" spans="1:7" ht="15.75" thickTop="1">
      <c r="A5" s="2672" t="s">
        <v>2481</v>
      </c>
      <c r="E5" s="2680" t="s">
        <v>2482</v>
      </c>
      <c r="F5" s="2681"/>
      <c r="G5" s="2682">
        <f>C3*C4</f>
        <v>2</v>
      </c>
    </row>
    <row r="6" spans="1:7" ht="15.75" thickBot="1">
      <c r="A6" s="2672" t="s">
        <v>2483</v>
      </c>
      <c r="E6" s="2680" t="s">
        <v>2484</v>
      </c>
      <c r="F6" s="2681"/>
      <c r="G6" s="2682">
        <f>C3/C4</f>
        <v>0.5</v>
      </c>
    </row>
    <row r="7" spans="1:7" ht="15" customHeight="1" thickTop="1" thickBot="1">
      <c r="A7" s="2672" t="s">
        <v>2485</v>
      </c>
      <c r="E7" s="2680" t="s">
        <v>2486</v>
      </c>
      <c r="F7" s="2683"/>
      <c r="G7" s="2682">
        <f>C3^C4</f>
        <v>1</v>
      </c>
    </row>
    <row r="8" spans="1:7" ht="15.75" thickTop="1">
      <c r="A8" s="2672" t="s">
        <v>2487</v>
      </c>
    </row>
    <row r="9" spans="1:7">
      <c r="A9" s="2672" t="s">
        <v>2488</v>
      </c>
    </row>
    <row r="10" spans="1:7">
      <c r="A10" s="2672" t="s">
        <v>2489</v>
      </c>
    </row>
    <row r="11" spans="1:7">
      <c r="A11" s="2672" t="s">
        <v>2490</v>
      </c>
    </row>
    <row r="12" spans="1:7">
      <c r="A12" s="2672" t="s">
        <v>2491</v>
      </c>
    </row>
    <row r="13" spans="1:7" ht="15" customHeight="1">
      <c r="A13" s="2684" t="s">
        <v>2492</v>
      </c>
    </row>
    <row r="14" spans="1:7">
      <c r="A14" s="2672" t="s">
        <v>2493</v>
      </c>
    </row>
    <row r="15" spans="1:7">
      <c r="A15" s="2672" t="s">
        <v>2494</v>
      </c>
    </row>
    <row r="16" spans="1:7">
      <c r="A16" s="2672" t="s">
        <v>2495</v>
      </c>
    </row>
    <row r="17" spans="1:7">
      <c r="A17" s="2672" t="s">
        <v>2496</v>
      </c>
    </row>
    <row r="18" spans="1:7">
      <c r="A18" s="2685" t="s">
        <v>2497</v>
      </c>
    </row>
    <row r="19" spans="1:7">
      <c r="A19" s="2672" t="s">
        <v>2498</v>
      </c>
    </row>
    <row r="20" spans="1:7">
      <c r="A20" s="2685" t="s">
        <v>2499</v>
      </c>
    </row>
    <row r="21" spans="1:7" ht="15" customHeight="1">
      <c r="A21" s="2684" t="s">
        <v>2500</v>
      </c>
    </row>
    <row r="22" spans="1:7">
      <c r="A22" s="2672" t="s">
        <v>2501</v>
      </c>
    </row>
    <row r="23" spans="1:7">
      <c r="A23" s="2672" t="s">
        <v>2502</v>
      </c>
    </row>
    <row r="24" spans="1:7">
      <c r="A24" s="2672" t="s">
        <v>2503</v>
      </c>
    </row>
    <row r="25" spans="1:7" ht="33">
      <c r="A25" s="2672" t="s">
        <v>2504</v>
      </c>
      <c r="C25" s="2674"/>
      <c r="D25" s="2675"/>
      <c r="E25" s="2675"/>
      <c r="F25" s="2675"/>
      <c r="G25" s="2675"/>
    </row>
    <row r="26" spans="1:7">
      <c r="A26" s="2672" t="s">
        <v>2505</v>
      </c>
    </row>
    <row r="27" spans="1:7">
      <c r="A27" s="2672" t="s">
        <v>2506</v>
      </c>
    </row>
    <row r="28" spans="1:7" ht="26.25">
      <c r="A28" s="2672" t="s">
        <v>2507</v>
      </c>
      <c r="E28" s="2686"/>
    </row>
    <row r="29" spans="1:7">
      <c r="A29" s="2672" t="s">
        <v>2508</v>
      </c>
    </row>
    <row r="40" spans="10:10">
      <c r="J40" s="2678" t="s">
        <v>2509</v>
      </c>
    </row>
    <row r="41" spans="10:10">
      <c r="J41" s="2687">
        <v>4</v>
      </c>
    </row>
    <row r="42" spans="10:10">
      <c r="J42" s="2687">
        <v>8</v>
      </c>
    </row>
    <row r="43" spans="10:10">
      <c r="J43" s="2688">
        <f>SUM(J41:J42)</f>
        <v>12</v>
      </c>
    </row>
    <row r="64" spans="7:7">
      <c r="G64" s="2689"/>
    </row>
    <row r="65" spans="7:7">
      <c r="G65" s="2689"/>
    </row>
    <row r="66" spans="7:7">
      <c r="G66" s="2689"/>
    </row>
    <row r="67" spans="7:7">
      <c r="G67" s="2689"/>
    </row>
    <row r="86" ht="17.45" customHeight="1"/>
  </sheetData>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1"/>
  <sheetViews>
    <sheetView showGridLines="0" zoomScaleNormal="100" zoomScalePageLayoutView="125" workbookViewId="0">
      <selection activeCell="M20" sqref="M20"/>
    </sheetView>
  </sheetViews>
  <sheetFormatPr baseColWidth="10" defaultColWidth="7.75" defaultRowHeight="15" customHeight="1"/>
  <cols>
    <col min="1" max="1" width="11.125" style="2690" customWidth="1"/>
    <col min="2" max="2" width="72.5" style="2693" customWidth="1"/>
    <col min="3" max="4" width="11.625" style="2693" customWidth="1"/>
    <col min="5" max="5" width="2" style="2693" customWidth="1"/>
    <col min="6" max="6" width="20" style="2693" customWidth="1"/>
    <col min="7" max="7" width="12.125" style="2693" bestFit="1" customWidth="1"/>
    <col min="8" max="16384" width="7.75" style="2693"/>
  </cols>
  <sheetData>
    <row r="1" spans="1:13" ht="60" customHeight="1">
      <c r="A1" s="2690" t="s">
        <v>2510</v>
      </c>
      <c r="B1" s="2691"/>
      <c r="C1" s="2674"/>
      <c r="D1" s="2692"/>
      <c r="E1" s="2692"/>
      <c r="F1" s="2692"/>
      <c r="G1" s="2692"/>
    </row>
    <row r="2" spans="1:13" ht="15" customHeight="1">
      <c r="A2" s="2690" t="s">
        <v>2511</v>
      </c>
      <c r="C2" s="2677" t="s">
        <v>2512</v>
      </c>
      <c r="D2" s="2678" t="s">
        <v>2058</v>
      </c>
      <c r="F2" s="2677" t="s">
        <v>2513</v>
      </c>
      <c r="G2" s="2678" t="s">
        <v>2058</v>
      </c>
    </row>
    <row r="3" spans="1:13" ht="15" customHeight="1">
      <c r="A3" s="2694" t="s">
        <v>2514</v>
      </c>
      <c r="B3" s="2695"/>
      <c r="C3" s="2696" t="s">
        <v>2515</v>
      </c>
      <c r="D3" s="2696">
        <v>50</v>
      </c>
      <c r="F3" s="2696" t="s">
        <v>2516</v>
      </c>
      <c r="G3" s="2696">
        <v>50</v>
      </c>
    </row>
    <row r="4" spans="1:13" ht="15" customHeight="1">
      <c r="A4" s="2690" t="s">
        <v>2517</v>
      </c>
      <c r="C4" s="2696" t="s">
        <v>2518</v>
      </c>
      <c r="D4" s="2696">
        <v>20</v>
      </c>
      <c r="E4" s="2697"/>
      <c r="F4" s="2696" t="s">
        <v>2519</v>
      </c>
      <c r="G4" s="2696">
        <v>30</v>
      </c>
    </row>
    <row r="5" spans="1:13" s="2697" customFormat="1" ht="15" customHeight="1">
      <c r="A5" s="2690" t="s">
        <v>2520</v>
      </c>
      <c r="C5" s="2696" t="s">
        <v>2521</v>
      </c>
      <c r="D5" s="2696">
        <v>60</v>
      </c>
      <c r="F5" s="2696" t="s">
        <v>2522</v>
      </c>
      <c r="G5" s="2696">
        <v>10</v>
      </c>
    </row>
    <row r="6" spans="1:13" s="2697" customFormat="1" ht="15" customHeight="1">
      <c r="A6" s="2690" t="s">
        <v>2488</v>
      </c>
      <c r="B6" s="2698"/>
      <c r="C6" s="2696" t="s">
        <v>2523</v>
      </c>
      <c r="D6" s="2699">
        <v>40</v>
      </c>
      <c r="F6" s="2696" t="s">
        <v>2524</v>
      </c>
      <c r="G6" s="2699">
        <v>50</v>
      </c>
    </row>
    <row r="7" spans="1:13" s="2697" customFormat="1" ht="15" customHeight="1">
      <c r="A7" s="2690" t="s">
        <v>2525</v>
      </c>
      <c r="C7" s="2700" t="s">
        <v>2526</v>
      </c>
      <c r="D7" s="2701">
        <f>SUM(D3:D6)</f>
        <v>170</v>
      </c>
      <c r="F7" s="2700" t="s">
        <v>2526</v>
      </c>
      <c r="G7" s="2701"/>
      <c r="M7" s="2673"/>
    </row>
    <row r="8" spans="1:13" s="2697" customFormat="1" ht="15" customHeight="1">
      <c r="A8" s="2690" t="s">
        <v>2489</v>
      </c>
      <c r="M8" s="2673"/>
    </row>
    <row r="9" spans="1:13" s="2697" customFormat="1" ht="15" customHeight="1">
      <c r="A9" s="2690" t="s">
        <v>2527</v>
      </c>
      <c r="C9" s="2677" t="s">
        <v>2528</v>
      </c>
      <c r="D9" s="2678" t="s">
        <v>2058</v>
      </c>
      <c r="F9" s="2677" t="s">
        <v>2528</v>
      </c>
      <c r="G9" s="2678" t="s">
        <v>2058</v>
      </c>
      <c r="M9" s="2673"/>
    </row>
    <row r="10" spans="1:13" s="2697" customFormat="1" ht="15" customHeight="1">
      <c r="A10" s="2702" t="s">
        <v>2529</v>
      </c>
      <c r="C10" s="2696" t="s">
        <v>2530</v>
      </c>
      <c r="D10" s="2696">
        <v>50</v>
      </c>
      <c r="F10" s="2696" t="s">
        <v>2530</v>
      </c>
      <c r="G10" s="2696">
        <v>50</v>
      </c>
      <c r="M10" s="2673"/>
    </row>
    <row r="11" spans="1:13" s="2697" customFormat="1" ht="15" customHeight="1">
      <c r="A11" s="2694" t="s">
        <v>2531</v>
      </c>
      <c r="C11" s="2696" t="s">
        <v>2532</v>
      </c>
      <c r="D11" s="2696">
        <v>100</v>
      </c>
      <c r="F11" s="2696" t="s">
        <v>2532</v>
      </c>
      <c r="G11" s="2696">
        <v>100</v>
      </c>
      <c r="M11" s="2673"/>
    </row>
    <row r="12" spans="1:13" s="2697" customFormat="1" ht="15" customHeight="1">
      <c r="A12" s="2690" t="s">
        <v>2533</v>
      </c>
      <c r="C12" s="2696" t="s">
        <v>2534</v>
      </c>
      <c r="D12" s="2696">
        <v>40</v>
      </c>
      <c r="F12" s="2696" t="s">
        <v>2534</v>
      </c>
      <c r="G12" s="2696">
        <v>40</v>
      </c>
      <c r="M12" s="2673"/>
    </row>
    <row r="13" spans="1:13" s="2697" customFormat="1" ht="15" customHeight="1">
      <c r="A13" s="2690" t="s">
        <v>2535</v>
      </c>
      <c r="C13" s="2696" t="s">
        <v>2536</v>
      </c>
      <c r="D13" s="2696">
        <v>50</v>
      </c>
      <c r="F13" s="2696" t="s">
        <v>2536</v>
      </c>
      <c r="G13" s="2696">
        <v>50</v>
      </c>
      <c r="M13" s="2673"/>
    </row>
    <row r="14" spans="1:13" s="2697" customFormat="1" ht="15" customHeight="1" thickBot="1">
      <c r="A14" s="2703" t="s">
        <v>2537</v>
      </c>
      <c r="C14" s="2696" t="s">
        <v>4</v>
      </c>
      <c r="D14" s="2696">
        <v>20</v>
      </c>
      <c r="F14" s="2696" t="s">
        <v>4</v>
      </c>
      <c r="G14" s="2696">
        <v>20</v>
      </c>
      <c r="M14" s="2673"/>
    </row>
    <row r="15" spans="1:13" s="2697" customFormat="1" ht="15" customHeight="1" thickTop="1" thickBot="1">
      <c r="A15" s="2690" t="s">
        <v>2503</v>
      </c>
      <c r="C15" s="2700" t="s">
        <v>2526</v>
      </c>
      <c r="D15" s="2704"/>
      <c r="F15" s="2700" t="s">
        <v>2538</v>
      </c>
      <c r="G15" s="2683"/>
      <c r="M15" s="2673"/>
    </row>
    <row r="16" spans="1:13" s="2697" customFormat="1" ht="15" customHeight="1" thickTop="1">
      <c r="A16" s="2690" t="s">
        <v>2539</v>
      </c>
      <c r="M16" s="2673"/>
    </row>
    <row r="17" spans="1:13" s="2697" customFormat="1" ht="15" customHeight="1">
      <c r="A17" s="2690" t="s">
        <v>2540</v>
      </c>
      <c r="M17" s="2673"/>
    </row>
    <row r="18" spans="1:13" s="2697" customFormat="1" ht="15" customHeight="1">
      <c r="A18" s="2690" t="s">
        <v>2541</v>
      </c>
      <c r="M18" s="2673"/>
    </row>
    <row r="19" spans="1:13" s="2697" customFormat="1" ht="15" customHeight="1">
      <c r="A19" s="2690" t="s">
        <v>2508</v>
      </c>
      <c r="C19" s="2673"/>
      <c r="M19" s="2673"/>
    </row>
    <row r="20" spans="1:13" s="2697" customFormat="1" ht="15" customHeight="1">
      <c r="A20" s="2690" t="s">
        <v>2542</v>
      </c>
      <c r="M20" s="2673"/>
    </row>
    <row r="21" spans="1:13" s="2697" customFormat="1" ht="15" customHeight="1">
      <c r="A21" s="2690" t="s">
        <v>2489</v>
      </c>
      <c r="M21" s="2673"/>
    </row>
    <row r="22" spans="1:13" s="2697" customFormat="1" ht="15" customHeight="1">
      <c r="A22" s="2690"/>
      <c r="M22" s="2673"/>
    </row>
    <row r="23" spans="1:13" s="2697" customFormat="1" ht="15" customHeight="1">
      <c r="A23" s="2690"/>
    </row>
    <row r="26" spans="1:13" ht="15" customHeight="1">
      <c r="H26" s="2673"/>
    </row>
    <row r="34" spans="3:7" ht="15" customHeight="1">
      <c r="C34" s="2677" t="s">
        <v>2512</v>
      </c>
      <c r="D34" s="2678" t="s">
        <v>2058</v>
      </c>
    </row>
    <row r="35" spans="3:7" ht="15" customHeight="1">
      <c r="C35" s="2696" t="s">
        <v>2515</v>
      </c>
      <c r="D35" s="2696">
        <v>50</v>
      </c>
      <c r="E35" s="2697"/>
    </row>
    <row r="36" spans="3:7" ht="15" customHeight="1">
      <c r="C36" s="2696" t="s">
        <v>2518</v>
      </c>
      <c r="D36" s="2696">
        <v>20</v>
      </c>
      <c r="E36" s="2697"/>
    </row>
    <row r="37" spans="3:7" ht="15" customHeight="1">
      <c r="C37" s="2696" t="s">
        <v>2521</v>
      </c>
      <c r="D37" s="2696">
        <v>60</v>
      </c>
      <c r="E37" s="2697"/>
    </row>
    <row r="38" spans="3:7" ht="15" customHeight="1">
      <c r="C38" s="2696" t="s">
        <v>2523</v>
      </c>
      <c r="D38" s="2696">
        <v>40</v>
      </c>
      <c r="E38" s="2697"/>
    </row>
    <row r="39" spans="3:7" ht="15" customHeight="1">
      <c r="C39" s="2700" t="s">
        <v>2526</v>
      </c>
      <c r="D39" s="2704">
        <f>SUM(D35:D38)</f>
        <v>170</v>
      </c>
      <c r="E39" s="2697"/>
      <c r="F39" s="2697"/>
      <c r="G39" s="2697"/>
    </row>
    <row r="44" spans="3:7" ht="15" customHeight="1">
      <c r="C44" s="2677" t="s">
        <v>2528</v>
      </c>
      <c r="D44" s="2678" t="s">
        <v>2058</v>
      </c>
      <c r="E44" s="2697"/>
    </row>
    <row r="45" spans="3:7" ht="15" customHeight="1">
      <c r="C45" s="2696" t="s">
        <v>2543</v>
      </c>
      <c r="D45" s="2696">
        <v>20</v>
      </c>
      <c r="E45" s="2697"/>
    </row>
    <row r="46" spans="3:7" ht="15" customHeight="1">
      <c r="C46" s="2696" t="s">
        <v>2544</v>
      </c>
      <c r="D46" s="2696">
        <v>10</v>
      </c>
      <c r="E46" s="2697"/>
    </row>
    <row r="47" spans="3:7" ht="15" customHeight="1">
      <c r="C47" s="2696" t="s">
        <v>2545</v>
      </c>
      <c r="D47" s="2696">
        <v>10</v>
      </c>
      <c r="E47" s="2697"/>
    </row>
    <row r="48" spans="3:7" ht="15" customHeight="1">
      <c r="C48" s="2696" t="s">
        <v>2546</v>
      </c>
      <c r="D48" s="2696">
        <v>40</v>
      </c>
      <c r="E48" s="2697"/>
    </row>
    <row r="50" spans="4:7" ht="15" customHeight="1">
      <c r="D50" s="2678" t="s">
        <v>2547</v>
      </c>
      <c r="F50" s="2678" t="s">
        <v>2548</v>
      </c>
      <c r="G50" s="2678" t="s">
        <v>2549</v>
      </c>
    </row>
    <row r="51" spans="4:7" ht="15" customHeight="1">
      <c r="D51" s="2705">
        <f>SUM(D45:D48,100)</f>
        <v>180</v>
      </c>
      <c r="F51" s="2706">
        <v>100</v>
      </c>
      <c r="G51" s="2706">
        <f>SUM(D45:D48,F51)</f>
        <v>180</v>
      </c>
    </row>
  </sheetData>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46"/>
  <sheetViews>
    <sheetView showGridLines="0" workbookViewId="0">
      <selection activeCell="D32" sqref="D32"/>
    </sheetView>
  </sheetViews>
  <sheetFormatPr baseColWidth="10" defaultColWidth="7.75" defaultRowHeight="15"/>
  <cols>
    <col min="1" max="1" width="11.125" style="2672" customWidth="1"/>
    <col min="2" max="2" width="72.5" style="2707" customWidth="1"/>
    <col min="3" max="3" width="12" style="2690" customWidth="1"/>
    <col min="4" max="4" width="11.625" style="2707" customWidth="1"/>
    <col min="5" max="5" width="2" style="2707" customWidth="1"/>
    <col min="6" max="6" width="11.625" style="2714" customWidth="1"/>
    <col min="7" max="7" width="11.625" style="2707" customWidth="1"/>
    <col min="8" max="16384" width="7.75" style="2707"/>
  </cols>
  <sheetData>
    <row r="1" spans="1:10" ht="60" customHeight="1">
      <c r="A1" s="2672" t="s">
        <v>2550</v>
      </c>
      <c r="C1" s="2674"/>
      <c r="D1" s="2708"/>
      <c r="E1" s="2708"/>
      <c r="F1" s="2708"/>
      <c r="G1" s="2708"/>
    </row>
    <row r="2" spans="1:10" ht="15" customHeight="1">
      <c r="A2" s="2672" t="s">
        <v>2551</v>
      </c>
      <c r="C2" s="2677" t="s">
        <v>2512</v>
      </c>
      <c r="D2" s="2678" t="s">
        <v>2058</v>
      </c>
      <c r="E2" s="2709"/>
      <c r="F2" s="2710" t="s">
        <v>2513</v>
      </c>
      <c r="G2" s="2678" t="s">
        <v>2058</v>
      </c>
      <c r="J2" s="2711"/>
    </row>
    <row r="3" spans="1:10" ht="15" customHeight="1">
      <c r="A3" s="2672" t="s">
        <v>2552</v>
      </c>
      <c r="C3" s="2712" t="s">
        <v>2515</v>
      </c>
      <c r="D3" s="2713">
        <v>50</v>
      </c>
      <c r="E3" s="2709"/>
      <c r="F3" s="2712" t="s">
        <v>2516</v>
      </c>
      <c r="G3" s="2713">
        <v>50</v>
      </c>
      <c r="J3" s="2711"/>
    </row>
    <row r="4" spans="1:10" ht="15" customHeight="1">
      <c r="A4" s="2672" t="s">
        <v>2553</v>
      </c>
      <c r="C4" s="2712" t="s">
        <v>2518</v>
      </c>
      <c r="D4" s="2713">
        <v>20</v>
      </c>
      <c r="E4" s="2709"/>
      <c r="F4" s="2712" t="s">
        <v>2519</v>
      </c>
      <c r="G4" s="2713">
        <v>30</v>
      </c>
      <c r="J4" s="2711"/>
    </row>
    <row r="5" spans="1:10" s="2714" customFormat="1" ht="15" customHeight="1">
      <c r="A5" s="2672" t="s">
        <v>2554</v>
      </c>
      <c r="C5" s="2712" t="s">
        <v>2521</v>
      </c>
      <c r="D5" s="2713">
        <v>60</v>
      </c>
      <c r="E5" s="2709"/>
      <c r="F5" s="2712" t="s">
        <v>2522</v>
      </c>
      <c r="G5" s="2713">
        <v>10</v>
      </c>
      <c r="J5" s="2711"/>
    </row>
    <row r="6" spans="1:10" s="2714" customFormat="1" ht="15" customHeight="1">
      <c r="A6" s="2672" t="s">
        <v>2555</v>
      </c>
      <c r="C6" s="2712" t="s">
        <v>2523</v>
      </c>
      <c r="D6" s="2713">
        <v>40</v>
      </c>
      <c r="E6" s="2709"/>
      <c r="F6" s="2712" t="s">
        <v>2524</v>
      </c>
      <c r="G6" s="2713">
        <v>50</v>
      </c>
      <c r="J6" s="2711"/>
    </row>
    <row r="7" spans="1:10" s="2714" customFormat="1" ht="15" customHeight="1">
      <c r="A7" s="2672" t="s">
        <v>2556</v>
      </c>
      <c r="C7" s="2715" t="s">
        <v>2557</v>
      </c>
      <c r="D7" s="2716"/>
      <c r="E7" s="2709"/>
      <c r="F7" s="2715" t="s">
        <v>2557</v>
      </c>
      <c r="G7" s="2716"/>
      <c r="J7" s="2711"/>
    </row>
    <row r="8" spans="1:10" s="2714" customFormat="1" ht="15" customHeight="1">
      <c r="A8" s="2672" t="s">
        <v>2558</v>
      </c>
      <c r="D8" s="2709"/>
      <c r="E8" s="2709"/>
      <c r="G8" s="2709"/>
      <c r="J8" s="2711"/>
    </row>
    <row r="9" spans="1:10" s="2714" customFormat="1" ht="15" customHeight="1">
      <c r="A9" s="2672" t="s">
        <v>2559</v>
      </c>
      <c r="C9" s="2677" t="s">
        <v>2528</v>
      </c>
      <c r="D9" s="2678" t="s">
        <v>2058</v>
      </c>
      <c r="E9" s="2709"/>
      <c r="F9" s="2710" t="s">
        <v>2528</v>
      </c>
      <c r="G9" s="2678" t="s">
        <v>2058</v>
      </c>
      <c r="J9" s="2711"/>
    </row>
    <row r="10" spans="1:10" s="2714" customFormat="1" ht="15" customHeight="1">
      <c r="A10" s="2672" t="s">
        <v>2560</v>
      </c>
      <c r="C10" s="2712" t="s">
        <v>2530</v>
      </c>
      <c r="D10" s="2713">
        <v>50</v>
      </c>
      <c r="E10" s="2709"/>
      <c r="F10" s="2712" t="s">
        <v>2530</v>
      </c>
      <c r="G10" s="2713">
        <v>50</v>
      </c>
      <c r="J10" s="2711"/>
    </row>
    <row r="11" spans="1:10" s="2714" customFormat="1" ht="15" customHeight="1">
      <c r="A11" s="2672" t="s">
        <v>2561</v>
      </c>
      <c r="C11" s="2712" t="s">
        <v>2532</v>
      </c>
      <c r="D11" s="2713">
        <v>100</v>
      </c>
      <c r="E11" s="2709"/>
      <c r="F11" s="2712" t="s">
        <v>2532</v>
      </c>
      <c r="G11" s="2713">
        <v>100</v>
      </c>
      <c r="J11" s="2711"/>
    </row>
    <row r="12" spans="1:10" s="2714" customFormat="1" ht="15" customHeight="1">
      <c r="A12" s="2672" t="s">
        <v>2562</v>
      </c>
      <c r="C12" s="2712" t="s">
        <v>2534</v>
      </c>
      <c r="D12" s="2713">
        <v>40</v>
      </c>
      <c r="E12" s="2709"/>
      <c r="F12" s="2712" t="s">
        <v>2534</v>
      </c>
      <c r="G12" s="2713">
        <v>40</v>
      </c>
      <c r="J12" s="2711"/>
    </row>
    <row r="13" spans="1:10" s="2714" customFormat="1" ht="15" customHeight="1">
      <c r="A13" s="2672" t="s">
        <v>2563</v>
      </c>
      <c r="C13" s="2712" t="s">
        <v>2536</v>
      </c>
      <c r="D13" s="2713">
        <v>50</v>
      </c>
      <c r="E13" s="2709"/>
      <c r="F13" s="2712" t="s">
        <v>2536</v>
      </c>
      <c r="G13" s="2713">
        <v>50</v>
      </c>
      <c r="J13" s="2711"/>
    </row>
    <row r="14" spans="1:10" s="2714" customFormat="1" ht="15" customHeight="1" thickBot="1">
      <c r="A14" s="2672" t="s">
        <v>2564</v>
      </c>
      <c r="C14" s="2712" t="s">
        <v>4</v>
      </c>
      <c r="D14" s="2713">
        <v>20</v>
      </c>
      <c r="E14" s="2709"/>
      <c r="F14" s="2712" t="s">
        <v>4</v>
      </c>
      <c r="G14" s="2713">
        <v>20</v>
      </c>
    </row>
    <row r="15" spans="1:10" s="2714" customFormat="1" ht="15" customHeight="1" thickTop="1" thickBot="1">
      <c r="A15" s="2672"/>
      <c r="C15" s="2715" t="s">
        <v>2557</v>
      </c>
      <c r="D15" s="2716"/>
      <c r="E15" s="2709"/>
      <c r="G15" s="2679"/>
    </row>
    <row r="16" spans="1:10" s="2714" customFormat="1" ht="15" customHeight="1" thickTop="1">
      <c r="A16" s="2672"/>
    </row>
    <row r="17" spans="1:3" s="2714" customFormat="1" ht="15" customHeight="1">
      <c r="A17" s="2672"/>
      <c r="C17" s="2690"/>
    </row>
    <row r="18" spans="1:3" s="2714" customFormat="1" ht="15" customHeight="1">
      <c r="A18" s="2672"/>
      <c r="C18" s="2690"/>
    </row>
    <row r="19" spans="1:3" s="2714" customFormat="1" ht="15" customHeight="1">
      <c r="A19" s="2672"/>
      <c r="C19" s="2690"/>
    </row>
    <row r="20" spans="1:3" s="2714" customFormat="1" ht="15" customHeight="1">
      <c r="A20" s="2672"/>
      <c r="C20" s="2690"/>
    </row>
    <row r="21" spans="1:3" s="2714" customFormat="1" ht="15" customHeight="1">
      <c r="A21" s="2672"/>
      <c r="C21" s="2690"/>
    </row>
    <row r="22" spans="1:3" s="2714" customFormat="1" ht="15" customHeight="1">
      <c r="A22" s="2672"/>
      <c r="C22" s="2690"/>
    </row>
    <row r="23" spans="1:3" s="2714" customFormat="1" ht="15" customHeight="1">
      <c r="A23" s="2672"/>
      <c r="C23" s="2690"/>
    </row>
    <row r="24" spans="1:3" s="2714" customFormat="1" ht="15" customHeight="1">
      <c r="A24" s="2672"/>
      <c r="C24" s="2690"/>
    </row>
    <row r="25" spans="1:3" s="2714" customFormat="1" ht="15" customHeight="1">
      <c r="A25" s="2672"/>
      <c r="C25" s="2690"/>
    </row>
    <row r="26" spans="1:3" s="2714" customFormat="1" ht="15" customHeight="1">
      <c r="A26" s="2672"/>
      <c r="C26" s="2690"/>
    </row>
    <row r="29" spans="1:3" ht="15" customHeight="1"/>
    <row r="30" spans="1:3" ht="15" customHeight="1"/>
    <row r="31" spans="1:3" ht="15" customHeight="1"/>
    <row r="32" spans="1:3" ht="15" customHeight="1"/>
    <row r="33" ht="15" customHeight="1"/>
    <row r="34" ht="15" customHeight="1"/>
    <row r="35" ht="15" customHeight="1"/>
    <row r="41" ht="15" customHeight="1"/>
    <row r="42" ht="15" customHeight="1"/>
    <row r="43" ht="15" customHeight="1"/>
    <row r="44" ht="15" customHeight="1"/>
    <row r="45" ht="15" customHeight="1"/>
    <row r="46" ht="15" customHeight="1"/>
  </sheetData>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4"/>
  <sheetViews>
    <sheetView showGridLines="0" workbookViewId="0">
      <selection activeCell="L7" sqref="L7"/>
    </sheetView>
  </sheetViews>
  <sheetFormatPr baseColWidth="10" defaultColWidth="7.75" defaultRowHeight="15"/>
  <cols>
    <col min="1" max="1" width="11.125" style="2717" customWidth="1"/>
    <col min="2" max="2" width="72.5" style="2707" customWidth="1"/>
    <col min="3" max="3" width="12" style="2707" bestFit="1" customWidth="1"/>
    <col min="4" max="4" width="11.625" style="2714" customWidth="1"/>
    <col min="5" max="5" width="2" style="2707" customWidth="1"/>
    <col min="6" max="7" width="11.625" style="2707" customWidth="1"/>
    <col min="8" max="16384" width="7.75" style="2707"/>
  </cols>
  <sheetData>
    <row r="1" spans="1:8" ht="60" customHeight="1">
      <c r="A1" s="2717" t="s">
        <v>2565</v>
      </c>
      <c r="C1" s="2674"/>
      <c r="D1" s="2708"/>
      <c r="E1" s="2708"/>
      <c r="F1" s="2708"/>
      <c r="G1" s="2708"/>
    </row>
    <row r="2" spans="1:8" ht="15" customHeight="1">
      <c r="A2" s="2718" t="s">
        <v>2566</v>
      </c>
      <c r="C2" s="2677" t="s">
        <v>2512</v>
      </c>
      <c r="D2" s="2678" t="s">
        <v>2058</v>
      </c>
      <c r="E2" s="2709"/>
      <c r="F2" s="2710" t="s">
        <v>2513</v>
      </c>
      <c r="G2" s="2678" t="s">
        <v>2058</v>
      </c>
      <c r="H2" s="2711"/>
    </row>
    <row r="3" spans="1:8" ht="15" customHeight="1">
      <c r="A3" s="2718" t="s">
        <v>2567</v>
      </c>
      <c r="C3" s="2682" t="s">
        <v>2515</v>
      </c>
      <c r="D3" s="2713">
        <v>50</v>
      </c>
      <c r="E3" s="2709"/>
      <c r="F3" s="2712" t="s">
        <v>2516</v>
      </c>
      <c r="G3" s="2713">
        <v>50</v>
      </c>
      <c r="H3" s="2711"/>
    </row>
    <row r="4" spans="1:8" ht="15" customHeight="1">
      <c r="A4" s="2719" t="s">
        <v>2568</v>
      </c>
      <c r="C4" s="2682" t="s">
        <v>2518</v>
      </c>
      <c r="D4" s="2713">
        <v>20</v>
      </c>
      <c r="E4" s="2709"/>
      <c r="F4" s="2712" t="s">
        <v>2519</v>
      </c>
      <c r="G4" s="2713">
        <v>30</v>
      </c>
      <c r="H4" s="2711"/>
    </row>
    <row r="5" spans="1:8" s="2714" customFormat="1" ht="15" customHeight="1">
      <c r="A5" s="2719" t="s">
        <v>2569</v>
      </c>
      <c r="C5" s="2682" t="s">
        <v>2521</v>
      </c>
      <c r="D5" s="2713">
        <v>60</v>
      </c>
      <c r="E5" s="2709"/>
      <c r="F5" s="2712" t="s">
        <v>2522</v>
      </c>
      <c r="G5" s="2713">
        <v>10</v>
      </c>
      <c r="H5" s="2711"/>
    </row>
    <row r="6" spans="1:8" s="2714" customFormat="1" ht="15" customHeight="1">
      <c r="A6" s="2719" t="s">
        <v>2570</v>
      </c>
      <c r="C6" s="2682" t="s">
        <v>2523</v>
      </c>
      <c r="D6" s="2713">
        <v>40</v>
      </c>
      <c r="E6" s="2709"/>
      <c r="F6" s="2712" t="s">
        <v>2524</v>
      </c>
      <c r="G6" s="2713">
        <v>50</v>
      </c>
      <c r="H6" s="2711"/>
    </row>
    <row r="7" spans="1:8" s="2714" customFormat="1" ht="15" customHeight="1">
      <c r="A7" s="2720" t="s">
        <v>2571</v>
      </c>
      <c r="C7" s="2715" t="s">
        <v>2572</v>
      </c>
      <c r="D7" s="2716"/>
      <c r="E7" s="2709"/>
      <c r="F7" s="2715" t="s">
        <v>2573</v>
      </c>
      <c r="G7" s="2716"/>
      <c r="H7" s="2711"/>
    </row>
    <row r="8" spans="1:8" s="2714" customFormat="1" ht="15" customHeight="1">
      <c r="A8" s="2721" t="s">
        <v>2574</v>
      </c>
      <c r="D8" s="2709"/>
      <c r="E8" s="2709"/>
      <c r="G8" s="2709"/>
      <c r="H8" s="2711"/>
    </row>
    <row r="9" spans="1:8" s="2714" customFormat="1" ht="15" customHeight="1">
      <c r="A9" s="2721" t="s">
        <v>2574</v>
      </c>
      <c r="C9" s="2677" t="s">
        <v>2528</v>
      </c>
      <c r="D9" s="2678" t="s">
        <v>2058</v>
      </c>
      <c r="E9" s="2709"/>
      <c r="F9" s="2710" t="s">
        <v>2528</v>
      </c>
      <c r="G9" s="2678" t="s">
        <v>2058</v>
      </c>
      <c r="H9" s="2711"/>
    </row>
    <row r="10" spans="1:8" s="2714" customFormat="1" ht="15" customHeight="1">
      <c r="A10" s="2718" t="s">
        <v>2508</v>
      </c>
      <c r="C10" s="2682" t="s">
        <v>2530</v>
      </c>
      <c r="D10" s="2713">
        <v>50</v>
      </c>
      <c r="E10" s="2709"/>
      <c r="F10" s="2712" t="s">
        <v>2530</v>
      </c>
      <c r="G10" s="2713">
        <v>50</v>
      </c>
      <c r="H10" s="2711"/>
    </row>
    <row r="11" spans="1:8" s="2714" customFormat="1" ht="15" customHeight="1">
      <c r="A11" s="2720" t="s">
        <v>2575</v>
      </c>
      <c r="C11" s="2682" t="s">
        <v>2532</v>
      </c>
      <c r="D11" s="2713">
        <v>100</v>
      </c>
      <c r="E11" s="2709"/>
      <c r="F11" s="2712" t="s">
        <v>2532</v>
      </c>
      <c r="G11" s="2713">
        <v>100</v>
      </c>
      <c r="H11" s="2711"/>
    </row>
    <row r="12" spans="1:8" s="2714" customFormat="1" ht="15" customHeight="1">
      <c r="A12" s="2721"/>
      <c r="C12" s="2682" t="s">
        <v>2534</v>
      </c>
      <c r="D12" s="2713">
        <v>40</v>
      </c>
      <c r="E12" s="2709"/>
      <c r="F12" s="2712" t="s">
        <v>2534</v>
      </c>
      <c r="G12" s="2713">
        <v>40</v>
      </c>
      <c r="H12" s="2711"/>
    </row>
    <row r="13" spans="1:8" s="2714" customFormat="1" ht="15" customHeight="1">
      <c r="A13" s="2721"/>
      <c r="C13" s="2682" t="s">
        <v>2536</v>
      </c>
      <c r="D13" s="2713">
        <v>50</v>
      </c>
      <c r="E13" s="2709"/>
      <c r="F13" s="2712" t="s">
        <v>2536</v>
      </c>
      <c r="G13" s="2713">
        <v>50</v>
      </c>
      <c r="H13" s="2711"/>
    </row>
    <row r="14" spans="1:8" s="2714" customFormat="1" ht="15" customHeight="1">
      <c r="A14" s="2721"/>
      <c r="C14" s="2682" t="s">
        <v>4</v>
      </c>
      <c r="D14" s="2713">
        <v>20</v>
      </c>
      <c r="E14" s="2709"/>
      <c r="F14" s="2712" t="s">
        <v>4</v>
      </c>
      <c r="G14" s="2713">
        <v>20</v>
      </c>
    </row>
    <row r="15" spans="1:8" s="2714" customFormat="1" ht="15" customHeight="1">
      <c r="A15" s="2717"/>
      <c r="C15" s="2715" t="s">
        <v>2576</v>
      </c>
      <c r="D15" s="2716"/>
      <c r="E15" s="2709"/>
      <c r="F15" s="2715"/>
      <c r="G15" s="2716">
        <f>MIN(G10:G14,10)</f>
        <v>10</v>
      </c>
    </row>
    <row r="16" spans="1:8" s="2714" customFormat="1" ht="15" customHeight="1">
      <c r="A16" s="2717"/>
    </row>
    <row r="17" spans="1:1" s="2714" customFormat="1" ht="15" customHeight="1">
      <c r="A17" s="2717"/>
    </row>
    <row r="18" spans="1:1" s="2714" customFormat="1" ht="15" customHeight="1">
      <c r="A18" s="2722"/>
    </row>
    <row r="19" spans="1:1" s="2714" customFormat="1" ht="15" customHeight="1">
      <c r="A19" s="2718"/>
    </row>
    <row r="20" spans="1:1" s="2714" customFormat="1" ht="15" customHeight="1">
      <c r="A20" s="2717"/>
    </row>
    <row r="21" spans="1:1" s="2714" customFormat="1" ht="15" customHeight="1">
      <c r="A21" s="2718"/>
    </row>
    <row r="22" spans="1:1" s="2714" customFormat="1" ht="15" customHeight="1">
      <c r="A22" s="2718"/>
    </row>
    <row r="23" spans="1:1" s="2714" customFormat="1" ht="15" customHeight="1">
      <c r="A23" s="2718"/>
    </row>
    <row r="24" spans="1:1" s="2714" customFormat="1" ht="15" customHeight="1">
      <c r="A24" s="2718"/>
    </row>
    <row r="25" spans="1:1" s="2714" customFormat="1" ht="15" customHeight="1">
      <c r="A25" s="2718"/>
    </row>
    <row r="27" spans="1:1" ht="15" customHeight="1"/>
    <row r="28" spans="1:1" ht="15" customHeight="1"/>
    <row r="29" spans="1:1" ht="15" customHeight="1"/>
    <row r="30" spans="1:1" ht="15" customHeight="1"/>
    <row r="31" spans="1:1" ht="15" customHeight="1"/>
    <row r="32" spans="1:1" ht="15" customHeight="1"/>
    <row r="33" ht="15" customHeight="1"/>
    <row r="39" ht="15" customHeight="1"/>
    <row r="40" ht="15" customHeight="1"/>
    <row r="41" ht="15" customHeight="1"/>
    <row r="42" ht="15" customHeight="1"/>
    <row r="43" ht="15" customHeight="1"/>
    <row r="44" ht="15" customHeight="1"/>
  </sheetData>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43"/>
  <sheetViews>
    <sheetView workbookViewId="0">
      <selection activeCell="O5" sqref="O5"/>
    </sheetView>
  </sheetViews>
  <sheetFormatPr baseColWidth="10" defaultRowHeight="12.75"/>
  <cols>
    <col min="1" max="1" width="3.125" style="2134" customWidth="1"/>
    <col min="2" max="3" width="11" style="2134"/>
    <col min="4" max="4" width="16.375" style="2134" customWidth="1"/>
    <col min="5" max="17" width="11" style="2134"/>
    <col min="18" max="18" width="17.875" style="2134" customWidth="1"/>
    <col min="19" max="16384" width="11" style="2134"/>
  </cols>
  <sheetData>
    <row r="2" spans="1:32" ht="12.75" customHeight="1">
      <c r="B2" s="4659" t="s">
        <v>2043</v>
      </c>
      <c r="C2" s="4660"/>
      <c r="D2" s="4660"/>
      <c r="E2" s="4660"/>
      <c r="F2" s="4660"/>
      <c r="G2" s="4660"/>
      <c r="H2" s="4661"/>
    </row>
    <row r="3" spans="1:32" ht="12.75" customHeight="1">
      <c r="B3" s="4662"/>
      <c r="C3" s="4663"/>
      <c r="D3" s="4663"/>
      <c r="E3" s="4663"/>
      <c r="F3" s="4663"/>
      <c r="G3" s="4663"/>
      <c r="H3" s="4664"/>
    </row>
    <row r="4" spans="1:32" ht="12.75" customHeight="1">
      <c r="B4" s="4662"/>
      <c r="C4" s="4663"/>
      <c r="D4" s="4663"/>
      <c r="E4" s="4663"/>
      <c r="F4" s="4663"/>
      <c r="G4" s="4663"/>
      <c r="H4" s="4664"/>
    </row>
    <row r="5" spans="1:32" ht="12.75" customHeight="1">
      <c r="B5" s="4662"/>
      <c r="C5" s="4663"/>
      <c r="D5" s="4663"/>
      <c r="E5" s="4663"/>
      <c r="F5" s="4663"/>
      <c r="G5" s="4663"/>
      <c r="H5" s="4664"/>
    </row>
    <row r="6" spans="1:32" ht="12.75" customHeight="1">
      <c r="B6" s="4665"/>
      <c r="C6" s="4666"/>
      <c r="D6" s="4666"/>
      <c r="E6" s="4666"/>
      <c r="F6" s="4666"/>
      <c r="G6" s="4666"/>
      <c r="H6" s="4667"/>
    </row>
    <row r="7" spans="1:32" ht="13.5" thickBot="1"/>
    <row r="8" spans="1:32" ht="15" customHeight="1">
      <c r="A8" s="4668" t="s">
        <v>70</v>
      </c>
      <c r="B8" s="4670" t="s">
        <v>2044</v>
      </c>
      <c r="C8" s="4670"/>
      <c r="D8" s="4670"/>
      <c r="E8" s="4670"/>
      <c r="F8" s="4670"/>
      <c r="G8" s="4670"/>
      <c r="H8" s="4671"/>
      <c r="J8" s="4676" t="s">
        <v>2112</v>
      </c>
      <c r="K8" s="4677"/>
      <c r="L8" s="4677"/>
      <c r="M8" s="4677"/>
      <c r="N8" s="2135"/>
      <c r="O8" s="2135"/>
      <c r="P8" s="2135"/>
      <c r="Q8" s="2136"/>
      <c r="S8" s="4674" t="s">
        <v>70</v>
      </c>
      <c r="T8" s="4655" t="s">
        <v>2418</v>
      </c>
      <c r="U8" s="4655"/>
      <c r="V8" s="4655"/>
      <c r="W8" s="4655"/>
      <c r="X8" s="4655"/>
      <c r="Y8" s="4655"/>
      <c r="Z8" s="4655"/>
      <c r="AA8" s="4655"/>
      <c r="AB8" s="4655"/>
      <c r="AC8" s="4655"/>
      <c r="AD8" s="4655"/>
      <c r="AE8" s="4656"/>
    </row>
    <row r="9" spans="1:32" ht="15" customHeight="1">
      <c r="A9" s="4669"/>
      <c r="B9" s="4672"/>
      <c r="C9" s="4672"/>
      <c r="D9" s="4672"/>
      <c r="E9" s="4672"/>
      <c r="F9" s="4672"/>
      <c r="G9" s="4672"/>
      <c r="H9" s="4673"/>
      <c r="J9" s="2137"/>
      <c r="K9" s="2138"/>
      <c r="L9" s="2139"/>
      <c r="M9" s="2139"/>
      <c r="N9" s="2139"/>
      <c r="O9" s="2139"/>
      <c r="P9" s="2139"/>
      <c r="Q9" s="2140"/>
      <c r="S9" s="4675"/>
      <c r="T9" s="4657"/>
      <c r="U9" s="4657"/>
      <c r="V9" s="4657"/>
      <c r="W9" s="4657"/>
      <c r="X9" s="4657"/>
      <c r="Y9" s="4657"/>
      <c r="Z9" s="4657"/>
      <c r="AA9" s="4657"/>
      <c r="AB9" s="4657"/>
      <c r="AC9" s="4657"/>
      <c r="AD9" s="4657"/>
      <c r="AE9" s="4658"/>
    </row>
    <row r="10" spans="1:32" s="2142" customFormat="1" ht="15" customHeight="1">
      <c r="A10" s="4678" t="s">
        <v>2046</v>
      </c>
      <c r="B10" s="4687" t="s">
        <v>2045</v>
      </c>
      <c r="C10" s="4687"/>
      <c r="D10" s="4687"/>
      <c r="E10" s="2141"/>
      <c r="F10" s="2141"/>
      <c r="H10" s="2143"/>
      <c r="J10" s="2144"/>
      <c r="K10" s="2145" t="s">
        <v>2047</v>
      </c>
      <c r="L10" s="2146"/>
      <c r="M10" s="2146"/>
      <c r="N10" s="2146"/>
      <c r="O10" s="2146"/>
      <c r="P10" s="2146"/>
      <c r="Q10" s="2147"/>
      <c r="S10" s="4678" t="s">
        <v>2046</v>
      </c>
      <c r="T10" s="2148" t="s">
        <v>2048</v>
      </c>
      <c r="U10" s="2149" t="s">
        <v>2049</v>
      </c>
      <c r="V10" s="2149"/>
      <c r="W10" s="2150"/>
      <c r="X10" s="2151"/>
      <c r="Y10" s="2151"/>
      <c r="Z10" s="2151"/>
      <c r="AA10" s="2151"/>
      <c r="AB10" s="2151"/>
      <c r="AC10" s="2151"/>
      <c r="AD10" s="2151"/>
      <c r="AE10" s="2152"/>
      <c r="AF10" s="2134"/>
    </row>
    <row r="11" spans="1:32" s="2142" customFormat="1" ht="15" customHeight="1" thickBot="1">
      <c r="A11" s="4678"/>
      <c r="B11" s="2153" t="s">
        <v>2050</v>
      </c>
      <c r="C11" s="2154"/>
      <c r="D11" s="2154"/>
      <c r="E11" s="2154"/>
      <c r="F11" s="2155"/>
      <c r="G11" s="2155" t="s">
        <v>2051</v>
      </c>
      <c r="H11" s="2156"/>
      <c r="J11" s="2157"/>
      <c r="K11" s="2146" t="s">
        <v>2052</v>
      </c>
      <c r="L11" s="2146"/>
      <c r="M11" s="2146"/>
      <c r="N11" s="2146"/>
      <c r="O11" s="2146"/>
      <c r="P11" s="2146"/>
      <c r="Q11" s="2147"/>
      <c r="S11" s="4678"/>
      <c r="T11" s="2158"/>
      <c r="U11" s="2159"/>
      <c r="V11" s="2159"/>
      <c r="W11" s="2160"/>
      <c r="X11" s="2160"/>
      <c r="Y11" s="2160"/>
      <c r="Z11" s="2160"/>
      <c r="AA11" s="2160"/>
      <c r="AB11" s="2160"/>
      <c r="AC11" s="2160"/>
      <c r="AD11" s="2160"/>
      <c r="AE11" s="2161"/>
      <c r="AF11" s="2134"/>
    </row>
    <row r="12" spans="1:32" s="2142" customFormat="1" ht="15" customHeight="1">
      <c r="A12" s="4678"/>
      <c r="B12" s="2162">
        <v>6</v>
      </c>
      <c r="C12" s="2163"/>
      <c r="D12" s="2163"/>
      <c r="E12" s="2164"/>
      <c r="F12" s="2165"/>
      <c r="G12" s="4680">
        <v>7</v>
      </c>
      <c r="H12" s="4681" t="s">
        <v>41</v>
      </c>
      <c r="J12" s="2137"/>
      <c r="K12" s="2146"/>
      <c r="L12" s="2146" t="s">
        <v>2053</v>
      </c>
      <c r="M12" s="2146"/>
      <c r="N12" s="2146"/>
      <c r="O12" s="2146"/>
      <c r="P12" s="2146"/>
      <c r="Q12" s="2147"/>
      <c r="S12" s="4678"/>
      <c r="T12" s="2166" t="s">
        <v>679</v>
      </c>
      <c r="U12" s="2167" t="s">
        <v>2054</v>
      </c>
      <c r="V12" s="2168"/>
      <c r="W12" s="2168" t="s">
        <v>2055</v>
      </c>
      <c r="X12" s="2160"/>
      <c r="Y12" s="2160"/>
      <c r="Z12" s="2160"/>
      <c r="AA12" s="2160"/>
      <c r="AB12" s="2160"/>
      <c r="AC12" s="2160"/>
      <c r="AD12" s="2160"/>
      <c r="AE12" s="2161"/>
      <c r="AF12" s="2134"/>
    </row>
    <row r="13" spans="1:32" s="2142" customFormat="1" ht="15" customHeight="1" thickBot="1">
      <c r="A13" s="4678"/>
      <c r="B13" s="2169" t="s">
        <v>41</v>
      </c>
      <c r="C13" s="2163"/>
      <c r="D13" s="2163"/>
      <c r="E13" s="2164"/>
      <c r="F13" s="2165"/>
      <c r="G13" s="4680"/>
      <c r="H13" s="4681"/>
      <c r="J13" s="2137"/>
      <c r="K13" s="2146"/>
      <c r="L13" s="2146" t="s">
        <v>2056</v>
      </c>
      <c r="M13" s="2146"/>
      <c r="N13" s="2146"/>
      <c r="O13" s="2146"/>
      <c r="P13" s="2146"/>
      <c r="Q13" s="2147"/>
      <c r="S13" s="4678"/>
      <c r="T13" s="2170"/>
      <c r="U13" s="2167"/>
      <c r="V13" s="2168"/>
      <c r="W13" s="2159"/>
      <c r="X13" s="2160"/>
      <c r="Y13" s="2160"/>
      <c r="Z13" s="2160"/>
      <c r="AA13" s="2160"/>
      <c r="AB13" s="2160"/>
      <c r="AC13" s="2160"/>
      <c r="AD13" s="2160"/>
      <c r="AE13" s="2161"/>
      <c r="AF13" s="2134"/>
    </row>
    <row r="14" spans="1:32" s="2142" customFormat="1" ht="15" customHeight="1">
      <c r="A14" s="4678"/>
      <c r="B14" s="2171"/>
      <c r="C14" s="2172" t="s">
        <v>734</v>
      </c>
      <c r="D14" s="2172" t="s">
        <v>2057</v>
      </c>
      <c r="E14" s="4682" t="s">
        <v>2058</v>
      </c>
      <c r="F14" s="4682"/>
      <c r="G14" s="2173"/>
      <c r="H14" s="2174"/>
      <c r="J14" s="2157"/>
      <c r="K14" s="2146" t="s">
        <v>2059</v>
      </c>
      <c r="L14" s="2146"/>
      <c r="M14" s="2146"/>
      <c r="N14" s="2146"/>
      <c r="O14" s="2146"/>
      <c r="P14" s="2146"/>
      <c r="Q14" s="2147"/>
      <c r="R14" s="2239" t="s">
        <v>594</v>
      </c>
      <c r="S14" s="4678"/>
      <c r="T14" s="2170" t="s">
        <v>677</v>
      </c>
      <c r="U14" s="2167" t="s">
        <v>2060</v>
      </c>
      <c r="V14" s="2168" t="s">
        <v>2061</v>
      </c>
      <c r="W14" s="2159"/>
      <c r="X14" s="2160"/>
      <c r="Y14" s="2160"/>
      <c r="Z14" s="2160"/>
      <c r="AA14" s="2160"/>
      <c r="AB14" s="2160"/>
      <c r="AC14" s="2160"/>
      <c r="AD14" s="2160"/>
      <c r="AE14" s="2161"/>
      <c r="AF14" s="2134"/>
    </row>
    <row r="15" spans="1:32" s="2142" customFormat="1" ht="15" customHeight="1">
      <c r="A15" s="4678"/>
      <c r="B15" s="2175" t="s">
        <v>677</v>
      </c>
      <c r="C15" s="2175" t="s">
        <v>678</v>
      </c>
      <c r="D15" s="2176" t="s">
        <v>679</v>
      </c>
      <c r="E15" s="2177"/>
      <c r="F15" s="2175"/>
      <c r="G15" s="2178"/>
      <c r="H15" s="2179"/>
      <c r="J15" s="2157"/>
      <c r="K15" s="2146"/>
      <c r="L15" s="2180"/>
      <c r="M15" s="2180" t="s">
        <v>2062</v>
      </c>
      <c r="N15" s="2181">
        <f>B12</f>
        <v>6</v>
      </c>
      <c r="O15" s="2146" t="s">
        <v>41</v>
      </c>
      <c r="P15" s="2146"/>
      <c r="Q15" s="2147"/>
      <c r="R15" s="2240" t="s">
        <v>2114</v>
      </c>
      <c r="S15" s="4678"/>
      <c r="T15" s="2170"/>
      <c r="U15" s="2167"/>
      <c r="V15" s="2182" t="s">
        <v>653</v>
      </c>
      <c r="W15" s="2159"/>
      <c r="X15" s="2160"/>
      <c r="Y15" s="2160"/>
      <c r="Z15" s="2160"/>
      <c r="AA15" s="2160"/>
      <c r="AB15" s="2160"/>
      <c r="AC15" s="2160"/>
      <c r="AD15" s="2160"/>
      <c r="AE15" s="2161"/>
      <c r="AF15" s="2134"/>
    </row>
    <row r="16" spans="1:32" s="2142" customFormat="1" ht="15" customHeight="1">
      <c r="A16" s="4678"/>
      <c r="B16" s="2183">
        <v>1.8</v>
      </c>
      <c r="C16" s="2184" t="s">
        <v>42</v>
      </c>
      <c r="D16" s="2185" t="s">
        <v>2063</v>
      </c>
      <c r="E16" s="2186">
        <f>IF(B16="","",IF(ISTEXT(B16),B16,(B16/B12)*G12))</f>
        <v>2.1</v>
      </c>
      <c r="F16" s="2187" t="str">
        <f t="shared" ref="F16:F21" si="0">IF(C16="","",C16)</f>
        <v>Kg</v>
      </c>
      <c r="G16" s="2185"/>
      <c r="H16" s="2188"/>
      <c r="J16" s="2137"/>
      <c r="K16" s="2138"/>
      <c r="L16" s="2180"/>
      <c r="M16" s="2180" t="s">
        <v>2064</v>
      </c>
      <c r="N16" s="2189">
        <f>G12</f>
        <v>7</v>
      </c>
      <c r="O16" s="2146" t="s">
        <v>41</v>
      </c>
      <c r="P16" s="2146"/>
      <c r="Q16" s="2147"/>
      <c r="S16" s="4678"/>
      <c r="T16" s="2159"/>
      <c r="U16" s="2159"/>
      <c r="V16" s="2168" t="s">
        <v>2065</v>
      </c>
      <c r="W16" s="2159"/>
      <c r="X16" s="2160"/>
      <c r="Y16" s="2160"/>
      <c r="Z16" s="2160"/>
      <c r="AA16" s="2160"/>
      <c r="AB16" s="2190"/>
      <c r="AC16" s="2168"/>
      <c r="AD16" s="2160"/>
      <c r="AE16" s="2191"/>
      <c r="AF16" s="2134"/>
    </row>
    <row r="17" spans="1:32" s="2142" customFormat="1" ht="15" customHeight="1">
      <c r="A17" s="4678"/>
      <c r="B17" s="2183">
        <v>2</v>
      </c>
      <c r="C17" s="2184" t="s">
        <v>2066</v>
      </c>
      <c r="D17" s="2185" t="s">
        <v>2067</v>
      </c>
      <c r="E17" s="2186">
        <f>IF(B17="","",IF(ISTEXT(B17),B17,(B17/B12)*G12))</f>
        <v>2.333333333333333</v>
      </c>
      <c r="F17" s="2187" t="str">
        <f t="shared" si="0"/>
        <v>C à C</v>
      </c>
      <c r="G17" s="2185"/>
      <c r="H17" s="2188"/>
      <c r="J17" s="2137"/>
      <c r="K17" s="2192" t="s">
        <v>2068</v>
      </c>
      <c r="L17" s="2146"/>
      <c r="M17" s="2146"/>
      <c r="N17" s="2146"/>
      <c r="O17" s="2146"/>
      <c r="P17" s="2146"/>
      <c r="Q17" s="2147"/>
      <c r="S17" s="4678"/>
      <c r="T17" s="2159"/>
      <c r="U17" s="2159"/>
      <c r="V17" s="2159"/>
      <c r="W17" s="2159"/>
      <c r="X17" s="2160"/>
      <c r="Y17" s="2160"/>
      <c r="Z17" s="2160"/>
      <c r="AA17" s="2160"/>
      <c r="AB17" s="2160"/>
      <c r="AC17" s="2160"/>
      <c r="AD17" s="2160"/>
      <c r="AE17" s="2161"/>
      <c r="AF17" s="2134"/>
    </row>
    <row r="18" spans="1:32" s="2142" customFormat="1" ht="15" customHeight="1" thickBot="1">
      <c r="A18" s="4678"/>
      <c r="B18" s="2183"/>
      <c r="C18" s="2184" t="s">
        <v>2069</v>
      </c>
      <c r="D18" s="2193" t="s">
        <v>404</v>
      </c>
      <c r="E18" s="2186" t="str">
        <f>IF(B18="","",IF(ISTEXT(B18),B18,(B18/B12)*G12))</f>
        <v/>
      </c>
      <c r="F18" s="2187" t="str">
        <f t="shared" si="0"/>
        <v>PM</v>
      </c>
      <c r="G18" s="2185"/>
      <c r="H18" s="2188"/>
      <c r="J18" s="2137"/>
      <c r="K18" s="4683" t="s">
        <v>2070</v>
      </c>
      <c r="L18" s="4683"/>
      <c r="M18" s="4683"/>
      <c r="N18" s="2146" t="s">
        <v>2071</v>
      </c>
      <c r="O18" s="2146"/>
      <c r="P18" s="2146"/>
      <c r="Q18" s="2147"/>
      <c r="S18" s="4678"/>
      <c r="T18" s="2170" t="s">
        <v>678</v>
      </c>
      <c r="U18" s="2167" t="s">
        <v>733</v>
      </c>
      <c r="V18" s="2190" t="s">
        <v>42</v>
      </c>
      <c r="W18" s="2190" t="s">
        <v>398</v>
      </c>
      <c r="X18" s="2190" t="s">
        <v>2072</v>
      </c>
      <c r="Y18" s="2190" t="s">
        <v>2073</v>
      </c>
      <c r="Z18" s="2168" t="s">
        <v>2074</v>
      </c>
      <c r="AA18" s="2160"/>
      <c r="AB18" s="2190" t="s">
        <v>2075</v>
      </c>
      <c r="AC18" s="2168" t="s">
        <v>2076</v>
      </c>
      <c r="AD18" s="2160"/>
      <c r="AE18" s="2161"/>
      <c r="AF18" s="2134"/>
    </row>
    <row r="19" spans="1:32" s="2142" customFormat="1" ht="15" customHeight="1">
      <c r="A19" s="4678"/>
      <c r="B19" s="2183">
        <v>3</v>
      </c>
      <c r="C19" s="2184" t="s">
        <v>2075</v>
      </c>
      <c r="D19" s="2185"/>
      <c r="E19" s="2186">
        <f>IF(B19="","",IF(ISTEXT(B19),B19,(B19/B12)*G12))</f>
        <v>3.5</v>
      </c>
      <c r="F19" s="2187" t="str">
        <f t="shared" si="0"/>
        <v>C à S</v>
      </c>
      <c r="G19" s="2185"/>
      <c r="H19" s="2188"/>
      <c r="J19" s="2137"/>
      <c r="K19" s="4684" t="s">
        <v>2077</v>
      </c>
      <c r="L19" s="4684"/>
      <c r="M19" s="4684"/>
      <c r="N19" s="2178"/>
      <c r="O19" s="2178"/>
      <c r="P19" s="2146"/>
      <c r="Q19" s="2147"/>
      <c r="S19" s="4678"/>
      <c r="T19" s="2194"/>
      <c r="U19" s="2167"/>
      <c r="V19" s="2168"/>
      <c r="W19" s="2159"/>
      <c r="X19" s="2160"/>
      <c r="Y19" s="2160"/>
      <c r="Z19" s="2160"/>
      <c r="AA19" s="2160"/>
      <c r="AB19" s="2160"/>
      <c r="AC19" s="2160"/>
      <c r="AD19" s="2160"/>
      <c r="AE19" s="2161"/>
      <c r="AF19" s="2134"/>
    </row>
    <row r="20" spans="1:32" s="2142" customFormat="1" ht="15" customHeight="1">
      <c r="A20" s="4678"/>
      <c r="B20" s="2183">
        <v>8</v>
      </c>
      <c r="C20" s="2184" t="s">
        <v>2078</v>
      </c>
      <c r="D20" s="2185" t="s">
        <v>2079</v>
      </c>
      <c r="E20" s="2186">
        <f>IF(B20="","",IF(ISTEXT(B20),B20,(B20/B12)*G12))</f>
        <v>9.3333333333333321</v>
      </c>
      <c r="F20" s="2187" t="str">
        <f t="shared" si="0"/>
        <v>pièces</v>
      </c>
      <c r="G20" s="2185"/>
      <c r="H20" s="2188"/>
      <c r="J20" s="2195" t="s">
        <v>2080</v>
      </c>
      <c r="K20" s="2178" t="s">
        <v>2081</v>
      </c>
      <c r="L20" s="2146"/>
      <c r="M20" s="2146"/>
      <c r="N20" s="2146"/>
      <c r="O20" s="2146"/>
      <c r="P20" s="2146"/>
      <c r="Q20" s="2147"/>
      <c r="S20" s="4678"/>
      <c r="T20" s="2196"/>
      <c r="U20" s="2197">
        <v>10</v>
      </c>
      <c r="V20" s="2167" t="s">
        <v>2082</v>
      </c>
      <c r="W20" s="2159"/>
      <c r="X20" s="2168" t="s">
        <v>2083</v>
      </c>
      <c r="Y20" s="2198"/>
      <c r="Z20" s="2198"/>
      <c r="AA20" s="2198"/>
      <c r="AB20" s="2198"/>
      <c r="AC20" s="2198"/>
      <c r="AD20" s="2198"/>
      <c r="AE20" s="2199"/>
      <c r="AF20" s="2134"/>
    </row>
    <row r="21" spans="1:32" s="2142" customFormat="1" ht="15" customHeight="1">
      <c r="A21" s="4678"/>
      <c r="B21" s="2183">
        <v>1</v>
      </c>
      <c r="C21" s="2184" t="s">
        <v>2084</v>
      </c>
      <c r="D21" s="2185"/>
      <c r="E21" s="2186">
        <f>IF(B21="","",IF(ISTEXT(B21),B21,(B21/B12)*G12))</f>
        <v>1.1666666666666665</v>
      </c>
      <c r="F21" s="2187" t="str">
        <f t="shared" si="0"/>
        <v>poignée</v>
      </c>
      <c r="G21" s="2185"/>
      <c r="H21" s="2188"/>
      <c r="J21" s="2157"/>
      <c r="K21" s="2178" t="s">
        <v>2085</v>
      </c>
      <c r="L21" s="2146"/>
      <c r="M21" s="2146"/>
      <c r="N21" s="2146"/>
      <c r="O21" s="2146"/>
      <c r="P21" s="2146"/>
      <c r="Q21" s="2147"/>
      <c r="S21" s="4678"/>
      <c r="T21" s="2200"/>
      <c r="U21" s="2159"/>
      <c r="V21" s="2159"/>
      <c r="W21" s="2159"/>
      <c r="X21" s="2200" t="s">
        <v>41</v>
      </c>
      <c r="Y21" s="2200" t="s">
        <v>42</v>
      </c>
      <c r="Z21" s="2200" t="s">
        <v>4</v>
      </c>
      <c r="AA21" s="2159"/>
      <c r="AB21" s="2200" t="s">
        <v>2086</v>
      </c>
      <c r="AC21" s="2159"/>
      <c r="AD21" s="2200"/>
      <c r="AE21" s="2199"/>
      <c r="AF21" s="2134"/>
    </row>
    <row r="22" spans="1:32" s="2142" customFormat="1" ht="15" customHeight="1" thickBot="1">
      <c r="A22" s="4678"/>
      <c r="B22" s="2183"/>
      <c r="C22" s="2184"/>
      <c r="D22" s="2185"/>
      <c r="E22" s="2186" t="str">
        <f>IF(B22="","",IF(ISTEXT(B22),B22,(B22/B12)*G12))</f>
        <v/>
      </c>
      <c r="F22" s="2187" t="str">
        <f>IF(C22="","",C22)</f>
        <v/>
      </c>
      <c r="G22" s="2185"/>
      <c r="H22" s="2188"/>
      <c r="J22" s="2137"/>
      <c r="K22" s="2178" t="s">
        <v>2087</v>
      </c>
      <c r="L22" s="2146"/>
      <c r="M22" s="2146"/>
      <c r="N22" s="2146"/>
      <c r="O22" s="2146"/>
      <c r="P22" s="2146"/>
      <c r="Q22" s="2147"/>
      <c r="S22" s="4678"/>
      <c r="T22" s="2153" t="s">
        <v>2050</v>
      </c>
      <c r="U22" s="2159"/>
      <c r="V22" s="2159"/>
      <c r="W22" s="2159"/>
      <c r="X22" s="2159"/>
      <c r="Y22" s="2159"/>
      <c r="Z22" s="2159"/>
      <c r="AA22" s="2159"/>
      <c r="AB22" s="2159"/>
      <c r="AC22" s="2159"/>
      <c r="AD22" s="2159"/>
      <c r="AE22" s="2147"/>
      <c r="AF22" s="2134"/>
    </row>
    <row r="23" spans="1:32" s="2142" customFormat="1" ht="15" customHeight="1" thickBot="1">
      <c r="A23" s="4678"/>
      <c r="B23" s="2183"/>
      <c r="C23" s="2184"/>
      <c r="D23" s="2185"/>
      <c r="E23" s="2186" t="str">
        <f>IF(B23="","",IF(ISTEXT(B23),B23,(B23/B12)*G12))</f>
        <v/>
      </c>
      <c r="F23" s="2187" t="str">
        <f>IF(C23="","",C23)</f>
        <v/>
      </c>
      <c r="G23" s="2185"/>
      <c r="H23" s="2188"/>
      <c r="J23" s="2137"/>
      <c r="K23" s="2178" t="s">
        <v>2088</v>
      </c>
      <c r="L23" s="2146"/>
      <c r="M23" s="2146"/>
      <c r="N23" s="2146"/>
      <c r="O23" s="2146"/>
      <c r="P23" s="2146"/>
      <c r="Q23" s="2147"/>
      <c r="S23" s="4678"/>
      <c r="T23" s="2201">
        <v>10</v>
      </c>
      <c r="U23" s="2202" t="s">
        <v>2089</v>
      </c>
      <c r="V23" s="2202"/>
      <c r="W23" s="2203"/>
      <c r="X23" s="2159"/>
      <c r="Y23" s="2159"/>
      <c r="Z23" s="2159"/>
      <c r="AA23" s="2159"/>
      <c r="AB23" s="2159"/>
      <c r="AC23" s="2159"/>
      <c r="AD23" s="2159"/>
      <c r="AE23" s="2147"/>
      <c r="AF23" s="2134"/>
    </row>
    <row r="24" spans="1:32" s="2142" customFormat="1" ht="15" customHeight="1" thickBot="1">
      <c r="A24" s="4679"/>
      <c r="B24" s="2204"/>
      <c r="C24" s="2205"/>
      <c r="D24" s="2206"/>
      <c r="E24" s="2207"/>
      <c r="F24" s="2208"/>
      <c r="G24" s="2209"/>
      <c r="H24" s="2210"/>
      <c r="J24" s="2211"/>
      <c r="K24" s="2212"/>
      <c r="L24" s="2212"/>
      <c r="M24" s="2212"/>
      <c r="N24" s="2212"/>
      <c r="O24" s="2212"/>
      <c r="P24" s="2212"/>
      <c r="Q24" s="2213"/>
      <c r="S24" s="4679"/>
      <c r="T24" s="2214"/>
      <c r="U24" s="2215"/>
      <c r="V24" s="2215"/>
      <c r="W24" s="2215"/>
      <c r="X24" s="2214"/>
      <c r="Y24" s="2215"/>
      <c r="Z24" s="2214"/>
      <c r="AA24" s="2215"/>
      <c r="AB24" s="2214"/>
      <c r="AC24" s="2215"/>
      <c r="AD24" s="2214"/>
      <c r="AE24" s="2216"/>
      <c r="AF24" s="2134"/>
    </row>
    <row r="25" spans="1:32">
      <c r="S25" s="2142"/>
      <c r="T25" s="2142"/>
      <c r="U25" s="2142"/>
      <c r="V25" s="2142"/>
      <c r="W25" s="2142"/>
      <c r="X25" s="2142"/>
      <c r="Y25" s="2142"/>
      <c r="Z25" s="2142"/>
      <c r="AA25" s="2142"/>
      <c r="AB25" s="2142"/>
      <c r="AC25" s="2142"/>
      <c r="AD25" s="2142"/>
      <c r="AE25" s="2142"/>
    </row>
    <row r="26" spans="1:32" ht="13.5" thickBot="1">
      <c r="S26" s="2142"/>
      <c r="T26" s="2142"/>
      <c r="U26" s="2142"/>
      <c r="V26" s="2142"/>
      <c r="W26" s="2142"/>
      <c r="X26" s="2142"/>
      <c r="Y26" s="2142"/>
      <c r="Z26" s="2142"/>
      <c r="AA26" s="2142"/>
      <c r="AB26" s="2142"/>
      <c r="AC26" s="2142"/>
      <c r="AD26" s="2142"/>
      <c r="AE26" s="2142"/>
    </row>
    <row r="27" spans="1:32" ht="15" customHeight="1">
      <c r="A27" s="4668" t="s">
        <v>70</v>
      </c>
      <c r="B27" s="4670" t="s">
        <v>2044</v>
      </c>
      <c r="C27" s="4670"/>
      <c r="D27" s="4670"/>
      <c r="E27" s="4670"/>
      <c r="F27" s="4670"/>
      <c r="G27" s="4670"/>
      <c r="H27" s="4671"/>
      <c r="J27" s="4685" t="s">
        <v>2113</v>
      </c>
      <c r="K27" s="4686"/>
      <c r="L27" s="4686"/>
      <c r="M27" s="4686"/>
      <c r="N27" s="2217"/>
      <c r="O27" s="2217"/>
      <c r="P27" s="2217"/>
      <c r="Q27" s="2218"/>
      <c r="V27" s="2142"/>
      <c r="W27" s="2142"/>
      <c r="X27" s="2142"/>
      <c r="Y27" s="2142"/>
      <c r="Z27" s="2142"/>
      <c r="AA27" s="2142"/>
      <c r="AB27" s="2142"/>
      <c r="AC27" s="2142"/>
      <c r="AD27" s="2142"/>
      <c r="AE27" s="2142"/>
    </row>
    <row r="28" spans="1:32" ht="15" customHeight="1">
      <c r="A28" s="4669"/>
      <c r="B28" s="4672"/>
      <c r="C28" s="4672"/>
      <c r="D28" s="4672"/>
      <c r="E28" s="4672"/>
      <c r="F28" s="4672"/>
      <c r="G28" s="4672"/>
      <c r="H28" s="4673"/>
      <c r="J28" s="2219"/>
      <c r="K28" s="2220"/>
      <c r="L28" s="2221"/>
      <c r="M28" s="2221"/>
      <c r="N28" s="2221"/>
      <c r="O28" s="2221"/>
      <c r="P28" s="2221"/>
      <c r="Q28" s="2222"/>
      <c r="V28" s="2142"/>
      <c r="W28" s="2142"/>
      <c r="X28" s="2142"/>
      <c r="Y28" s="2142"/>
      <c r="Z28" s="2142"/>
      <c r="AA28" s="2142"/>
      <c r="AB28" s="2142"/>
      <c r="AC28" s="2142"/>
      <c r="AD28" s="2142"/>
      <c r="AE28" s="2142"/>
    </row>
    <row r="29" spans="1:32" s="2142" customFormat="1" ht="15" customHeight="1">
      <c r="A29" s="4688" t="s">
        <v>2091</v>
      </c>
      <c r="B29" s="4690" t="s">
        <v>2090</v>
      </c>
      <c r="C29" s="4690"/>
      <c r="D29" s="4690"/>
      <c r="E29" s="2141"/>
      <c r="F29" s="2141"/>
      <c r="H29" s="2143"/>
      <c r="J29" s="2223"/>
      <c r="K29" s="2224" t="s">
        <v>2092</v>
      </c>
      <c r="L29" s="2178"/>
      <c r="M29" s="2178"/>
      <c r="N29" s="2178"/>
      <c r="O29" s="2178"/>
      <c r="P29" s="2178"/>
      <c r="Q29" s="2179"/>
    </row>
    <row r="30" spans="1:32" s="2142" customFormat="1" ht="15" customHeight="1" thickBot="1">
      <c r="A30" s="4688"/>
      <c r="B30" s="2225" t="s">
        <v>2093</v>
      </c>
      <c r="C30" s="2154"/>
      <c r="D30" s="2154"/>
      <c r="E30" s="2154"/>
      <c r="F30" s="2155"/>
      <c r="G30" s="2155" t="s">
        <v>2051</v>
      </c>
      <c r="H30" s="2156"/>
      <c r="J30" s="2219"/>
      <c r="K30" s="2221" t="s">
        <v>2094</v>
      </c>
      <c r="L30" s="2178"/>
      <c r="M30" s="2178"/>
      <c r="N30" s="2178"/>
      <c r="O30" s="2178"/>
      <c r="P30" s="2178"/>
      <c r="Q30" s="2179"/>
    </row>
    <row r="31" spans="1:32" s="2142" customFormat="1" ht="15" customHeight="1">
      <c r="A31" s="4688"/>
      <c r="B31" s="2226">
        <v>1.8</v>
      </c>
      <c r="C31" s="2163"/>
      <c r="D31" s="2163"/>
      <c r="E31" s="2164"/>
      <c r="F31" s="2165"/>
      <c r="G31" s="4691">
        <v>5</v>
      </c>
      <c r="H31" s="4692" t="s">
        <v>42</v>
      </c>
      <c r="J31" s="2219"/>
      <c r="K31" s="2138"/>
      <c r="L31" s="2178"/>
      <c r="M31" s="2227" t="s">
        <v>2095</v>
      </c>
      <c r="N31" s="2228">
        <f>B43</f>
        <v>16</v>
      </c>
      <c r="O31" s="2227" t="s">
        <v>2096</v>
      </c>
      <c r="P31" s="2224" t="str">
        <f>C43</f>
        <v>B43</v>
      </c>
      <c r="Q31" s="2179"/>
    </row>
    <row r="32" spans="1:32" s="2142" customFormat="1" ht="15" customHeight="1" thickBot="1">
      <c r="A32" s="4688"/>
      <c r="B32" s="2229" t="s">
        <v>42</v>
      </c>
      <c r="C32" s="2163"/>
      <c r="D32" s="2163"/>
      <c r="E32" s="2164"/>
      <c r="F32" s="2165"/>
      <c r="G32" s="4691"/>
      <c r="H32" s="4692"/>
      <c r="J32" s="2219"/>
      <c r="K32" s="2221" t="s">
        <v>2097</v>
      </c>
      <c r="L32" s="2178"/>
      <c r="M32" s="2178"/>
      <c r="N32" s="2178"/>
      <c r="O32" s="2178"/>
      <c r="P32" s="2178"/>
      <c r="Q32" s="2179"/>
    </row>
    <row r="33" spans="1:17" s="2142" customFormat="1" ht="15" customHeight="1">
      <c r="A33" s="4688"/>
      <c r="B33" s="2171"/>
      <c r="C33" s="2173" t="s">
        <v>734</v>
      </c>
      <c r="D33" s="2172" t="s">
        <v>2057</v>
      </c>
      <c r="E33" s="4682" t="s">
        <v>2058</v>
      </c>
      <c r="F33" s="4682"/>
      <c r="G33" s="2230" t="s">
        <v>2098</v>
      </c>
      <c r="H33" s="2231"/>
      <c r="J33" s="2219"/>
      <c r="K33" s="2221" t="s">
        <v>2099</v>
      </c>
      <c r="L33" s="2178"/>
      <c r="M33" s="2178"/>
      <c r="N33" s="2178"/>
      <c r="O33" s="2178"/>
      <c r="P33" s="2178"/>
      <c r="Q33" s="2179"/>
    </row>
    <row r="34" spans="1:17" s="2142" customFormat="1" ht="15" customHeight="1">
      <c r="A34" s="4688"/>
      <c r="B34" s="2175" t="s">
        <v>677</v>
      </c>
      <c r="C34" s="2175" t="s">
        <v>678</v>
      </c>
      <c r="D34" s="2176" t="s">
        <v>679</v>
      </c>
      <c r="E34" s="2177"/>
      <c r="F34" s="2175"/>
      <c r="G34" s="2178"/>
      <c r="H34" s="2179"/>
      <c r="J34" s="2219"/>
      <c r="K34" s="2138"/>
      <c r="L34" s="2178"/>
      <c r="M34" s="2178"/>
      <c r="N34" s="2178"/>
      <c r="O34" s="2178"/>
      <c r="P34" s="2178"/>
      <c r="Q34" s="2179"/>
    </row>
    <row r="35" spans="1:17" s="2142" customFormat="1" ht="15" customHeight="1">
      <c r="A35" s="4688"/>
      <c r="B35" s="2183">
        <v>1.8</v>
      </c>
      <c r="C35" s="2184" t="s">
        <v>42</v>
      </c>
      <c r="D35" s="2185" t="s">
        <v>2063</v>
      </c>
      <c r="E35" s="2186">
        <f>IF(B35="","",IF(ISTEXT(B35),B35,(B35/B31)*G31))</f>
        <v>5</v>
      </c>
      <c r="F35" s="2187" t="str">
        <f t="shared" ref="F35:F40" si="1">IF(C35="","",C35)</f>
        <v>Kg</v>
      </c>
      <c r="G35" s="2185"/>
      <c r="H35" s="2188"/>
      <c r="J35" s="2219"/>
      <c r="K35" s="2138" t="s">
        <v>2100</v>
      </c>
      <c r="L35" s="2178"/>
      <c r="M35" s="2178"/>
      <c r="N35" s="2178"/>
      <c r="O35" s="2178"/>
      <c r="P35" s="2178"/>
      <c r="Q35" s="2179"/>
    </row>
    <row r="36" spans="1:17" s="2142" customFormat="1" ht="15" customHeight="1">
      <c r="A36" s="4688"/>
      <c r="B36" s="2183">
        <v>2</v>
      </c>
      <c r="C36" s="2184" t="s">
        <v>2066</v>
      </c>
      <c r="D36" s="2185" t="s">
        <v>2067</v>
      </c>
      <c r="E36" s="2232">
        <f>IF(B36="","",IF(ISTEXT(B36),B36,(B36/B31)*G31))</f>
        <v>5.5555555555555554</v>
      </c>
      <c r="F36" s="2187" t="str">
        <f t="shared" si="1"/>
        <v>C à C</v>
      </c>
      <c r="G36" s="2185"/>
      <c r="H36" s="2188"/>
      <c r="J36" s="2219"/>
      <c r="K36" s="2138"/>
      <c r="L36" s="2178"/>
      <c r="M36" s="2178"/>
      <c r="N36" s="2178"/>
      <c r="O36" s="2178"/>
      <c r="P36" s="2178"/>
      <c r="Q36" s="2179"/>
    </row>
    <row r="37" spans="1:17" s="2142" customFormat="1" ht="15" customHeight="1">
      <c r="A37" s="4688"/>
      <c r="B37" s="2183"/>
      <c r="C37" s="2184" t="s">
        <v>2069</v>
      </c>
      <c r="D37" s="2193" t="s">
        <v>404</v>
      </c>
      <c r="E37" s="2186" t="str">
        <f>IF(B37="","",IF(ISTEXT(B37),B37,(B37/B31)*G31))</f>
        <v/>
      </c>
      <c r="F37" s="2187" t="str">
        <f t="shared" si="1"/>
        <v>PM</v>
      </c>
      <c r="G37" s="2185"/>
      <c r="H37" s="2188"/>
      <c r="J37" s="2157"/>
      <c r="K37" s="2139" t="s">
        <v>2068</v>
      </c>
      <c r="L37" s="2138"/>
      <c r="M37" s="2146"/>
      <c r="N37" s="2146"/>
      <c r="O37" s="2178"/>
      <c r="P37" s="2178"/>
      <c r="Q37" s="2179"/>
    </row>
    <row r="38" spans="1:17" s="2142" customFormat="1" ht="15" customHeight="1" thickBot="1">
      <c r="A38" s="4688"/>
      <c r="B38" s="2183">
        <v>3</v>
      </c>
      <c r="C38" s="2184" t="s">
        <v>2075</v>
      </c>
      <c r="D38" s="2185"/>
      <c r="E38" s="2232">
        <f>IF(B38="","",IF(ISTEXT(B38),B38,(B38/B31)*G31))</f>
        <v>8.3333333333333321</v>
      </c>
      <c r="F38" s="2187" t="str">
        <f t="shared" si="1"/>
        <v>C à S</v>
      </c>
      <c r="G38" s="2185"/>
      <c r="H38" s="2188"/>
      <c r="J38" s="2157"/>
      <c r="K38" s="4683" t="s">
        <v>2070</v>
      </c>
      <c r="L38" s="4683"/>
      <c r="M38" s="4683"/>
      <c r="N38" s="2146" t="s">
        <v>2101</v>
      </c>
      <c r="O38" s="2178"/>
      <c r="P38" s="2178"/>
      <c r="Q38" s="2179"/>
    </row>
    <row r="39" spans="1:17" s="2142" customFormat="1" ht="15" customHeight="1">
      <c r="A39" s="4688"/>
      <c r="B39" s="2183">
        <v>8</v>
      </c>
      <c r="C39" s="2184" t="s">
        <v>2078</v>
      </c>
      <c r="D39" s="2185" t="s">
        <v>2079</v>
      </c>
      <c r="E39" s="2232">
        <f>IF(B39="","",IF(ISTEXT(B39),B39,(B39/B31)*G31))</f>
        <v>22.222222222222221</v>
      </c>
      <c r="F39" s="2187" t="str">
        <f t="shared" si="1"/>
        <v>pièces</v>
      </c>
      <c r="G39" s="2185"/>
      <c r="H39" s="2188"/>
      <c r="J39" s="2157"/>
      <c r="K39" s="4684" t="s">
        <v>2102</v>
      </c>
      <c r="L39" s="4684"/>
      <c r="M39" s="4684"/>
      <c r="N39" s="2178"/>
      <c r="O39" s="2178"/>
      <c r="P39" s="2178"/>
      <c r="Q39" s="2179"/>
    </row>
    <row r="40" spans="1:17" s="2142" customFormat="1" ht="15" customHeight="1">
      <c r="A40" s="4688"/>
      <c r="B40" s="2183">
        <v>1</v>
      </c>
      <c r="C40" s="2184" t="s">
        <v>2084</v>
      </c>
      <c r="D40" s="2185" t="s">
        <v>2103</v>
      </c>
      <c r="E40" s="2232">
        <f>IF(B40="","",IF(ISTEXT(B40),B40,(B40/B31)*G31))</f>
        <v>2.7777777777777777</v>
      </c>
      <c r="F40" s="2187" t="str">
        <f t="shared" si="1"/>
        <v>poignée</v>
      </c>
      <c r="G40" s="2185"/>
      <c r="H40" s="2188"/>
      <c r="J40" s="2219"/>
      <c r="K40" s="2178"/>
      <c r="L40" s="2178"/>
      <c r="M40" s="2178"/>
      <c r="N40" s="2178"/>
      <c r="O40" s="2178"/>
      <c r="P40" s="2178"/>
      <c r="Q40" s="2179"/>
    </row>
    <row r="41" spans="1:17" s="2142" customFormat="1" ht="15" customHeight="1">
      <c r="A41" s="4688"/>
      <c r="B41" s="2183">
        <v>0.2</v>
      </c>
      <c r="C41" s="2184" t="s">
        <v>42</v>
      </c>
      <c r="D41" s="2185" t="s">
        <v>2104</v>
      </c>
      <c r="E41" s="2232">
        <f>IF(B41="","",IF(ISTEXT(B41),B41,(B41/B31)*G31))</f>
        <v>0.55555555555555558</v>
      </c>
      <c r="F41" s="2187" t="str">
        <f>IF(C41="","",C41)</f>
        <v>Kg</v>
      </c>
      <c r="G41" s="2185"/>
      <c r="H41" s="2188"/>
      <c r="J41" s="2219"/>
      <c r="K41" s="2178"/>
      <c r="L41" s="2178"/>
      <c r="M41" s="2178"/>
      <c r="N41" s="2178"/>
      <c r="O41" s="2180" t="s">
        <v>2105</v>
      </c>
      <c r="P41" s="2233">
        <f>B43</f>
        <v>16</v>
      </c>
      <c r="Q41" s="2179"/>
    </row>
    <row r="42" spans="1:17" s="2142" customFormat="1" ht="15" customHeight="1">
      <c r="A42" s="4688"/>
      <c r="B42" s="2234" t="s">
        <v>2093</v>
      </c>
      <c r="C42" s="2184"/>
      <c r="D42" s="2167"/>
      <c r="E42" s="2186" t="s">
        <v>2106</v>
      </c>
      <c r="F42" s="2187"/>
      <c r="G42" s="2185"/>
      <c r="H42" s="2188"/>
      <c r="J42" s="2219"/>
      <c r="K42" s="2178"/>
      <c r="L42" s="2178"/>
      <c r="M42" s="2178"/>
      <c r="N42" s="2178"/>
      <c r="O42" s="2178" t="s">
        <v>2107</v>
      </c>
      <c r="P42" s="2178" t="str">
        <f>C43</f>
        <v>B43</v>
      </c>
      <c r="Q42" s="2179"/>
    </row>
    <row r="43" spans="1:17" s="2142" customFormat="1" ht="15" customHeight="1" thickBot="1">
      <c r="A43" s="4689"/>
      <c r="B43" s="2204">
        <f>SUM(B35:B41)</f>
        <v>16</v>
      </c>
      <c r="C43" s="2235" t="str">
        <f>ADDRESS(ROW(),COLUMN()-1,4)</f>
        <v>B43</v>
      </c>
      <c r="D43" s="2206"/>
      <c r="E43" s="2207">
        <f>SUM(E35:E40)</f>
        <v>43.888888888888886</v>
      </c>
      <c r="F43" s="2208"/>
      <c r="G43" s="2209"/>
      <c r="H43" s="2210"/>
      <c r="J43" s="2236"/>
      <c r="K43" s="2237"/>
      <c r="L43" s="2237"/>
      <c r="M43" s="2237"/>
      <c r="N43" s="2237"/>
      <c r="O43" s="2237"/>
      <c r="P43" s="2237"/>
      <c r="Q43" s="2238"/>
    </row>
  </sheetData>
  <mergeCells count="24">
    <mergeCell ref="K38:M38"/>
    <mergeCell ref="K39:M39"/>
    <mergeCell ref="J27:M27"/>
    <mergeCell ref="A10:A24"/>
    <mergeCell ref="B10:D10"/>
    <mergeCell ref="A27:A28"/>
    <mergeCell ref="B27:H28"/>
    <mergeCell ref="A29:A43"/>
    <mergeCell ref="B29:D29"/>
    <mergeCell ref="G31:G32"/>
    <mergeCell ref="H31:H32"/>
    <mergeCell ref="E33:F33"/>
    <mergeCell ref="S10:S24"/>
    <mergeCell ref="G12:G13"/>
    <mergeCell ref="H12:H13"/>
    <mergeCell ref="E14:F14"/>
    <mergeCell ref="K18:M18"/>
    <mergeCell ref="K19:M19"/>
    <mergeCell ref="T8:AE9"/>
    <mergeCell ref="B2:H6"/>
    <mergeCell ref="A8:A9"/>
    <mergeCell ref="B8:H9"/>
    <mergeCell ref="S8:S9"/>
    <mergeCell ref="J8:M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37"/>
  <sheetViews>
    <sheetView showGridLines="0" zoomScaleNormal="100" workbookViewId="0">
      <selection activeCell="I21" sqref="I21"/>
    </sheetView>
  </sheetViews>
  <sheetFormatPr baseColWidth="10" defaultColWidth="8" defaultRowHeight="15"/>
  <cols>
    <col min="1" max="1" width="11.125" style="2672" customWidth="1"/>
    <col min="2" max="2" width="72.5" style="2673" customWidth="1"/>
    <col min="3" max="4" width="16.5" style="2673" customWidth="1"/>
    <col min="5" max="5" width="18.375" style="2673" bestFit="1" customWidth="1"/>
    <col min="6" max="6" width="16" style="2673" customWidth="1"/>
    <col min="7" max="16384" width="8" style="2673"/>
  </cols>
  <sheetData>
    <row r="1" spans="1:6" ht="60" customHeight="1">
      <c r="A1" s="2672" t="s">
        <v>2607</v>
      </c>
      <c r="C1" s="2674"/>
      <c r="D1" s="2675"/>
      <c r="E1" s="2675"/>
      <c r="F1" s="2675"/>
    </row>
    <row r="2" spans="1:6">
      <c r="A2" s="2672" t="s">
        <v>2608</v>
      </c>
      <c r="C2" s="2677" t="s">
        <v>2609</v>
      </c>
      <c r="D2" s="2677" t="s">
        <v>2610</v>
      </c>
      <c r="E2" s="2677" t="s">
        <v>2611</v>
      </c>
      <c r="F2" s="2677" t="s">
        <v>2612</v>
      </c>
    </row>
    <row r="3" spans="1:6">
      <c r="A3" s="2672" t="s">
        <v>2613</v>
      </c>
      <c r="C3" s="2682" t="s">
        <v>2614</v>
      </c>
      <c r="D3" s="2682" t="s">
        <v>2615</v>
      </c>
      <c r="E3" s="2726" t="str">
        <f>D3&amp;", "&amp;C3</f>
        <v>Durand, Nicole</v>
      </c>
      <c r="F3" s="2732" t="str">
        <f>C3&amp;" "&amp;D3</f>
        <v>Nicole Durand</v>
      </c>
    </row>
    <row r="4" spans="1:6">
      <c r="A4" s="2672" t="s">
        <v>2616</v>
      </c>
      <c r="C4" s="2682" t="s">
        <v>2617</v>
      </c>
      <c r="D4" s="2682" t="s">
        <v>2618</v>
      </c>
      <c r="E4" s="2726"/>
      <c r="F4" s="2732"/>
    </row>
    <row r="5" spans="1:6">
      <c r="A5" s="2672" t="s">
        <v>2619</v>
      </c>
      <c r="C5" s="2682" t="s">
        <v>2620</v>
      </c>
      <c r="D5" s="2682" t="s">
        <v>2621</v>
      </c>
      <c r="E5" s="2726"/>
      <c r="F5" s="2732"/>
    </row>
    <row r="6" spans="1:6">
      <c r="A6" s="2672" t="s">
        <v>2488</v>
      </c>
      <c r="C6" s="2682" t="s">
        <v>2622</v>
      </c>
      <c r="D6" s="2682" t="s">
        <v>2623</v>
      </c>
      <c r="E6" s="2726"/>
      <c r="F6" s="2732"/>
    </row>
    <row r="7" spans="1:6">
      <c r="A7" s="2672" t="s">
        <v>2502</v>
      </c>
      <c r="C7" s="2682" t="s">
        <v>2624</v>
      </c>
      <c r="D7" s="2682" t="s">
        <v>2625</v>
      </c>
      <c r="E7" s="2726"/>
      <c r="F7" s="2732"/>
    </row>
    <row r="8" spans="1:6">
      <c r="A8" s="2672" t="s">
        <v>2626</v>
      </c>
      <c r="C8" s="2682" t="s">
        <v>2627</v>
      </c>
      <c r="D8" s="2682" t="s">
        <v>2628</v>
      </c>
      <c r="E8" s="2726"/>
      <c r="F8" s="2732"/>
    </row>
    <row r="9" spans="1:6">
      <c r="A9" s="2672" t="s">
        <v>2629</v>
      </c>
      <c r="C9" s="2682" t="s">
        <v>2630</v>
      </c>
      <c r="D9" s="2682" t="s">
        <v>2631</v>
      </c>
      <c r="E9" s="2726"/>
      <c r="F9" s="2732"/>
    </row>
    <row r="10" spans="1:6" ht="15" customHeight="1">
      <c r="A10" s="2684" t="s">
        <v>2632</v>
      </c>
      <c r="C10" s="2682" t="s">
        <v>2633</v>
      </c>
      <c r="D10" s="2682" t="s">
        <v>2634</v>
      </c>
      <c r="E10" s="2726"/>
      <c r="F10" s="2732"/>
    </row>
    <row r="11" spans="1:6" ht="15" customHeight="1">
      <c r="A11" s="2684" t="s">
        <v>2635</v>
      </c>
    </row>
    <row r="12" spans="1:6" ht="15" customHeight="1">
      <c r="A12" s="2684" t="s">
        <v>2636</v>
      </c>
    </row>
    <row r="13" spans="1:6" ht="15" customHeight="1">
      <c r="A13" s="2684" t="s">
        <v>2637</v>
      </c>
    </row>
    <row r="14" spans="1:6">
      <c r="A14" s="2672" t="s">
        <v>2503</v>
      </c>
    </row>
    <row r="15" spans="1:6">
      <c r="A15" s="2672" t="s">
        <v>2638</v>
      </c>
    </row>
    <row r="16" spans="1:6">
      <c r="A16" s="2672" t="s">
        <v>2626</v>
      </c>
    </row>
    <row r="17" spans="1:4">
      <c r="A17" s="2672" t="s">
        <v>2508</v>
      </c>
    </row>
    <row r="21" spans="1:4">
      <c r="D21" s="2733"/>
    </row>
    <row r="27" spans="1:4">
      <c r="C27" s="5783" t="s">
        <v>2639</v>
      </c>
      <c r="D27" s="5783"/>
    </row>
    <row r="28" spans="1:4">
      <c r="C28" s="2682" t="s">
        <v>2583</v>
      </c>
      <c r="D28" s="2723">
        <f ca="1">TODAY()</f>
        <v>45075</v>
      </c>
    </row>
    <row r="29" spans="1:4">
      <c r="C29" s="2682" t="s">
        <v>2597</v>
      </c>
      <c r="D29" s="2734">
        <f ca="1">NOW()</f>
        <v>45075.412900000003</v>
      </c>
    </row>
    <row r="31" spans="1:4">
      <c r="C31" s="5784" t="s">
        <v>2626</v>
      </c>
      <c r="D31" s="5784"/>
    </row>
    <row r="32" spans="1:4">
      <c r="C32" s="2682" t="str">
        <f ca="1">C28&amp;" "&amp;D28</f>
        <v>Date du jour : 45075</v>
      </c>
      <c r="D32" s="2682"/>
    </row>
    <row r="33" spans="3:4">
      <c r="C33" s="2682" t="str">
        <f ca="1">C29&amp;" "&amp;D29</f>
        <v>Heure actuelle : 45075.4129</v>
      </c>
      <c r="D33" s="2682"/>
    </row>
    <row r="35" spans="3:4">
      <c r="C35" s="6408" t="s">
        <v>2640</v>
      </c>
      <c r="D35" s="6408"/>
    </row>
    <row r="36" spans="3:4">
      <c r="C36" s="2732" t="str">
        <f ca="1">C28&amp;" "&amp;TEXT(D28,"JJ/MM/AAAA")</f>
        <v>Date du jour : 29/05/2023</v>
      </c>
      <c r="D36" s="2732"/>
    </row>
    <row r="37" spans="3:4">
      <c r="C37" s="2732" t="str">
        <f ca="1">C29&amp;" "&amp;TEXT(D29,"H:MM")</f>
        <v>Heure actuelle : 9:54</v>
      </c>
      <c r="D37" s="2732"/>
    </row>
  </sheetData>
  <mergeCells count="3">
    <mergeCell ref="C27:D27"/>
    <mergeCell ref="C31:D31"/>
    <mergeCell ref="C35:D35"/>
  </mergeCells>
  <pageMargins left="0.7" right="0.7" top="0.75" bottom="0.75" header="0.3" footer="0.3"/>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37"/>
  <sheetViews>
    <sheetView showGridLines="0" workbookViewId="0">
      <selection activeCell="K28" sqref="K28"/>
    </sheetView>
  </sheetViews>
  <sheetFormatPr baseColWidth="10" defaultColWidth="8" defaultRowHeight="15"/>
  <cols>
    <col min="1" max="1" width="11.125" style="2673" customWidth="1"/>
    <col min="2" max="2" width="72.5" style="2673" customWidth="1"/>
    <col min="3" max="3" width="15" style="2673" customWidth="1"/>
    <col min="4" max="4" width="22.875" style="2673" bestFit="1" customWidth="1"/>
    <col min="5" max="16384" width="8" style="2673"/>
  </cols>
  <sheetData>
    <row r="1" spans="1:6" ht="60" customHeight="1">
      <c r="A1" s="2672" t="s">
        <v>2641</v>
      </c>
      <c r="D1" s="2735"/>
    </row>
    <row r="2" spans="1:6">
      <c r="A2" s="2672" t="s">
        <v>2642</v>
      </c>
      <c r="E2" s="2736"/>
      <c r="F2" s="2736"/>
    </row>
    <row r="3" spans="1:6" ht="15" customHeight="1">
      <c r="A3" s="2684" t="s">
        <v>2643</v>
      </c>
      <c r="E3" s="2736"/>
      <c r="F3" s="2736"/>
    </row>
    <row r="4" spans="1:6" ht="15" customHeight="1">
      <c r="A4" s="2684" t="s">
        <v>2644</v>
      </c>
      <c r="E4" s="2736"/>
      <c r="F4" s="2736"/>
    </row>
    <row r="5" spans="1:6" ht="15" customHeight="1">
      <c r="A5" s="2684" t="s">
        <v>2645</v>
      </c>
      <c r="C5" s="2737"/>
      <c r="E5" s="2736"/>
      <c r="F5" s="2736"/>
    </row>
    <row r="6" spans="1:6" ht="15" customHeight="1">
      <c r="A6" s="2684" t="s">
        <v>2646</v>
      </c>
      <c r="E6" s="2736"/>
      <c r="F6" s="2736"/>
    </row>
    <row r="7" spans="1:6">
      <c r="A7" s="2672" t="s">
        <v>2488</v>
      </c>
      <c r="C7" s="2736"/>
      <c r="D7" s="2736"/>
      <c r="E7" s="2736"/>
      <c r="F7" s="2736"/>
    </row>
    <row r="8" spans="1:6">
      <c r="A8" s="2672" t="s">
        <v>2502</v>
      </c>
      <c r="C8" s="6409" t="s">
        <v>2641</v>
      </c>
      <c r="D8" s="6409"/>
    </row>
    <row r="9" spans="1:6">
      <c r="A9" s="2672" t="s">
        <v>2647</v>
      </c>
      <c r="C9" s="2738" t="s">
        <v>2648</v>
      </c>
      <c r="D9" s="2739"/>
    </row>
    <row r="10" spans="1:6">
      <c r="A10" s="2672" t="s">
        <v>2649</v>
      </c>
      <c r="C10" s="2738" t="s">
        <v>2650</v>
      </c>
      <c r="D10" s="2739"/>
    </row>
    <row r="11" spans="1:6" ht="15" customHeight="1" thickBot="1">
      <c r="A11" s="2684" t="s">
        <v>2651</v>
      </c>
      <c r="C11" s="2736"/>
      <c r="D11" s="2736"/>
    </row>
    <row r="12" spans="1:6" ht="15" customHeight="1" thickTop="1" thickBot="1">
      <c r="A12" s="2684" t="s">
        <v>2652</v>
      </c>
      <c r="C12" s="2740">
        <v>50</v>
      </c>
      <c r="D12" s="2739" t="str">
        <f>IF(C12&lt;100,"Inférieur à 100","Supérieur ou égal à 100")</f>
        <v>Inférieur à 100</v>
      </c>
    </row>
    <row r="13" spans="1:6" ht="15" customHeight="1" thickTop="1">
      <c r="A13" s="2684" t="s">
        <v>2653</v>
      </c>
    </row>
    <row r="14" spans="1:6">
      <c r="A14" s="2672" t="s">
        <v>2654</v>
      </c>
    </row>
    <row r="15" spans="1:6" ht="15" customHeight="1">
      <c r="A15" s="2684" t="s">
        <v>2655</v>
      </c>
    </row>
    <row r="16" spans="1:6">
      <c r="A16" s="2672" t="s">
        <v>2501</v>
      </c>
    </row>
    <row r="17" spans="1:6">
      <c r="A17" s="2672" t="s">
        <v>2502</v>
      </c>
    </row>
    <row r="18" spans="1:6">
      <c r="A18" s="2672" t="s">
        <v>2503</v>
      </c>
      <c r="C18" s="2733"/>
    </row>
    <row r="19" spans="1:6">
      <c r="A19" s="2672" t="s">
        <v>2656</v>
      </c>
    </row>
    <row r="20" spans="1:6">
      <c r="A20" s="2672" t="s">
        <v>2657</v>
      </c>
    </row>
    <row r="21" spans="1:6">
      <c r="A21" s="2672" t="s">
        <v>2658</v>
      </c>
    </row>
    <row r="22" spans="1:6">
      <c r="A22" s="2672" t="s">
        <v>2508</v>
      </c>
    </row>
    <row r="26" spans="1:6" ht="15.75" thickBot="1"/>
    <row r="27" spans="1:6" ht="15.75" thickBot="1">
      <c r="C27" s="2741" t="s">
        <v>2528</v>
      </c>
      <c r="D27" s="2742" t="s">
        <v>2058</v>
      </c>
      <c r="E27" s="2742" t="s">
        <v>2659</v>
      </c>
      <c r="F27" s="2742" t="s">
        <v>146</v>
      </c>
    </row>
    <row r="28" spans="1:6">
      <c r="C28" s="2743" t="s">
        <v>2660</v>
      </c>
      <c r="D28" s="2743">
        <v>2</v>
      </c>
      <c r="E28" s="2744">
        <v>9.7607115856835538</v>
      </c>
      <c r="F28" s="2744">
        <f>'Instructions SI'!$E$28:$E$29*'Instructions SI'!$D$28:$D$29</f>
        <v>19.521423171367108</v>
      </c>
    </row>
    <row r="29" spans="1:6" ht="15.75" thickBot="1">
      <c r="C29" s="2745" t="s">
        <v>2661</v>
      </c>
      <c r="D29" s="2745">
        <v>3</v>
      </c>
      <c r="E29" s="2746">
        <v>3.4189202461080024</v>
      </c>
      <c r="F29" s="2746">
        <f>'Instructions SI'!$E$28:$E$29*'Instructions SI'!$D$28:$D$29</f>
        <v>10.256760738324008</v>
      </c>
    </row>
    <row r="30" spans="1:6">
      <c r="C30" s="2736"/>
      <c r="D30" s="2736"/>
      <c r="E30" s="2736"/>
      <c r="F30" s="2736"/>
    </row>
    <row r="31" spans="1:6">
      <c r="C31" s="2736"/>
      <c r="D31" s="2736" t="s">
        <v>2662</v>
      </c>
      <c r="E31" s="2747">
        <f>SUM('Instructions SI'!$E$28:$E$29)</f>
        <v>13.179631831791557</v>
      </c>
      <c r="F31" s="2747">
        <f>SUM('Instructions SI'!F28:F29)</f>
        <v>29.778183909691116</v>
      </c>
    </row>
    <row r="32" spans="1:6" ht="15.75" thickBot="1">
      <c r="C32" s="2736"/>
      <c r="D32" s="2736"/>
      <c r="E32" s="2736"/>
      <c r="F32" s="2736"/>
    </row>
    <row r="33" spans="3:6" ht="16.5" thickTop="1" thickBot="1">
      <c r="C33" s="2736"/>
      <c r="D33" s="2736" t="s">
        <v>2663</v>
      </c>
      <c r="E33" s="2740" t="s">
        <v>2664</v>
      </c>
      <c r="F33" s="2748" t="e">
        <f>IF(E33="Oui",F31*TaxeVente,0)</f>
        <v>#NAME?</v>
      </c>
    </row>
    <row r="34" spans="3:6" ht="16.5" thickTop="1" thickBot="1">
      <c r="C34" s="2736"/>
      <c r="D34" s="2736"/>
      <c r="E34" s="2736"/>
      <c r="F34" s="2736"/>
    </row>
    <row r="35" spans="3:6" ht="16.5" thickTop="1" thickBot="1">
      <c r="C35" s="2736"/>
      <c r="D35" s="2736" t="s">
        <v>2665</v>
      </c>
      <c r="E35" s="2740" t="s">
        <v>2664</v>
      </c>
      <c r="F35" s="2748">
        <f>IF(E35="Oui",SUM(D28:D29)*1.25,0)</f>
        <v>6.25</v>
      </c>
    </row>
    <row r="36" spans="3:6" ht="15.75" thickTop="1"/>
    <row r="37" spans="3:6">
      <c r="D37" s="2736" t="s">
        <v>146</v>
      </c>
      <c r="E37" s="2736"/>
      <c r="F37" s="2747" t="e">
        <f>SUM(F33,F31,F35)</f>
        <v>#NAME?</v>
      </c>
    </row>
  </sheetData>
  <mergeCells count="1">
    <mergeCell ref="C8:D8"/>
  </mergeCells>
  <dataValidations count="1">
    <dataValidation type="list" allowBlank="1" showInputMessage="1" showErrorMessage="1" sqref="E35 E33" xr:uid="{00000000-0002-0000-1500-000000000000}">
      <formula1>"Oui,Non"</formula1>
    </dataValidation>
  </dataValidations>
  <hyperlinks>
    <hyperlink ref="M25" r:id="rId1" display="https://support.office.com/en-us/article/IF-function-69AED7C9-4E8A-4755-A9BC-AA8BBFF73BE2" xr:uid="{00000000-0004-0000-1500-000000000000}"/>
  </hyperlinks>
  <pageMargins left="0.7" right="0.7" top="0.75" bottom="0.75" header="0.3" footer="0.3"/>
  <pageSetup paperSize="9"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44"/>
  <sheetViews>
    <sheetView showGridLines="0" zoomScaleNormal="100" workbookViewId="0">
      <selection activeCell="L25" sqref="L25"/>
    </sheetView>
  </sheetViews>
  <sheetFormatPr baseColWidth="10" defaultColWidth="7.75" defaultRowHeight="15" customHeight="1"/>
  <cols>
    <col min="1" max="1" width="11.125" style="2690" customWidth="1"/>
    <col min="2" max="2" width="72.5" style="2707" customWidth="1"/>
    <col min="3" max="3" width="11.625" style="2707" customWidth="1"/>
    <col min="4" max="4" width="11.625" style="2714" customWidth="1"/>
    <col min="5" max="5" width="2" style="2707" customWidth="1"/>
    <col min="6" max="7" width="11.625" style="2707" customWidth="1"/>
    <col min="8" max="16384" width="7.75" style="2707"/>
  </cols>
  <sheetData>
    <row r="1" spans="1:7" ht="60" customHeight="1">
      <c r="A1" s="2690" t="s">
        <v>2666</v>
      </c>
      <c r="D1" s="2708"/>
      <c r="E1" s="2708"/>
      <c r="F1" s="2708"/>
      <c r="G1" s="2708"/>
    </row>
    <row r="2" spans="1:7" ht="15" customHeight="1">
      <c r="A2" s="2690" t="s">
        <v>2667</v>
      </c>
    </row>
    <row r="3" spans="1:7" ht="15" customHeight="1">
      <c r="A3" s="2690" t="e">
        <f>VLOOKUP(A1,B:C,2,FALSE)</f>
        <v>#N/A</v>
      </c>
    </row>
    <row r="4" spans="1:7" ht="15" customHeight="1">
      <c r="A4" s="2690" t="s">
        <v>2668</v>
      </c>
    </row>
    <row r="5" spans="1:7" s="2714" customFormat="1" ht="15" customHeight="1">
      <c r="A5" s="2749" t="s">
        <v>2669</v>
      </c>
    </row>
    <row r="6" spans="1:7" s="2714" customFormat="1" ht="15" customHeight="1">
      <c r="A6" s="2749" t="s">
        <v>2670</v>
      </c>
    </row>
    <row r="7" spans="1:7" s="2714" customFormat="1" ht="15" customHeight="1">
      <c r="A7" s="2749" t="s">
        <v>2671</v>
      </c>
    </row>
    <row r="8" spans="1:7" s="2714" customFormat="1" ht="15" customHeight="1">
      <c r="A8" s="2750" t="s">
        <v>2672</v>
      </c>
    </row>
    <row r="9" spans="1:7" s="2714" customFormat="1" ht="15" customHeight="1">
      <c r="A9" s="2750" t="s">
        <v>2673</v>
      </c>
    </row>
    <row r="10" spans="1:7" s="2714" customFormat="1" ht="15" customHeight="1">
      <c r="A10" s="2749" t="s">
        <v>2674</v>
      </c>
    </row>
    <row r="11" spans="1:7" s="2714" customFormat="1" ht="15" customHeight="1">
      <c r="A11" s="2749" t="s">
        <v>2488</v>
      </c>
    </row>
    <row r="12" spans="1:7" s="2714" customFormat="1" ht="15" customHeight="1">
      <c r="A12" s="2749" t="s">
        <v>2502</v>
      </c>
    </row>
    <row r="13" spans="1:7" s="2714" customFormat="1" ht="15" customHeight="1">
      <c r="A13" s="2749" t="s">
        <v>2675</v>
      </c>
      <c r="C13" s="2737"/>
      <c r="D13" s="2735"/>
      <c r="E13" s="2735"/>
      <c r="F13" s="2735"/>
      <c r="G13" s="2735"/>
    </row>
    <row r="14" spans="1:7" s="2714" customFormat="1" ht="15" customHeight="1">
      <c r="A14" s="2749" t="s">
        <v>2676</v>
      </c>
      <c r="C14" s="2735"/>
      <c r="D14" s="2735"/>
      <c r="E14" s="2735"/>
      <c r="F14" s="2735"/>
      <c r="G14" s="2735"/>
    </row>
    <row r="15" spans="1:7" s="2714" customFormat="1" ht="15" customHeight="1">
      <c r="A15" s="2750" t="s">
        <v>2677</v>
      </c>
    </row>
    <row r="16" spans="1:7" s="2714" customFormat="1" ht="15" customHeight="1">
      <c r="A16" s="2684" t="s">
        <v>2678</v>
      </c>
      <c r="C16" s="2751" t="s">
        <v>2512</v>
      </c>
      <c r="D16" s="2752" t="s">
        <v>2058</v>
      </c>
      <c r="E16" s="2753"/>
      <c r="F16" s="2754" t="s">
        <v>2513</v>
      </c>
      <c r="G16" s="2752" t="s">
        <v>2058</v>
      </c>
    </row>
    <row r="17" spans="1:12" s="2714" customFormat="1" ht="15" customHeight="1">
      <c r="A17" s="2749" t="s">
        <v>2679</v>
      </c>
      <c r="C17" s="2712" t="s">
        <v>2515</v>
      </c>
      <c r="D17" s="2713">
        <v>50</v>
      </c>
      <c r="E17" s="2709"/>
      <c r="F17" s="2712" t="s">
        <v>2516</v>
      </c>
      <c r="G17" s="2713">
        <v>50</v>
      </c>
    </row>
    <row r="18" spans="1:12" s="2714" customFormat="1" ht="15" customHeight="1">
      <c r="A18" s="2749" t="s">
        <v>2501</v>
      </c>
      <c r="C18" s="2712" t="s">
        <v>2518</v>
      </c>
      <c r="D18" s="2713">
        <v>20</v>
      </c>
      <c r="E18" s="2709"/>
      <c r="F18" s="2712" t="s">
        <v>2519</v>
      </c>
      <c r="G18" s="2713">
        <v>30</v>
      </c>
    </row>
    <row r="19" spans="1:12" s="2714" customFormat="1" ht="15" customHeight="1">
      <c r="A19" s="2749" t="s">
        <v>2502</v>
      </c>
      <c r="C19" s="2712" t="s">
        <v>2521</v>
      </c>
      <c r="D19" s="2713">
        <v>60</v>
      </c>
      <c r="E19" s="2709"/>
      <c r="F19" s="2712" t="s">
        <v>2522</v>
      </c>
      <c r="G19" s="2713">
        <v>10</v>
      </c>
    </row>
    <row r="20" spans="1:12" s="2714" customFormat="1" ht="15" customHeight="1">
      <c r="A20" s="2749" t="s">
        <v>2503</v>
      </c>
      <c r="C20" s="2712" t="s">
        <v>2523</v>
      </c>
      <c r="D20" s="2713">
        <v>40</v>
      </c>
      <c r="E20" s="2709"/>
      <c r="F20" s="2712" t="s">
        <v>2524</v>
      </c>
      <c r="G20" s="2713">
        <v>50</v>
      </c>
    </row>
    <row r="21" spans="1:12" s="2714" customFormat="1" ht="15" customHeight="1" thickBot="1">
      <c r="A21" s="2749" t="s">
        <v>2680</v>
      </c>
    </row>
    <row r="22" spans="1:12" s="2714" customFormat="1" ht="15" customHeight="1" thickTop="1" thickBot="1">
      <c r="A22" s="2749" t="s">
        <v>2681</v>
      </c>
      <c r="C22" s="2755" t="s">
        <v>2515</v>
      </c>
      <c r="D22" s="2756"/>
      <c r="E22" s="2709"/>
      <c r="F22" s="2755" t="s">
        <v>2522</v>
      </c>
      <c r="G22" s="2756"/>
    </row>
    <row r="23" spans="1:12" s="2714" customFormat="1" ht="15" customHeight="1" thickTop="1">
      <c r="A23" s="2749" t="s">
        <v>2682</v>
      </c>
      <c r="D23" s="2709"/>
      <c r="E23" s="2709"/>
      <c r="G23" s="2709"/>
    </row>
    <row r="24" spans="1:12" s="2714" customFormat="1" ht="15" customHeight="1">
      <c r="A24" s="2749" t="s">
        <v>2683</v>
      </c>
    </row>
    <row r="25" spans="1:12" s="2714" customFormat="1" ht="15" customHeight="1">
      <c r="A25" s="2749" t="s">
        <v>2508</v>
      </c>
    </row>
    <row r="26" spans="1:12" ht="15" customHeight="1">
      <c r="C26" s="2714"/>
      <c r="E26" s="2714"/>
      <c r="F26" s="2714"/>
      <c r="G26" s="2714"/>
      <c r="I26" s="2714"/>
      <c r="J26" s="2714"/>
      <c r="K26" s="2714"/>
      <c r="L26" s="2714"/>
    </row>
    <row r="27" spans="1:12" ht="15" customHeight="1">
      <c r="C27" s="2714"/>
      <c r="E27" s="2714"/>
      <c r="F27" s="2714"/>
      <c r="G27" s="2714"/>
    </row>
    <row r="28" spans="1:12" ht="15" customHeight="1">
      <c r="C28" s="2714"/>
      <c r="E28" s="2714"/>
      <c r="F28" s="2714"/>
      <c r="G28" s="2714"/>
    </row>
    <row r="33" spans="3:7" ht="15" customHeight="1">
      <c r="C33" s="2757"/>
      <c r="D33" s="2758"/>
      <c r="E33" s="2758"/>
      <c r="F33" s="2758"/>
      <c r="G33" s="2758"/>
    </row>
    <row r="34" spans="3:7" ht="15" customHeight="1">
      <c r="C34" s="2758"/>
      <c r="D34" s="2758"/>
      <c r="E34" s="2758"/>
      <c r="F34" s="2758"/>
      <c r="G34" s="2758"/>
    </row>
    <row r="35" spans="3:7" ht="15" customHeight="1">
      <c r="C35" s="2759" t="s">
        <v>2684</v>
      </c>
      <c r="D35" s="2708"/>
      <c r="E35" s="2708"/>
      <c r="F35" s="2708"/>
      <c r="G35" s="2708"/>
    </row>
    <row r="36" spans="3:7" ht="15" customHeight="1">
      <c r="C36" s="2751" t="s">
        <v>2528</v>
      </c>
      <c r="D36" s="2752" t="s">
        <v>2058</v>
      </c>
      <c r="E36" s="2753"/>
      <c r="F36" s="2754" t="s">
        <v>2528</v>
      </c>
      <c r="G36" s="2752" t="s">
        <v>2058</v>
      </c>
    </row>
    <row r="37" spans="3:7" ht="15" customHeight="1">
      <c r="C37" s="2712" t="s">
        <v>2530</v>
      </c>
      <c r="D37" s="2713">
        <v>50</v>
      </c>
      <c r="E37" s="2709"/>
      <c r="F37" s="2712" t="s">
        <v>2530</v>
      </c>
      <c r="G37" s="2713">
        <v>50</v>
      </c>
    </row>
    <row r="38" spans="3:7" ht="15" customHeight="1">
      <c r="C38" s="2712" t="s">
        <v>2532</v>
      </c>
      <c r="D38" s="2713">
        <v>100</v>
      </c>
      <c r="E38" s="2709"/>
      <c r="F38" s="2712" t="s">
        <v>2532</v>
      </c>
      <c r="G38" s="2713">
        <v>100</v>
      </c>
    </row>
    <row r="39" spans="3:7" ht="15" customHeight="1">
      <c r="C39" s="2712" t="s">
        <v>2534</v>
      </c>
      <c r="D39" s="2713">
        <v>40</v>
      </c>
      <c r="E39" s="2709"/>
      <c r="F39" s="2712" t="s">
        <v>2534</v>
      </c>
      <c r="G39" s="2713">
        <v>40</v>
      </c>
    </row>
    <row r="40" spans="3:7" ht="15" customHeight="1">
      <c r="C40" s="2712" t="s">
        <v>2536</v>
      </c>
      <c r="D40" s="2713">
        <v>50</v>
      </c>
      <c r="E40" s="2709"/>
      <c r="F40" s="2712" t="s">
        <v>2536</v>
      </c>
      <c r="G40" s="2713">
        <v>50</v>
      </c>
    </row>
    <row r="41" spans="3:7" ht="15" customHeight="1">
      <c r="C41" s="2696" t="s">
        <v>4</v>
      </c>
      <c r="D41" s="2713">
        <v>20</v>
      </c>
      <c r="E41" s="2709"/>
      <c r="F41" s="2712" t="s">
        <v>4</v>
      </c>
      <c r="G41" s="2713">
        <v>20</v>
      </c>
    </row>
    <row r="42" spans="3:7" ht="15" customHeight="1" thickBot="1">
      <c r="C42" s="2714"/>
      <c r="E42" s="2714"/>
      <c r="F42" s="2714"/>
      <c r="G42" s="2714"/>
    </row>
    <row r="43" spans="3:7" ht="15" customHeight="1" thickTop="1" thickBot="1">
      <c r="C43" s="2755"/>
      <c r="D43" s="2756" t="e">
        <f>VLOOKUP(C43,C37:D41,2,FALSE)</f>
        <v>#N/A</v>
      </c>
      <c r="E43" s="2709"/>
      <c r="F43" s="2755" t="s">
        <v>2685</v>
      </c>
      <c r="G43" s="2756" t="str">
        <f>IFERROR(VLOOKUP(F43,F37:G41,2,FALSE),"")</f>
        <v/>
      </c>
    </row>
    <row r="44" spans="3:7" ht="15" customHeight="1" thickTop="1"/>
  </sheetData>
  <dataValidations count="4">
    <dataValidation type="list" allowBlank="1" showInputMessage="1" sqref="F43" xr:uid="{00000000-0002-0000-1600-000000000000}">
      <formula1>$F$37:$F$41</formula1>
    </dataValidation>
    <dataValidation type="list" allowBlank="1" showInputMessage="1" showErrorMessage="1" sqref="C43" xr:uid="{00000000-0002-0000-1600-000001000000}">
      <formula1>$C$37:$C$41</formula1>
    </dataValidation>
    <dataValidation type="list" allowBlank="1" showInputMessage="1" showErrorMessage="1" sqref="F22" xr:uid="{00000000-0002-0000-1600-000002000000}">
      <formula1>$F$17:$F$20</formula1>
    </dataValidation>
    <dataValidation type="list" allowBlank="1" showInputMessage="1" showErrorMessage="1" sqref="C22" xr:uid="{00000000-0002-0000-1600-000003000000}">
      <formula1>$C$17:$C$20</formula1>
    </dataValidation>
  </dataValidations>
  <pageMargins left="0.7" right="0.7" top="0.75" bottom="0.75"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124"/>
  <sheetViews>
    <sheetView showGridLines="0" zoomScaleNormal="100" workbookViewId="0">
      <selection activeCell="E24" sqref="E24"/>
    </sheetView>
  </sheetViews>
  <sheetFormatPr baseColWidth="10" defaultColWidth="7.75" defaultRowHeight="15"/>
  <cols>
    <col min="1" max="1" width="11.125" style="2690" customWidth="1"/>
    <col min="2" max="2" width="72.5" style="2690" customWidth="1"/>
    <col min="3" max="4" width="11.125" style="2707" customWidth="1"/>
    <col min="5" max="5" width="19.5" style="2707" bestFit="1" customWidth="1"/>
    <col min="6" max="7" width="11.125" style="2707" customWidth="1"/>
    <col min="8" max="8" width="12.5" style="2707" bestFit="1" customWidth="1"/>
    <col min="9" max="24" width="7.75" style="2707"/>
    <col min="25" max="25" width="7.75" style="2707" customWidth="1"/>
    <col min="26" max="26" width="11.375" style="2707" hidden="1" customWidth="1"/>
    <col min="27" max="27" width="2" style="2707" hidden="1" customWidth="1"/>
    <col min="28" max="28" width="14.5" style="2707" hidden="1" customWidth="1"/>
    <col min="29" max="29" width="2" style="2707" hidden="1" customWidth="1"/>
    <col min="30" max="30" width="13.875" style="2707" hidden="1" customWidth="1"/>
    <col min="31" max="31" width="2" style="2707" hidden="1" customWidth="1"/>
    <col min="32" max="32" width="14.25" style="2707" hidden="1" customWidth="1"/>
    <col min="33" max="33" width="2" style="2707" hidden="1" customWidth="1"/>
    <col min="34" max="34" width="13" style="2707" hidden="1" customWidth="1"/>
    <col min="35" max="35" width="7.75" style="2707" customWidth="1"/>
    <col min="36" max="16384" width="7.75" style="2707"/>
  </cols>
  <sheetData>
    <row r="1" spans="1:34" ht="60" customHeight="1">
      <c r="A1" s="2672" t="s">
        <v>2686</v>
      </c>
      <c r="C1" s="2674"/>
      <c r="D1" s="2708"/>
      <c r="E1" s="2708"/>
      <c r="F1" s="2708"/>
      <c r="G1" s="2708"/>
      <c r="H1" s="2708"/>
    </row>
    <row r="2" spans="1:34" ht="15" customHeight="1">
      <c r="A2" s="2672" t="s">
        <v>2687</v>
      </c>
      <c r="C2" s="2677" t="s">
        <v>2512</v>
      </c>
      <c r="D2" s="2678" t="s">
        <v>2058</v>
      </c>
      <c r="E2" s="2709"/>
      <c r="F2" s="2677" t="s">
        <v>2512</v>
      </c>
      <c r="G2" s="2677" t="s">
        <v>2688</v>
      </c>
      <c r="H2" s="2678" t="s">
        <v>2058</v>
      </c>
      <c r="Z2" s="2677" t="s">
        <v>2512</v>
      </c>
      <c r="AB2" s="2677" t="s">
        <v>2515</v>
      </c>
      <c r="AD2" s="2677" t="s">
        <v>2518</v>
      </c>
      <c r="AF2" s="2677" t="s">
        <v>2521</v>
      </c>
      <c r="AH2" s="2677" t="s">
        <v>2523</v>
      </c>
    </row>
    <row r="3" spans="1:34" ht="15" customHeight="1">
      <c r="A3" s="2672" t="s">
        <v>2689</v>
      </c>
      <c r="C3" s="2682" t="s">
        <v>2515</v>
      </c>
      <c r="D3" s="2713">
        <v>50</v>
      </c>
      <c r="E3" s="2709"/>
      <c r="F3" s="2682" t="s">
        <v>2515</v>
      </c>
      <c r="G3" s="2682" t="s">
        <v>2690</v>
      </c>
      <c r="H3" s="2713">
        <v>50</v>
      </c>
      <c r="Z3" s="2760" t="s">
        <v>2515</v>
      </c>
      <c r="AB3" s="2760" t="s">
        <v>2690</v>
      </c>
      <c r="AD3" s="2760" t="s">
        <v>2691</v>
      </c>
      <c r="AF3" s="2760" t="s">
        <v>2692</v>
      </c>
      <c r="AH3" s="2760" t="s">
        <v>2693</v>
      </c>
    </row>
    <row r="4" spans="1:34" ht="15" customHeight="1">
      <c r="A4" s="2672">
        <f>SUMIF(C3:C14,C17,D3:D14)</f>
        <v>150</v>
      </c>
      <c r="C4" s="2682" t="s">
        <v>2518</v>
      </c>
      <c r="D4" s="2713">
        <v>20</v>
      </c>
      <c r="E4" s="2709"/>
      <c r="F4" s="2682" t="s">
        <v>2518</v>
      </c>
      <c r="G4" s="2682" t="s">
        <v>2691</v>
      </c>
      <c r="H4" s="2713">
        <v>20</v>
      </c>
      <c r="J4" s="2711"/>
      <c r="K4" s="2711"/>
      <c r="L4" s="2711"/>
      <c r="M4" s="2711"/>
      <c r="N4" s="2711"/>
      <c r="Z4" s="2760" t="s">
        <v>2518</v>
      </c>
      <c r="AB4" s="2760" t="s">
        <v>2694</v>
      </c>
      <c r="AD4" s="2760" t="s">
        <v>2695</v>
      </c>
      <c r="AF4" s="2760" t="s">
        <v>2696</v>
      </c>
      <c r="AH4" s="2760" t="s">
        <v>2697</v>
      </c>
    </row>
    <row r="5" spans="1:34" s="2714" customFormat="1" ht="15" customHeight="1">
      <c r="A5" s="2672" t="s">
        <v>2698</v>
      </c>
      <c r="C5" s="2682" t="s">
        <v>2521</v>
      </c>
      <c r="D5" s="2713">
        <v>60</v>
      </c>
      <c r="E5" s="2709"/>
      <c r="F5" s="2682" t="s">
        <v>2521</v>
      </c>
      <c r="G5" s="2682" t="s">
        <v>2692</v>
      </c>
      <c r="H5" s="2713">
        <v>60</v>
      </c>
      <c r="I5" s="2707"/>
      <c r="J5" s="2711"/>
      <c r="K5" s="2761"/>
      <c r="L5" s="2711"/>
      <c r="M5" s="2711"/>
      <c r="N5" s="2711"/>
      <c r="O5" s="2707"/>
      <c r="P5" s="2707"/>
      <c r="Z5" s="2760" t="s">
        <v>2521</v>
      </c>
    </row>
    <row r="6" spans="1:34" s="2714" customFormat="1" ht="15" customHeight="1">
      <c r="A6" s="2672" t="s">
        <v>2699</v>
      </c>
      <c r="C6" s="2682" t="s">
        <v>2523</v>
      </c>
      <c r="D6" s="2713">
        <v>40</v>
      </c>
      <c r="E6" s="2709"/>
      <c r="F6" s="2682" t="s">
        <v>2523</v>
      </c>
      <c r="G6" s="2682" t="s">
        <v>2693</v>
      </c>
      <c r="H6" s="2713">
        <v>40</v>
      </c>
      <c r="I6" s="2707"/>
      <c r="J6" s="2707"/>
      <c r="K6" s="2707"/>
      <c r="L6" s="2707"/>
      <c r="M6" s="2707"/>
      <c r="N6" s="2711"/>
      <c r="O6" s="2707"/>
      <c r="P6" s="2707"/>
      <c r="Z6" s="2760" t="s">
        <v>2523</v>
      </c>
    </row>
    <row r="7" spans="1:34" s="2714" customFormat="1" ht="15" customHeight="1">
      <c r="A7" s="2672" t="s">
        <v>2700</v>
      </c>
      <c r="C7" s="2682" t="s">
        <v>2515</v>
      </c>
      <c r="D7" s="2713">
        <v>50</v>
      </c>
      <c r="E7" s="2709"/>
      <c r="F7" s="2682" t="s">
        <v>2515</v>
      </c>
      <c r="G7" s="2682" t="s">
        <v>2694</v>
      </c>
      <c r="H7" s="2713">
        <v>50</v>
      </c>
      <c r="N7" s="2711"/>
    </row>
    <row r="8" spans="1:34" s="2714" customFormat="1" ht="15" customHeight="1">
      <c r="A8" s="2684" t="s">
        <v>2701</v>
      </c>
      <c r="C8" s="2682" t="s">
        <v>2518</v>
      </c>
      <c r="D8" s="2713">
        <v>20</v>
      </c>
      <c r="E8" s="2709"/>
      <c r="F8" s="2682" t="s">
        <v>2518</v>
      </c>
      <c r="G8" s="2682" t="s">
        <v>2695</v>
      </c>
      <c r="H8" s="2713">
        <v>20</v>
      </c>
      <c r="N8" s="2711"/>
    </row>
    <row r="9" spans="1:34" s="2714" customFormat="1" ht="15" customHeight="1">
      <c r="A9" s="2672">
        <f>SUMIFS(H3:H14,F3:F14,F17,G3:G14,G17)</f>
        <v>20</v>
      </c>
      <c r="C9" s="2682" t="s">
        <v>2521</v>
      </c>
      <c r="D9" s="2713">
        <v>60</v>
      </c>
      <c r="E9" s="2709"/>
      <c r="F9" s="2682" t="s">
        <v>2521</v>
      </c>
      <c r="G9" s="2682" t="s">
        <v>2696</v>
      </c>
      <c r="H9" s="2713">
        <v>60</v>
      </c>
      <c r="N9" s="2711"/>
    </row>
    <row r="10" spans="1:34" s="2714" customFormat="1" ht="15" customHeight="1">
      <c r="A10" s="2672" t="s">
        <v>2702</v>
      </c>
      <c r="C10" s="2682" t="s">
        <v>2523</v>
      </c>
      <c r="D10" s="2713">
        <v>40</v>
      </c>
      <c r="E10" s="2709"/>
      <c r="F10" s="2682" t="s">
        <v>2523</v>
      </c>
      <c r="G10" s="2682" t="s">
        <v>2697</v>
      </c>
      <c r="H10" s="2713">
        <v>40</v>
      </c>
      <c r="J10" s="2711"/>
      <c r="K10" s="2711"/>
      <c r="L10" s="2711"/>
      <c r="M10" s="2711"/>
      <c r="N10" s="2711"/>
    </row>
    <row r="11" spans="1:34" s="2714" customFormat="1" ht="15" customHeight="1">
      <c r="A11" s="2672" t="s">
        <v>2703</v>
      </c>
      <c r="C11" s="2682" t="s">
        <v>2515</v>
      </c>
      <c r="D11" s="2713">
        <v>50</v>
      </c>
      <c r="E11" s="2709"/>
      <c r="F11" s="2682" t="s">
        <v>2515</v>
      </c>
      <c r="G11" s="2682" t="s">
        <v>2694</v>
      </c>
      <c r="H11" s="2713">
        <v>50</v>
      </c>
      <c r="J11" s="2762"/>
      <c r="K11" s="2715"/>
      <c r="L11" s="2711"/>
      <c r="M11" s="2711"/>
      <c r="N11" s="2711"/>
    </row>
    <row r="12" spans="1:34" s="2714" customFormat="1" ht="15" customHeight="1">
      <c r="A12" s="2672" t="s">
        <v>2704</v>
      </c>
      <c r="C12" s="2682" t="s">
        <v>2518</v>
      </c>
      <c r="D12" s="2713">
        <v>20</v>
      </c>
      <c r="E12" s="2709"/>
      <c r="F12" s="2682" t="s">
        <v>2518</v>
      </c>
      <c r="G12" s="2682" t="s">
        <v>2695</v>
      </c>
      <c r="H12" s="2713">
        <v>20</v>
      </c>
      <c r="J12" s="2762"/>
      <c r="K12" s="2763"/>
      <c r="L12" s="2711"/>
      <c r="M12" s="2711"/>
      <c r="N12" s="2711"/>
    </row>
    <row r="13" spans="1:34" s="2714" customFormat="1" ht="15" customHeight="1">
      <c r="A13" s="2684" t="s">
        <v>2705</v>
      </c>
      <c r="C13" s="2682" t="s">
        <v>2521</v>
      </c>
      <c r="D13" s="2713">
        <v>60</v>
      </c>
      <c r="E13" s="2709"/>
      <c r="F13" s="2682" t="s">
        <v>2521</v>
      </c>
      <c r="G13" s="2682" t="s">
        <v>2692</v>
      </c>
      <c r="H13" s="2713">
        <v>60</v>
      </c>
      <c r="J13" s="2762"/>
      <c r="K13" s="2763"/>
      <c r="L13" s="2711"/>
      <c r="M13" s="2711"/>
      <c r="N13" s="2711"/>
    </row>
    <row r="14" spans="1:34" s="2714" customFormat="1" ht="15" customHeight="1">
      <c r="A14" s="2685" t="s">
        <v>2706</v>
      </c>
      <c r="C14" s="2682" t="s">
        <v>2523</v>
      </c>
      <c r="D14" s="2713">
        <v>40</v>
      </c>
      <c r="E14" s="2709"/>
      <c r="F14" s="2682" t="s">
        <v>2523</v>
      </c>
      <c r="G14" s="2682" t="s">
        <v>2697</v>
      </c>
      <c r="H14" s="2713">
        <v>40</v>
      </c>
      <c r="J14" s="2762"/>
      <c r="K14" s="2764"/>
      <c r="L14" s="2711"/>
      <c r="M14" s="2711"/>
      <c r="N14" s="2711"/>
    </row>
    <row r="15" spans="1:34" s="2714" customFormat="1" ht="15" customHeight="1">
      <c r="A15" s="2684" t="s">
        <v>2707</v>
      </c>
      <c r="C15" s="2673"/>
      <c r="D15" s="2673"/>
      <c r="E15" s="2673"/>
      <c r="F15" s="2673"/>
      <c r="G15" s="2673"/>
      <c r="H15" s="2673"/>
      <c r="J15" s="2762"/>
      <c r="K15" s="2765"/>
      <c r="L15" s="2711"/>
      <c r="M15" s="2711"/>
      <c r="N15" s="2711"/>
    </row>
    <row r="16" spans="1:34" s="2714" customFormat="1" ht="15" customHeight="1" thickBot="1">
      <c r="A16" s="2672" t="s">
        <v>2488</v>
      </c>
      <c r="C16" s="2714" t="s">
        <v>2512</v>
      </c>
      <c r="D16" s="2753" t="s">
        <v>2708</v>
      </c>
      <c r="E16" s="2709"/>
      <c r="F16" s="2714" t="s">
        <v>2512</v>
      </c>
      <c r="G16" s="2714" t="s">
        <v>2688</v>
      </c>
      <c r="H16" s="2753" t="s">
        <v>2709</v>
      </c>
      <c r="J16" s="2762"/>
      <c r="K16" s="2715"/>
      <c r="L16" s="2711"/>
      <c r="M16" s="2711"/>
      <c r="N16" s="2711"/>
    </row>
    <row r="17" spans="1:34" s="2714" customFormat="1" ht="15" customHeight="1" thickTop="1" thickBot="1">
      <c r="A17" s="2672" t="s">
        <v>2489</v>
      </c>
      <c r="C17" s="2679" t="s">
        <v>2515</v>
      </c>
      <c r="D17" s="2739"/>
      <c r="E17" s="2709"/>
      <c r="F17" s="2679" t="s">
        <v>2518</v>
      </c>
      <c r="G17" s="2679" t="s">
        <v>2691</v>
      </c>
      <c r="H17" s="2756"/>
      <c r="J17" s="2766"/>
      <c r="K17" s="2763"/>
      <c r="L17" s="2711"/>
      <c r="M17" s="2711"/>
      <c r="N17" s="2711"/>
    </row>
    <row r="18" spans="1:34" s="2714" customFormat="1" ht="15" customHeight="1" thickTop="1">
      <c r="A18" s="2672" t="s">
        <v>2710</v>
      </c>
      <c r="E18" s="2709"/>
      <c r="J18" s="2762"/>
      <c r="K18" s="2764"/>
      <c r="L18" s="2711"/>
      <c r="M18" s="2711"/>
      <c r="N18" s="2711"/>
    </row>
    <row r="19" spans="1:34" s="2714" customFormat="1" ht="15" customHeight="1">
      <c r="A19" s="2672" t="s">
        <v>2711</v>
      </c>
      <c r="C19" s="2707"/>
      <c r="D19" s="2707"/>
      <c r="E19" s="2707"/>
      <c r="F19" s="2707"/>
      <c r="G19" s="2707"/>
      <c r="H19" s="2707"/>
      <c r="J19" s="2762"/>
      <c r="K19" s="2765"/>
      <c r="L19" s="2711"/>
      <c r="M19" s="2711"/>
    </row>
    <row r="20" spans="1:34" s="2714" customFormat="1" ht="15" customHeight="1">
      <c r="A20" s="2672" t="s">
        <v>2712</v>
      </c>
      <c r="C20" s="2707"/>
      <c r="D20" s="2707"/>
      <c r="E20" s="2707"/>
      <c r="F20" s="2707"/>
      <c r="G20" s="2707"/>
      <c r="H20" s="2707"/>
      <c r="J20" s="2766"/>
      <c r="K20" s="2715"/>
      <c r="M20" s="2711"/>
    </row>
    <row r="21" spans="1:34" s="2714" customFormat="1" ht="15" customHeight="1">
      <c r="A21" s="2672">
        <f>COUNTIF(C50:C61,C64)</f>
        <v>3</v>
      </c>
      <c r="C21" s="2707"/>
      <c r="D21" s="2707"/>
      <c r="E21" s="2707"/>
      <c r="F21" s="2707"/>
      <c r="G21" s="2707"/>
      <c r="H21" s="2707"/>
      <c r="J21" s="2766"/>
      <c r="K21" s="2763"/>
      <c r="M21" s="2711"/>
    </row>
    <row r="22" spans="1:34" s="2714" customFormat="1" ht="15" customHeight="1">
      <c r="A22" s="2672" t="s">
        <v>2698</v>
      </c>
      <c r="C22" s="2707"/>
      <c r="D22" s="2707"/>
      <c r="E22" s="2707"/>
      <c r="F22" s="2707"/>
      <c r="G22" s="2707"/>
      <c r="H22" s="2707"/>
      <c r="J22" s="2707"/>
      <c r="K22" s="2763"/>
      <c r="L22" s="2767"/>
      <c r="M22" s="2711"/>
    </row>
    <row r="23" spans="1:34" s="2714" customFormat="1" ht="15" customHeight="1">
      <c r="A23" s="2672" t="s">
        <v>2699</v>
      </c>
      <c r="C23" s="2707"/>
      <c r="D23" s="2707"/>
      <c r="E23" s="2707"/>
      <c r="F23" s="2707"/>
      <c r="G23" s="2707"/>
      <c r="H23" s="2707"/>
      <c r="J23" s="2707"/>
      <c r="K23" s="2768"/>
      <c r="L23" s="2767"/>
      <c r="M23" s="2711"/>
    </row>
    <row r="24" spans="1:34" s="2714" customFormat="1" ht="15" customHeight="1">
      <c r="A24" s="2684" t="s">
        <v>2713</v>
      </c>
      <c r="C24" s="2707"/>
      <c r="D24" s="2707"/>
      <c r="E24" s="2707"/>
      <c r="F24" s="2707"/>
      <c r="G24" s="2707"/>
      <c r="H24" s="2707"/>
      <c r="J24" s="2707"/>
      <c r="L24" s="2767"/>
      <c r="M24" s="2711"/>
      <c r="AH24" s="2707"/>
    </row>
    <row r="25" spans="1:34" s="2714" customFormat="1" ht="15" customHeight="1">
      <c r="A25" s="2672">
        <f>COUNTIFS(F50:F61,F64,G50:G61,G64)</f>
        <v>1</v>
      </c>
      <c r="C25" s="2707"/>
      <c r="D25" s="2707"/>
      <c r="E25" s="2707"/>
      <c r="F25" s="2707"/>
      <c r="G25" s="2707"/>
      <c r="H25" s="2707"/>
      <c r="J25" s="2707"/>
      <c r="L25" s="2767"/>
      <c r="M25" s="2711"/>
      <c r="AH25" s="2707"/>
    </row>
    <row r="26" spans="1:34" s="2714" customFormat="1" ht="15" customHeight="1">
      <c r="A26" s="2672" t="s">
        <v>2714</v>
      </c>
      <c r="C26" s="2707"/>
      <c r="D26" s="2707"/>
      <c r="E26" s="2707"/>
      <c r="F26" s="2707"/>
      <c r="G26" s="2707"/>
      <c r="H26" s="2707"/>
      <c r="J26" s="2707"/>
      <c r="L26" s="2767"/>
      <c r="M26" s="2711"/>
      <c r="AH26" s="2707"/>
    </row>
    <row r="27" spans="1:34" s="2714" customFormat="1" ht="15" customHeight="1">
      <c r="A27" s="2672" t="s">
        <v>2704</v>
      </c>
      <c r="C27" s="2707"/>
      <c r="D27" s="2707"/>
      <c r="E27" s="2707"/>
      <c r="F27" s="2707"/>
      <c r="G27" s="2707"/>
      <c r="H27" s="2707"/>
      <c r="J27" s="2707"/>
      <c r="L27" s="2767"/>
      <c r="M27" s="2711"/>
      <c r="AH27" s="2707"/>
    </row>
    <row r="28" spans="1:34" s="2714" customFormat="1" ht="15" customHeight="1">
      <c r="A28" s="2672" t="s">
        <v>2715</v>
      </c>
      <c r="C28" s="2707"/>
      <c r="D28" s="2707"/>
      <c r="E28" s="2707"/>
      <c r="F28" s="2707"/>
      <c r="G28" s="2707"/>
      <c r="H28" s="2707"/>
      <c r="J28" s="2707"/>
      <c r="L28" s="2767"/>
      <c r="AH28" s="2707"/>
    </row>
    <row r="29" spans="1:34" s="2714" customFormat="1" ht="15" customHeight="1">
      <c r="A29" s="2672" t="s">
        <v>2706</v>
      </c>
      <c r="C29" s="2707"/>
      <c r="D29" s="2707"/>
      <c r="E29" s="2707"/>
      <c r="F29" s="2707"/>
      <c r="G29" s="2707"/>
      <c r="H29" s="2707"/>
      <c r="J29" s="2707"/>
      <c r="L29" s="2767"/>
      <c r="AH29" s="2707"/>
    </row>
    <row r="30" spans="1:34" s="2714" customFormat="1" ht="15" customHeight="1">
      <c r="A30" s="2672" t="s">
        <v>2488</v>
      </c>
      <c r="C30" s="2707"/>
      <c r="D30" s="2707"/>
      <c r="E30" s="2707"/>
      <c r="F30" s="2707"/>
      <c r="G30" s="2707"/>
      <c r="H30" s="2707"/>
      <c r="AB30" s="2707"/>
      <c r="AD30" s="2707"/>
      <c r="AH30" s="2707"/>
    </row>
    <row r="31" spans="1:34" s="2714" customFormat="1" ht="15" customHeight="1">
      <c r="A31" s="2672" t="s">
        <v>2502</v>
      </c>
      <c r="C31" s="2707"/>
      <c r="D31" s="2707"/>
      <c r="E31" s="2707"/>
      <c r="F31" s="2707"/>
      <c r="G31" s="2707"/>
      <c r="H31" s="2707"/>
      <c r="N31" s="2711"/>
      <c r="AB31" s="2707"/>
      <c r="AD31" s="2707"/>
      <c r="AH31" s="2707"/>
    </row>
    <row r="32" spans="1:34" s="2714" customFormat="1" ht="15" customHeight="1">
      <c r="A32" s="2749" t="s">
        <v>2716</v>
      </c>
      <c r="C32" s="2707"/>
      <c r="D32" s="2707"/>
      <c r="E32" s="2707"/>
      <c r="F32" s="2707"/>
      <c r="G32" s="2707"/>
      <c r="H32" s="2707"/>
      <c r="N32" s="2711"/>
      <c r="AB32" s="2707"/>
      <c r="AD32" s="2707"/>
      <c r="AH32" s="2707"/>
    </row>
    <row r="33" spans="1:34" s="2714" customFormat="1" ht="15" customHeight="1">
      <c r="A33" s="2750" t="s">
        <v>2717</v>
      </c>
      <c r="C33" s="2707"/>
      <c r="D33" s="2707"/>
      <c r="E33" s="2707"/>
      <c r="F33" s="2707"/>
      <c r="G33" s="2707"/>
      <c r="H33" s="2707"/>
      <c r="AB33" s="2707"/>
      <c r="AD33" s="2707"/>
      <c r="AH33" s="2707"/>
    </row>
    <row r="34" spans="1:34" s="2714" customFormat="1" ht="15" customHeight="1">
      <c r="A34" s="2749" t="s">
        <v>2488</v>
      </c>
      <c r="C34" s="2707"/>
      <c r="D34" s="2707"/>
      <c r="E34" s="2707"/>
      <c r="F34" s="2707"/>
      <c r="G34" s="2707"/>
      <c r="H34" s="2707"/>
      <c r="AB34" s="2707"/>
      <c r="AD34" s="2707"/>
      <c r="AH34" s="2707"/>
    </row>
    <row r="35" spans="1:34" s="2714" customFormat="1" ht="15" customHeight="1">
      <c r="A35" s="2749" t="s">
        <v>2502</v>
      </c>
      <c r="AB35" s="2707"/>
      <c r="AD35" s="2707"/>
      <c r="AH35" s="2707"/>
    </row>
    <row r="36" spans="1:34">
      <c r="A36" s="2690" t="s">
        <v>2718</v>
      </c>
      <c r="C36" s="2714"/>
      <c r="D36" s="2714"/>
      <c r="E36" s="2714"/>
      <c r="F36" s="2714"/>
      <c r="G36" s="2714"/>
      <c r="H36" s="2714"/>
      <c r="I36" s="2714"/>
      <c r="J36" s="2714"/>
      <c r="K36" s="2714"/>
      <c r="L36" s="2714"/>
      <c r="M36" s="2714"/>
      <c r="N36" s="2714"/>
      <c r="O36" s="2714"/>
      <c r="P36" s="2714"/>
    </row>
    <row r="37" spans="1:34">
      <c r="A37" s="2690" t="s">
        <v>2719</v>
      </c>
      <c r="C37" s="2714"/>
      <c r="D37" s="2714"/>
      <c r="E37" s="2714"/>
      <c r="F37" s="2714"/>
      <c r="G37" s="2714"/>
      <c r="H37" s="2714"/>
      <c r="I37" s="2714"/>
      <c r="J37" s="2714"/>
      <c r="K37" s="2714"/>
      <c r="L37" s="2714"/>
      <c r="M37" s="2714"/>
      <c r="N37" s="2714"/>
      <c r="O37" s="2714"/>
      <c r="P37" s="2714"/>
    </row>
    <row r="38" spans="1:34">
      <c r="A38" s="2690">
        <f>SUMIF(D118:D122,"&gt;=50")</f>
        <v>200</v>
      </c>
      <c r="C38" s="2714"/>
      <c r="D38" s="2714"/>
      <c r="E38" s="2714"/>
      <c r="F38" s="2714"/>
      <c r="G38" s="2714"/>
      <c r="H38" s="2714"/>
      <c r="I38" s="2714"/>
      <c r="J38" s="2714"/>
      <c r="K38" s="2714"/>
      <c r="L38" s="2714"/>
      <c r="M38" s="2714"/>
      <c r="N38" s="2714"/>
      <c r="O38" s="2714"/>
      <c r="P38" s="2714"/>
    </row>
    <row r="39" spans="1:34">
      <c r="A39" s="2690" t="s">
        <v>2720</v>
      </c>
      <c r="C39" s="2714"/>
      <c r="D39" s="2714"/>
      <c r="E39" s="2714"/>
      <c r="F39" s="2714"/>
      <c r="G39" s="2714"/>
      <c r="H39" s="2714"/>
      <c r="I39" s="2714"/>
      <c r="J39" s="2714"/>
      <c r="K39" s="2714"/>
      <c r="L39" s="2714"/>
      <c r="M39" s="2714"/>
      <c r="N39" s="2714"/>
      <c r="O39" s="2714"/>
      <c r="P39" s="2714"/>
    </row>
    <row r="40" spans="1:34" ht="15.75" customHeight="1">
      <c r="A40" s="2694" t="s">
        <v>2721</v>
      </c>
      <c r="C40" s="2714"/>
      <c r="D40" s="2714"/>
      <c r="E40" s="2714"/>
      <c r="F40" s="2714"/>
      <c r="G40" s="2714"/>
      <c r="H40" s="2714"/>
      <c r="I40" s="2714"/>
      <c r="J40" s="2714"/>
      <c r="K40" s="2714"/>
      <c r="L40" s="2714"/>
      <c r="M40" s="2714"/>
      <c r="N40" s="2714"/>
      <c r="O40" s="2714"/>
      <c r="P40" s="2714"/>
    </row>
    <row r="41" spans="1:34">
      <c r="A41" s="2690" t="s">
        <v>2722</v>
      </c>
      <c r="C41" s="2714"/>
      <c r="D41" s="2714"/>
      <c r="E41" s="2714"/>
      <c r="F41" s="2714"/>
      <c r="G41" s="2714"/>
      <c r="H41" s="2714"/>
      <c r="I41" s="2714"/>
      <c r="J41" s="2714"/>
      <c r="K41" s="2714"/>
      <c r="L41" s="2714"/>
      <c r="M41" s="2714"/>
      <c r="N41" s="2714"/>
      <c r="O41" s="2714"/>
      <c r="P41" s="2714"/>
    </row>
    <row r="42" spans="1:34">
      <c r="A42" s="2690" t="s">
        <v>2723</v>
      </c>
      <c r="C42" s="2714"/>
      <c r="D42" s="2714"/>
      <c r="E42" s="2714"/>
      <c r="F42" s="2714"/>
      <c r="G42" s="2714"/>
      <c r="H42" s="2714"/>
      <c r="I42" s="2714"/>
      <c r="J42" s="2714"/>
      <c r="K42" s="2714"/>
      <c r="L42" s="2714"/>
      <c r="M42" s="2714"/>
      <c r="N42" s="2714"/>
      <c r="O42" s="2714"/>
      <c r="P42" s="2714"/>
    </row>
    <row r="43" spans="1:34">
      <c r="A43" s="2690" t="s">
        <v>2503</v>
      </c>
      <c r="C43" s="2714"/>
      <c r="D43" s="2714"/>
      <c r="E43" s="2714"/>
      <c r="F43" s="2714"/>
      <c r="G43" s="2714"/>
      <c r="H43" s="2714"/>
      <c r="I43" s="2714"/>
      <c r="J43" s="2714"/>
      <c r="K43" s="2714"/>
      <c r="L43" s="2714"/>
      <c r="M43" s="2714"/>
      <c r="N43" s="2714"/>
      <c r="O43" s="2714"/>
      <c r="P43" s="2714"/>
    </row>
    <row r="44" spans="1:34">
      <c r="A44" s="2690" t="s">
        <v>2724</v>
      </c>
      <c r="C44" s="2714"/>
      <c r="D44" s="2714"/>
      <c r="E44" s="2714"/>
      <c r="F44" s="2714"/>
      <c r="G44" s="2714"/>
      <c r="H44" s="2714"/>
      <c r="I44" s="2714"/>
      <c r="J44" s="2714"/>
      <c r="K44" s="2714"/>
      <c r="L44" s="2714"/>
      <c r="M44" s="2714"/>
      <c r="N44" s="2714"/>
      <c r="O44" s="2714"/>
      <c r="P44" s="2714"/>
    </row>
    <row r="45" spans="1:34">
      <c r="A45" s="2690" t="s">
        <v>2725</v>
      </c>
      <c r="C45" s="2714"/>
      <c r="D45" s="2714"/>
      <c r="E45" s="2714"/>
      <c r="F45" s="2714"/>
      <c r="G45" s="2714"/>
      <c r="H45" s="2714"/>
      <c r="I45" s="2714"/>
      <c r="J45" s="2714"/>
      <c r="K45" s="2714"/>
      <c r="L45" s="2714"/>
      <c r="M45" s="2714"/>
      <c r="N45" s="2714"/>
      <c r="O45" s="2714"/>
      <c r="P45" s="2714"/>
    </row>
    <row r="46" spans="1:34">
      <c r="A46" s="2690" t="s">
        <v>2726</v>
      </c>
      <c r="C46" s="2714"/>
      <c r="D46" s="2714"/>
      <c r="E46" s="2714"/>
      <c r="F46" s="2714"/>
      <c r="G46" s="2714"/>
      <c r="H46" s="2714"/>
      <c r="I46" s="2714"/>
      <c r="J46" s="2714"/>
      <c r="K46" s="2714"/>
      <c r="L46" s="2714"/>
      <c r="M46" s="2714"/>
      <c r="N46" s="2714"/>
      <c r="O46" s="2714"/>
      <c r="P46" s="2714"/>
    </row>
    <row r="47" spans="1:34">
      <c r="A47" s="2690" t="s">
        <v>2727</v>
      </c>
      <c r="C47" s="2714"/>
      <c r="D47" s="2714"/>
      <c r="E47" s="2714"/>
      <c r="F47" s="2714"/>
      <c r="G47" s="2714"/>
      <c r="H47" s="2714"/>
      <c r="I47" s="2714"/>
      <c r="J47" s="2714"/>
      <c r="K47" s="2714"/>
      <c r="L47" s="2714"/>
      <c r="M47" s="2714"/>
      <c r="N47" s="2714"/>
      <c r="O47" s="2714"/>
      <c r="P47" s="2714"/>
    </row>
    <row r="48" spans="1:34">
      <c r="A48" s="2690" t="s">
        <v>2728</v>
      </c>
      <c r="C48" s="2714"/>
      <c r="D48" s="2714"/>
      <c r="E48" s="2714"/>
      <c r="F48" s="2714"/>
      <c r="G48" s="2714"/>
      <c r="H48" s="2714"/>
      <c r="I48" s="2714"/>
      <c r="J48" s="2714"/>
      <c r="K48" s="2714"/>
      <c r="L48" s="2714"/>
      <c r="M48" s="2714"/>
      <c r="N48" s="2714"/>
      <c r="O48" s="2714"/>
      <c r="P48" s="2714"/>
    </row>
    <row r="49" spans="1:16">
      <c r="A49" s="2690" t="s">
        <v>2729</v>
      </c>
      <c r="C49" s="2677" t="s">
        <v>2512</v>
      </c>
      <c r="D49" s="2678" t="s">
        <v>2058</v>
      </c>
      <c r="E49" s="2709"/>
      <c r="F49" s="2677" t="s">
        <v>2512</v>
      </c>
      <c r="G49" s="2677" t="s">
        <v>2688</v>
      </c>
      <c r="H49" s="2678" t="s">
        <v>2058</v>
      </c>
      <c r="I49" s="2714"/>
      <c r="J49" s="2714"/>
      <c r="K49" s="2714"/>
      <c r="L49" s="2714"/>
      <c r="M49" s="2714"/>
      <c r="N49" s="2714"/>
      <c r="O49" s="2714"/>
      <c r="P49" s="2714"/>
    </row>
    <row r="50" spans="1:16">
      <c r="A50" s="2690" t="s">
        <v>2730</v>
      </c>
      <c r="C50" s="2760" t="s">
        <v>2515</v>
      </c>
      <c r="D50" s="2769">
        <v>50</v>
      </c>
      <c r="E50" s="2709"/>
      <c r="F50" s="2760" t="s">
        <v>2515</v>
      </c>
      <c r="G50" s="2760" t="s">
        <v>2690</v>
      </c>
      <c r="H50" s="2769">
        <v>50</v>
      </c>
      <c r="I50" s="2714"/>
      <c r="J50" s="2714"/>
      <c r="K50" s="2714"/>
      <c r="L50" s="2714"/>
      <c r="M50" s="2714"/>
      <c r="N50" s="2714"/>
      <c r="O50" s="2714"/>
      <c r="P50" s="2714"/>
    </row>
    <row r="51" spans="1:16">
      <c r="A51" s="2690" t="s">
        <v>2731</v>
      </c>
      <c r="C51" s="2760" t="s">
        <v>2518</v>
      </c>
      <c r="D51" s="2769">
        <v>20</v>
      </c>
      <c r="E51" s="2709"/>
      <c r="F51" s="2760" t="s">
        <v>2518</v>
      </c>
      <c r="G51" s="2760" t="s">
        <v>2691</v>
      </c>
      <c r="H51" s="2769">
        <v>20</v>
      </c>
      <c r="I51" s="2714"/>
      <c r="J51" s="2714"/>
      <c r="K51" s="2714"/>
      <c r="L51" s="2714"/>
      <c r="M51" s="2714"/>
      <c r="N51" s="2714"/>
      <c r="O51" s="2714"/>
      <c r="P51" s="2714"/>
    </row>
    <row r="52" spans="1:16">
      <c r="A52" s="2690" t="s">
        <v>2732</v>
      </c>
      <c r="C52" s="2760" t="s">
        <v>2521</v>
      </c>
      <c r="D52" s="2769">
        <v>60</v>
      </c>
      <c r="E52" s="2709"/>
      <c r="F52" s="2760" t="s">
        <v>2521</v>
      </c>
      <c r="G52" s="2760" t="s">
        <v>2692</v>
      </c>
      <c r="H52" s="2769">
        <v>60</v>
      </c>
      <c r="I52" s="2714"/>
      <c r="J52" s="2714"/>
      <c r="K52" s="2714"/>
      <c r="L52" s="2714"/>
      <c r="M52" s="2714"/>
      <c r="N52" s="2714"/>
      <c r="O52" s="2714"/>
      <c r="P52" s="2714"/>
    </row>
    <row r="53" spans="1:16">
      <c r="A53" s="2690" t="s">
        <v>2508</v>
      </c>
      <c r="C53" s="2760" t="s">
        <v>2523</v>
      </c>
      <c r="D53" s="2769">
        <v>40</v>
      </c>
      <c r="E53" s="2709"/>
      <c r="F53" s="2760" t="s">
        <v>2523</v>
      </c>
      <c r="G53" s="2760" t="s">
        <v>2693</v>
      </c>
      <c r="H53" s="2769">
        <v>40</v>
      </c>
      <c r="I53" s="2714"/>
      <c r="J53" s="2714"/>
      <c r="K53" s="2714"/>
      <c r="L53" s="2714"/>
      <c r="M53" s="2714"/>
      <c r="N53" s="2714"/>
      <c r="O53" s="2714"/>
      <c r="P53" s="2714"/>
    </row>
    <row r="54" spans="1:16">
      <c r="A54" s="2690" t="s">
        <v>2542</v>
      </c>
      <c r="C54" s="2760" t="s">
        <v>2515</v>
      </c>
      <c r="D54" s="2769">
        <v>50</v>
      </c>
      <c r="E54" s="2709"/>
      <c r="F54" s="2760" t="s">
        <v>2515</v>
      </c>
      <c r="G54" s="2760" t="s">
        <v>2694</v>
      </c>
      <c r="H54" s="2769">
        <v>50</v>
      </c>
      <c r="I54" s="2714"/>
      <c r="J54" s="2714"/>
      <c r="K54" s="2714"/>
      <c r="L54" s="2714"/>
      <c r="M54" s="2714"/>
      <c r="N54" s="2714"/>
      <c r="O54" s="2714"/>
      <c r="P54" s="2714"/>
    </row>
    <row r="55" spans="1:16">
      <c r="A55" s="2690" t="s">
        <v>2502</v>
      </c>
      <c r="C55" s="2760" t="s">
        <v>2518</v>
      </c>
      <c r="D55" s="2769">
        <v>20</v>
      </c>
      <c r="E55" s="2709"/>
      <c r="F55" s="2760" t="s">
        <v>2518</v>
      </c>
      <c r="G55" s="2760" t="s">
        <v>2695</v>
      </c>
      <c r="H55" s="2769">
        <v>20</v>
      </c>
      <c r="I55" s="2714"/>
      <c r="J55" s="2714"/>
      <c r="K55" s="2714"/>
      <c r="L55" s="2714"/>
      <c r="M55" s="2714"/>
      <c r="N55" s="2714"/>
      <c r="O55" s="2714"/>
      <c r="P55" s="2714"/>
    </row>
    <row r="56" spans="1:16">
      <c r="C56" s="2760" t="s">
        <v>2521</v>
      </c>
      <c r="D56" s="2769">
        <v>60</v>
      </c>
      <c r="E56" s="2709"/>
      <c r="F56" s="2760" t="s">
        <v>2521</v>
      </c>
      <c r="G56" s="2760" t="s">
        <v>2696</v>
      </c>
      <c r="H56" s="2769">
        <v>60</v>
      </c>
      <c r="I56" s="2714"/>
      <c r="J56" s="2714"/>
      <c r="K56" s="2714"/>
      <c r="L56" s="2714"/>
      <c r="M56" s="2714"/>
      <c r="N56" s="2714"/>
      <c r="O56" s="2714"/>
      <c r="P56" s="2714"/>
    </row>
    <row r="57" spans="1:16">
      <c r="C57" s="2760" t="s">
        <v>2523</v>
      </c>
      <c r="D57" s="2769">
        <v>40</v>
      </c>
      <c r="E57" s="2709"/>
      <c r="F57" s="2760" t="s">
        <v>2523</v>
      </c>
      <c r="G57" s="2760" t="s">
        <v>2697</v>
      </c>
      <c r="H57" s="2769">
        <v>40</v>
      </c>
      <c r="I57" s="2714"/>
      <c r="J57" s="2714"/>
      <c r="K57" s="2714"/>
      <c r="L57" s="2714"/>
      <c r="M57" s="2714"/>
      <c r="N57" s="2714"/>
      <c r="O57" s="2714"/>
      <c r="P57" s="2714"/>
    </row>
    <row r="58" spans="1:16">
      <c r="C58" s="2760" t="s">
        <v>2515</v>
      </c>
      <c r="D58" s="2769">
        <v>50</v>
      </c>
      <c r="E58" s="2709"/>
      <c r="F58" s="2760" t="s">
        <v>2515</v>
      </c>
      <c r="G58" s="2760" t="s">
        <v>2694</v>
      </c>
      <c r="H58" s="2769">
        <v>50</v>
      </c>
      <c r="I58" s="2714"/>
      <c r="J58" s="2714"/>
      <c r="K58" s="2714"/>
      <c r="L58" s="2714"/>
      <c r="M58" s="2714"/>
      <c r="N58" s="2714"/>
      <c r="O58" s="2714"/>
      <c r="P58" s="2714"/>
    </row>
    <row r="59" spans="1:16">
      <c r="C59" s="2760" t="s">
        <v>2518</v>
      </c>
      <c r="D59" s="2769">
        <v>20</v>
      </c>
      <c r="E59" s="2709"/>
      <c r="F59" s="2760" t="s">
        <v>2518</v>
      </c>
      <c r="G59" s="2760" t="s">
        <v>2695</v>
      </c>
      <c r="H59" s="2769">
        <v>20</v>
      </c>
      <c r="I59" s="2714"/>
      <c r="J59" s="2714"/>
      <c r="K59" s="2714"/>
      <c r="L59" s="2714"/>
      <c r="M59" s="2714"/>
      <c r="N59" s="2714"/>
      <c r="O59" s="2714"/>
      <c r="P59" s="2714"/>
    </row>
    <row r="60" spans="1:16">
      <c r="C60" s="2760" t="s">
        <v>2521</v>
      </c>
      <c r="D60" s="2769">
        <v>60</v>
      </c>
      <c r="E60" s="2709"/>
      <c r="F60" s="2760" t="s">
        <v>2521</v>
      </c>
      <c r="G60" s="2760" t="s">
        <v>2692</v>
      </c>
      <c r="H60" s="2769">
        <v>60</v>
      </c>
      <c r="I60" s="2714"/>
      <c r="J60" s="2714"/>
      <c r="K60" s="2714"/>
      <c r="L60" s="2714"/>
      <c r="M60" s="2714"/>
      <c r="N60" s="2714"/>
      <c r="O60" s="2714"/>
      <c r="P60" s="2714"/>
    </row>
    <row r="61" spans="1:16">
      <c r="C61" s="2760" t="s">
        <v>2523</v>
      </c>
      <c r="D61" s="2769">
        <v>40</v>
      </c>
      <c r="E61" s="2709"/>
      <c r="F61" s="2760" t="s">
        <v>2523</v>
      </c>
      <c r="G61" s="2760" t="s">
        <v>2697</v>
      </c>
      <c r="H61" s="2769">
        <v>40</v>
      </c>
      <c r="I61" s="2714"/>
      <c r="J61" s="2714"/>
      <c r="K61" s="2714"/>
      <c r="L61" s="2714"/>
      <c r="M61" s="2714"/>
      <c r="N61" s="2714"/>
      <c r="O61" s="2714"/>
      <c r="P61" s="2714"/>
    </row>
    <row r="62" spans="1:16">
      <c r="C62" s="2673"/>
      <c r="D62" s="2673"/>
      <c r="E62" s="2673"/>
      <c r="F62" s="2673"/>
      <c r="G62" s="2673"/>
      <c r="H62" s="2673"/>
      <c r="I62" s="2714"/>
      <c r="J62" s="2714"/>
      <c r="K62" s="2714"/>
      <c r="L62" s="2714"/>
      <c r="M62" s="2714"/>
      <c r="N62" s="2714"/>
      <c r="O62" s="2714"/>
      <c r="P62" s="2714"/>
    </row>
    <row r="63" spans="1:16" ht="15.75" thickBot="1">
      <c r="C63" s="2714" t="s">
        <v>2512</v>
      </c>
      <c r="D63" s="2753" t="s">
        <v>2733</v>
      </c>
      <c r="E63" s="2709"/>
      <c r="F63" s="2714" t="s">
        <v>2512</v>
      </c>
      <c r="G63" s="2714" t="s">
        <v>2688</v>
      </c>
      <c r="H63" s="2753" t="s">
        <v>2734</v>
      </c>
      <c r="I63" s="2714"/>
      <c r="J63" s="2714"/>
      <c r="K63" s="2714"/>
      <c r="L63" s="2714"/>
      <c r="M63" s="2714"/>
      <c r="N63" s="2714"/>
      <c r="O63" s="2714"/>
      <c r="P63" s="2714"/>
    </row>
    <row r="64" spans="1:16" ht="16.5" thickTop="1" thickBot="1">
      <c r="C64" s="2679" t="s">
        <v>2515</v>
      </c>
      <c r="D64" s="2739">
        <f>COUNTIF(C50:C61,C64)</f>
        <v>3</v>
      </c>
      <c r="E64" s="2709"/>
      <c r="F64" s="2679" t="s">
        <v>2518</v>
      </c>
      <c r="G64" s="2679" t="s">
        <v>2691</v>
      </c>
      <c r="H64" s="2756">
        <f>COUNTIFS(F50:F61,F64,G50:G61,G64)</f>
        <v>1</v>
      </c>
      <c r="I64" s="2714"/>
      <c r="J64" s="2714"/>
      <c r="K64" s="2714"/>
      <c r="L64" s="2714"/>
      <c r="M64" s="2714"/>
      <c r="N64" s="2714"/>
      <c r="O64" s="2714"/>
      <c r="P64" s="2714"/>
    </row>
    <row r="65" spans="3:16" ht="15.75" thickTop="1">
      <c r="C65" s="2714"/>
      <c r="D65" s="2714"/>
      <c r="E65" s="2709"/>
      <c r="F65" s="2714"/>
      <c r="G65" s="2714"/>
      <c r="H65" s="2714"/>
      <c r="I65" s="2714"/>
      <c r="J65" s="2714"/>
      <c r="K65" s="2714"/>
      <c r="L65" s="2714"/>
      <c r="M65" s="2714"/>
      <c r="N65" s="2714"/>
      <c r="O65" s="2714"/>
      <c r="P65" s="2714"/>
    </row>
    <row r="66" spans="3:16">
      <c r="I66" s="2714"/>
      <c r="J66" s="2714"/>
      <c r="K66" s="2714"/>
      <c r="L66" s="2714"/>
      <c r="M66" s="2714"/>
      <c r="N66" s="2714"/>
      <c r="O66" s="2714"/>
      <c r="P66" s="2714"/>
    </row>
    <row r="67" spans="3:16">
      <c r="I67" s="2714"/>
      <c r="J67" s="2714"/>
      <c r="K67" s="2714"/>
      <c r="L67" s="2714"/>
      <c r="M67" s="2714"/>
      <c r="N67" s="2714"/>
      <c r="O67" s="2714"/>
      <c r="P67" s="2714"/>
    </row>
    <row r="68" spans="3:16">
      <c r="I68" s="2714"/>
      <c r="J68" s="2714"/>
      <c r="K68" s="2714"/>
      <c r="L68" s="2714"/>
      <c r="M68" s="2714"/>
      <c r="N68" s="2714"/>
      <c r="O68" s="2714"/>
      <c r="P68" s="2714"/>
    </row>
    <row r="69" spans="3:16">
      <c r="I69" s="2714"/>
      <c r="J69" s="2714"/>
      <c r="K69" s="2714"/>
      <c r="L69" s="2714"/>
      <c r="M69" s="2714"/>
      <c r="N69" s="2714"/>
      <c r="O69" s="2714"/>
      <c r="P69" s="2714"/>
    </row>
    <row r="70" spans="3:16">
      <c r="I70" s="2714"/>
      <c r="J70" s="2714"/>
      <c r="K70" s="2714"/>
      <c r="L70" s="2714"/>
      <c r="M70" s="2714"/>
      <c r="N70" s="2714"/>
      <c r="O70" s="2714"/>
      <c r="P70" s="2714"/>
    </row>
    <row r="71" spans="3:16">
      <c r="I71" s="2714"/>
      <c r="J71" s="2714"/>
      <c r="K71" s="2714"/>
      <c r="L71" s="2714"/>
      <c r="M71" s="2714"/>
      <c r="N71" s="2714"/>
      <c r="O71" s="2714"/>
      <c r="P71" s="2714"/>
    </row>
    <row r="72" spans="3:16">
      <c r="I72" s="2714"/>
      <c r="J72" s="2714"/>
      <c r="K72" s="2714"/>
      <c r="L72" s="2714"/>
      <c r="M72" s="2714"/>
      <c r="N72" s="2714"/>
      <c r="O72" s="2714"/>
      <c r="P72" s="2714"/>
    </row>
    <row r="73" spans="3:16">
      <c r="I73" s="2714"/>
      <c r="J73" s="2714"/>
      <c r="K73" s="2714"/>
      <c r="L73" s="2714"/>
      <c r="M73" s="2714"/>
      <c r="N73" s="2714"/>
      <c r="O73" s="2714"/>
      <c r="P73" s="2714"/>
    </row>
    <row r="74" spans="3:16">
      <c r="I74" s="2714"/>
      <c r="J74" s="2714"/>
      <c r="K74" s="2714"/>
      <c r="L74" s="2714"/>
      <c r="M74" s="2714"/>
      <c r="N74" s="2714"/>
      <c r="O74" s="2714"/>
      <c r="P74" s="2714"/>
    </row>
    <row r="75" spans="3:16">
      <c r="I75" s="2714"/>
      <c r="J75" s="2714"/>
      <c r="K75" s="2714"/>
      <c r="L75" s="2714"/>
      <c r="M75" s="2714"/>
      <c r="N75" s="2714"/>
      <c r="O75" s="2714"/>
      <c r="P75" s="2714"/>
    </row>
    <row r="76" spans="3:16">
      <c r="I76" s="2714"/>
      <c r="J76" s="2714"/>
      <c r="K76" s="2714"/>
      <c r="L76" s="2714"/>
      <c r="M76" s="2714"/>
      <c r="N76" s="2714"/>
      <c r="O76" s="2714"/>
      <c r="P76" s="2714"/>
    </row>
    <row r="77" spans="3:16">
      <c r="I77" s="2714"/>
      <c r="J77" s="2714"/>
      <c r="K77" s="2714"/>
      <c r="L77" s="2714"/>
      <c r="M77" s="2714"/>
      <c r="N77" s="2714"/>
      <c r="O77" s="2714"/>
      <c r="P77" s="2714"/>
    </row>
    <row r="78" spans="3:16">
      <c r="I78" s="2714"/>
      <c r="J78" s="2714"/>
      <c r="K78" s="2714"/>
      <c r="L78" s="2714"/>
      <c r="M78" s="2714"/>
      <c r="N78" s="2714"/>
      <c r="O78" s="2714"/>
      <c r="P78" s="2714"/>
    </row>
    <row r="79" spans="3:16">
      <c r="I79" s="2714"/>
      <c r="J79" s="2714"/>
      <c r="K79" s="2714"/>
      <c r="L79" s="2714"/>
      <c r="M79" s="2714"/>
      <c r="N79" s="2714"/>
      <c r="O79" s="2714"/>
      <c r="P79" s="2714"/>
    </row>
    <row r="80" spans="3:16">
      <c r="I80" s="2714"/>
      <c r="J80" s="2714"/>
      <c r="K80" s="2714"/>
      <c r="L80" s="2714"/>
      <c r="M80" s="2714"/>
      <c r="N80" s="2714"/>
      <c r="O80" s="2714"/>
      <c r="P80" s="2714"/>
    </row>
    <row r="81" spans="3:16">
      <c r="I81" s="2714"/>
      <c r="J81" s="2714"/>
      <c r="K81" s="2714"/>
      <c r="L81" s="2714"/>
      <c r="M81" s="2714"/>
      <c r="N81" s="2714"/>
      <c r="O81" s="2714"/>
      <c r="P81" s="2714"/>
    </row>
    <row r="82" spans="3:16">
      <c r="F82" s="2714"/>
      <c r="G82" s="2714"/>
      <c r="H82" s="2714"/>
      <c r="I82" s="2714"/>
      <c r="J82" s="2714"/>
      <c r="K82" s="2714"/>
      <c r="L82" s="2714"/>
      <c r="M82" s="2714"/>
      <c r="N82" s="2714"/>
      <c r="O82" s="2714"/>
      <c r="P82" s="2714"/>
    </row>
    <row r="83" spans="3:16">
      <c r="F83" s="2714"/>
      <c r="G83" s="2714"/>
      <c r="H83" s="2714"/>
      <c r="I83" s="2714"/>
      <c r="J83" s="2714"/>
      <c r="K83" s="2714"/>
      <c r="L83" s="2714"/>
      <c r="M83" s="2714"/>
      <c r="N83" s="2714"/>
      <c r="O83" s="2714"/>
      <c r="P83" s="2714"/>
    </row>
    <row r="84" spans="3:16">
      <c r="F84" s="2714"/>
      <c r="G84" s="2714"/>
      <c r="H84" s="2714"/>
      <c r="I84" s="2714"/>
      <c r="J84" s="2714"/>
      <c r="K84" s="2714"/>
      <c r="L84" s="2714"/>
      <c r="M84" s="2714"/>
      <c r="N84" s="2714"/>
      <c r="O84" s="2714"/>
      <c r="P84" s="2714"/>
    </row>
    <row r="85" spans="3:16">
      <c r="F85" s="2714"/>
      <c r="G85" s="2714"/>
      <c r="H85" s="2714"/>
      <c r="I85" s="2714"/>
      <c r="J85" s="2714"/>
      <c r="K85" s="2714"/>
      <c r="L85" s="2714"/>
      <c r="M85" s="2714"/>
      <c r="N85" s="2714"/>
      <c r="O85" s="2714"/>
      <c r="P85" s="2714"/>
    </row>
    <row r="86" spans="3:16">
      <c r="F86" s="2714"/>
      <c r="G86" s="2714"/>
      <c r="H86" s="2714"/>
      <c r="I86" s="2714"/>
      <c r="J86" s="2714"/>
      <c r="K86" s="2714"/>
      <c r="L86" s="2714"/>
      <c r="M86" s="2714"/>
      <c r="N86" s="2714"/>
      <c r="O86" s="2714"/>
      <c r="P86" s="2714"/>
    </row>
    <row r="87" spans="3:16">
      <c r="F87" s="2714"/>
      <c r="G87" s="2714"/>
      <c r="H87" s="2714"/>
      <c r="I87" s="2714"/>
      <c r="J87" s="2714"/>
      <c r="K87" s="2714"/>
      <c r="L87" s="2714"/>
      <c r="M87" s="2714"/>
      <c r="N87" s="2714"/>
      <c r="O87" s="2714"/>
      <c r="P87" s="2714"/>
    </row>
    <row r="88" spans="3:16">
      <c r="F88" s="2714"/>
      <c r="G88" s="2714"/>
      <c r="H88" s="2714"/>
      <c r="I88" s="2714"/>
      <c r="J88" s="2714"/>
      <c r="K88" s="2714"/>
      <c r="L88" s="2714"/>
      <c r="M88" s="2714"/>
      <c r="N88" s="2714"/>
      <c r="O88" s="2714"/>
      <c r="P88" s="2714"/>
    </row>
    <row r="89" spans="3:16">
      <c r="F89" s="2714"/>
      <c r="G89" s="2714"/>
      <c r="H89" s="2714"/>
      <c r="I89" s="2714"/>
      <c r="J89" s="2714"/>
      <c r="K89" s="2714"/>
      <c r="L89" s="2714"/>
      <c r="M89" s="2714"/>
      <c r="N89" s="2714"/>
      <c r="O89" s="2714"/>
      <c r="P89" s="2714"/>
    </row>
    <row r="90" spans="3:16" ht="15" customHeight="1">
      <c r="J90" s="2714"/>
      <c r="K90" s="2714"/>
      <c r="N90" s="2714"/>
    </row>
    <row r="91" spans="3:16" ht="15" customHeight="1">
      <c r="C91" s="2677" t="s">
        <v>2512</v>
      </c>
      <c r="D91" s="2677" t="s">
        <v>2688</v>
      </c>
      <c r="E91" s="2678" t="s">
        <v>2058</v>
      </c>
      <c r="J91" s="2714"/>
      <c r="K91" s="2714"/>
      <c r="N91" s="2714"/>
    </row>
    <row r="92" spans="3:16" ht="15" customHeight="1">
      <c r="C92" s="2760" t="s">
        <v>2515</v>
      </c>
      <c r="D92" s="2760" t="s">
        <v>2690</v>
      </c>
      <c r="E92" s="2769">
        <v>50</v>
      </c>
    </row>
    <row r="93" spans="3:16" ht="15" customHeight="1">
      <c r="C93" s="2760" t="s">
        <v>2518</v>
      </c>
      <c r="D93" s="2760" t="s">
        <v>2691</v>
      </c>
      <c r="E93" s="2769">
        <v>20</v>
      </c>
    </row>
    <row r="94" spans="3:16" ht="15" customHeight="1">
      <c r="C94" s="2760" t="s">
        <v>2521</v>
      </c>
      <c r="D94" s="2760" t="s">
        <v>2692</v>
      </c>
      <c r="E94" s="2769">
        <v>60</v>
      </c>
      <c r="H94" s="2714"/>
      <c r="I94" s="2714"/>
      <c r="J94" s="2714"/>
      <c r="K94" s="2714"/>
    </row>
    <row r="95" spans="3:16" ht="15" customHeight="1">
      <c r="C95" s="2760" t="s">
        <v>2523</v>
      </c>
      <c r="D95" s="2760" t="s">
        <v>2693</v>
      </c>
      <c r="E95" s="2769">
        <v>40</v>
      </c>
      <c r="H95" s="2714"/>
      <c r="I95" s="2714"/>
      <c r="J95" s="2714"/>
      <c r="K95" s="2714"/>
    </row>
    <row r="96" spans="3:16" ht="15" customHeight="1">
      <c r="C96" s="2760" t="s">
        <v>2515</v>
      </c>
      <c r="D96" s="2760" t="s">
        <v>2694</v>
      </c>
      <c r="E96" s="2769">
        <v>50</v>
      </c>
    </row>
    <row r="97" spans="3:5">
      <c r="C97" s="2760" t="s">
        <v>2518</v>
      </c>
      <c r="D97" s="2760" t="s">
        <v>2695</v>
      </c>
      <c r="E97" s="2769">
        <v>20</v>
      </c>
    </row>
    <row r="98" spans="3:5">
      <c r="C98" s="2760" t="s">
        <v>2521</v>
      </c>
      <c r="D98" s="2760" t="s">
        <v>2696</v>
      </c>
      <c r="E98" s="2769">
        <v>60</v>
      </c>
    </row>
    <row r="99" spans="3:5">
      <c r="C99" s="2760" t="s">
        <v>2523</v>
      </c>
      <c r="D99" s="2760" t="s">
        <v>2697</v>
      </c>
      <c r="E99" s="2769">
        <v>40</v>
      </c>
    </row>
    <row r="100" spans="3:5">
      <c r="C100" s="2760" t="s">
        <v>2515</v>
      </c>
      <c r="D100" s="2760" t="s">
        <v>2694</v>
      </c>
      <c r="E100" s="2769">
        <v>50</v>
      </c>
    </row>
    <row r="101" spans="3:5">
      <c r="C101" s="2760" t="s">
        <v>2518</v>
      </c>
      <c r="D101" s="2760" t="s">
        <v>2695</v>
      </c>
      <c r="E101" s="2769">
        <v>20</v>
      </c>
    </row>
    <row r="102" spans="3:5" ht="15" customHeight="1">
      <c r="C102" s="2760" t="s">
        <v>2521</v>
      </c>
      <c r="D102" s="2760" t="s">
        <v>2692</v>
      </c>
      <c r="E102" s="2769">
        <v>60</v>
      </c>
    </row>
    <row r="103" spans="3:5" ht="15" customHeight="1">
      <c r="C103" s="2760" t="s">
        <v>2523</v>
      </c>
      <c r="D103" s="2760" t="s">
        <v>2697</v>
      </c>
      <c r="E103" s="2769">
        <v>40</v>
      </c>
    </row>
    <row r="104" spans="3:5" ht="15" customHeight="1">
      <c r="C104" s="2714"/>
      <c r="D104" s="2714"/>
      <c r="E104" s="2709"/>
    </row>
    <row r="105" spans="3:5" ht="15" customHeight="1" thickBot="1">
      <c r="C105" s="2714" t="s">
        <v>2512</v>
      </c>
      <c r="D105" s="2714" t="s">
        <v>2688</v>
      </c>
      <c r="E105" s="2753" t="s">
        <v>2735</v>
      </c>
    </row>
    <row r="106" spans="3:5" ht="15" customHeight="1" thickTop="1" thickBot="1">
      <c r="C106" s="2679" t="s">
        <v>2523</v>
      </c>
      <c r="D106" s="2679" t="s">
        <v>2697</v>
      </c>
      <c r="E106" s="2756">
        <f>AVERAGEIFS(E92:E103,C92:C103,C106,D92:D103,D106)</f>
        <v>40</v>
      </c>
    </row>
    <row r="107" spans="3:5" ht="15" customHeight="1" thickTop="1"/>
    <row r="117" spans="3:4">
      <c r="C117" s="2677" t="s">
        <v>2528</v>
      </c>
      <c r="D117" s="2678" t="s">
        <v>2058</v>
      </c>
    </row>
    <row r="118" spans="3:4">
      <c r="C118" s="2770" t="s">
        <v>2530</v>
      </c>
      <c r="D118" s="2770">
        <v>50</v>
      </c>
    </row>
    <row r="119" spans="3:4">
      <c r="C119" s="2770" t="s">
        <v>2532</v>
      </c>
      <c r="D119" s="2770">
        <v>100</v>
      </c>
    </row>
    <row r="120" spans="3:4">
      <c r="C120" s="2770" t="s">
        <v>2534</v>
      </c>
      <c r="D120" s="2770">
        <v>40</v>
      </c>
    </row>
    <row r="121" spans="3:4">
      <c r="C121" s="2770" t="s">
        <v>2536</v>
      </c>
      <c r="D121" s="2770">
        <v>50</v>
      </c>
    </row>
    <row r="122" spans="3:4" ht="15.75" thickBot="1">
      <c r="C122" s="2770" t="s">
        <v>2736</v>
      </c>
      <c r="D122" s="2770">
        <v>20</v>
      </c>
    </row>
    <row r="123" spans="3:4" ht="16.5" thickTop="1" thickBot="1">
      <c r="C123" s="2771"/>
      <c r="D123" s="2683">
        <f>SUMIF(D118:D122,"&gt;=50")</f>
        <v>200</v>
      </c>
    </row>
    <row r="124" spans="3:4" ht="15.75" thickTop="1"/>
  </sheetData>
  <dataValidations count="2">
    <dataValidation type="list" allowBlank="1" showInputMessage="1" showErrorMessage="1" sqref="G17 G64 D106" xr:uid="{00000000-0002-0000-1700-000000000000}">
      <formula1>INDIRECT(C17)</formula1>
    </dataValidation>
    <dataValidation type="list" allowBlank="1" showInputMessage="1" showErrorMessage="1" sqref="C17 C64 F17 F64 C106" xr:uid="{00000000-0002-0000-1700-000001000000}">
      <formula1>lst_Fruits</formula1>
    </dataValidation>
  </dataValidations>
  <pageMargins left="0.7" right="0.7" top="0.75" bottom="0.75" header="0.3" footer="0.3"/>
  <pageSetup paperSize="9" orientation="landscape" r:id="rId1"/>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4"/>
  <sheetViews>
    <sheetView showGridLines="0" workbookViewId="0">
      <selection activeCell="K32" sqref="K32"/>
    </sheetView>
  </sheetViews>
  <sheetFormatPr baseColWidth="10" defaultColWidth="8" defaultRowHeight="15"/>
  <cols>
    <col min="1" max="1" width="11.375" style="2673" customWidth="1"/>
    <col min="2" max="2" width="72.5" style="2673" customWidth="1"/>
    <col min="3" max="4" width="11.5" style="2673" customWidth="1"/>
    <col min="5" max="16384" width="8" style="2673"/>
  </cols>
  <sheetData>
    <row r="1" spans="1:4" ht="60" customHeight="1">
      <c r="A1" s="2672" t="s">
        <v>2737</v>
      </c>
      <c r="C1" s="2674"/>
      <c r="D1" s="2675"/>
    </row>
    <row r="2" spans="1:4">
      <c r="A2" s="2672" t="s">
        <v>2738</v>
      </c>
    </row>
    <row r="3" spans="1:4" ht="15" customHeight="1">
      <c r="A3" s="2684" t="s">
        <v>2739</v>
      </c>
    </row>
    <row r="4" spans="1:4" ht="15" customHeight="1">
      <c r="A4" s="2684" t="s">
        <v>2740</v>
      </c>
      <c r="C4" s="2751" t="s">
        <v>2512</v>
      </c>
      <c r="D4" s="2752" t="s">
        <v>2058</v>
      </c>
    </row>
    <row r="5" spans="1:4" ht="15" customHeight="1">
      <c r="A5" s="2684" t="s">
        <v>2741</v>
      </c>
      <c r="C5" s="2760" t="s">
        <v>2515</v>
      </c>
      <c r="D5" s="2769">
        <v>50</v>
      </c>
    </row>
    <row r="6" spans="1:4">
      <c r="A6" s="2672" t="s">
        <v>2742</v>
      </c>
      <c r="C6" s="2760" t="s">
        <v>2518</v>
      </c>
      <c r="D6" s="2769">
        <v>20</v>
      </c>
    </row>
    <row r="7" spans="1:4" ht="15" customHeight="1">
      <c r="A7" s="2684" t="s">
        <v>2743</v>
      </c>
      <c r="C7" s="2760" t="s">
        <v>2521</v>
      </c>
      <c r="D7" s="2769">
        <v>60</v>
      </c>
    </row>
    <row r="8" spans="1:4" ht="15" customHeight="1">
      <c r="A8" s="2672" t="s">
        <v>2501</v>
      </c>
      <c r="C8" s="2760" t="s">
        <v>2523</v>
      </c>
      <c r="D8" s="2769">
        <v>40</v>
      </c>
    </row>
    <row r="9" spans="1:4" ht="15" customHeight="1" thickBot="1">
      <c r="A9" s="2672" t="s">
        <v>2502</v>
      </c>
      <c r="C9" s="2714"/>
      <c r="D9" s="2714"/>
    </row>
    <row r="10" spans="1:4" ht="16.5" thickTop="1" thickBot="1">
      <c r="A10" s="2672" t="s">
        <v>2503</v>
      </c>
      <c r="C10" s="2755" t="s">
        <v>2515</v>
      </c>
      <c r="D10" s="2756">
        <f>VLOOKUP(C10,C5:D8,2,FALSE)</f>
        <v>50</v>
      </c>
    </row>
    <row r="11" spans="1:4" ht="15.75" thickTop="1">
      <c r="A11" s="2672" t="s">
        <v>2505</v>
      </c>
    </row>
    <row r="12" spans="1:4">
      <c r="A12" s="2672" t="s">
        <v>2744</v>
      </c>
    </row>
    <row r="13" spans="1:4">
      <c r="A13" s="2672" t="s">
        <v>2745</v>
      </c>
    </row>
    <row r="14" spans="1:4">
      <c r="A14" s="2672" t="s">
        <v>2508</v>
      </c>
    </row>
  </sheetData>
  <dataValidations count="1">
    <dataValidation type="list" allowBlank="1" showInputMessage="1" showErrorMessage="1" sqref="C10" xr:uid="{00000000-0002-0000-1800-000000000000}">
      <formula1>$C$5:$C$8</formula1>
    </dataValidation>
  </dataValidations>
  <pageMargins left="0.7" right="0.7" top="0.75" bottom="0.75" header="0.3" footer="0.3"/>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37"/>
  <sheetViews>
    <sheetView showGridLines="0" workbookViewId="0">
      <selection activeCell="H31" sqref="H31"/>
    </sheetView>
  </sheetViews>
  <sheetFormatPr baseColWidth="10" defaultColWidth="8" defaultRowHeight="15"/>
  <cols>
    <col min="1" max="1" width="11.375" style="2673" customWidth="1"/>
    <col min="2" max="2" width="72.5" style="2673" customWidth="1"/>
    <col min="3" max="4" width="11.625" style="2673" customWidth="1"/>
    <col min="5" max="16384" width="8" style="2673"/>
  </cols>
  <sheetData>
    <row r="1" spans="1:4" ht="60" customHeight="1">
      <c r="A1" s="2672" t="s">
        <v>2746</v>
      </c>
      <c r="C1" s="2674"/>
      <c r="D1" s="2772"/>
    </row>
    <row r="2" spans="1:4" ht="15" customHeight="1">
      <c r="A2" s="2672" t="s">
        <v>2747</v>
      </c>
      <c r="C2" s="2773"/>
      <c r="D2" s="2773"/>
    </row>
    <row r="3" spans="1:4">
      <c r="A3" s="2672" t="s">
        <v>2748</v>
      </c>
      <c r="C3" s="2751" t="s">
        <v>2512</v>
      </c>
      <c r="D3" s="2752" t="s">
        <v>2058</v>
      </c>
    </row>
    <row r="4" spans="1:4">
      <c r="A4" s="2672" t="s">
        <v>2749</v>
      </c>
      <c r="C4" s="2682" t="s">
        <v>2515</v>
      </c>
      <c r="D4" s="2713">
        <v>50</v>
      </c>
    </row>
    <row r="5" spans="1:4">
      <c r="A5" s="2672" t="s">
        <v>2750</v>
      </c>
      <c r="C5" s="2682" t="s">
        <v>2518</v>
      </c>
      <c r="D5" s="2713">
        <v>20</v>
      </c>
    </row>
    <row r="6" spans="1:4">
      <c r="A6" s="2672" t="s">
        <v>2751</v>
      </c>
      <c r="C6" s="2682" t="s">
        <v>2521</v>
      </c>
      <c r="D6" s="2713">
        <v>60</v>
      </c>
    </row>
    <row r="7" spans="1:4" ht="15" customHeight="1">
      <c r="A7" s="2684" t="s">
        <v>2752</v>
      </c>
      <c r="C7" s="2682" t="s">
        <v>2523</v>
      </c>
      <c r="D7" s="2713">
        <v>40</v>
      </c>
    </row>
    <row r="8" spans="1:4" ht="15.75" thickBot="1">
      <c r="A8" s="2672" t="s">
        <v>2501</v>
      </c>
      <c r="C8" s="2714"/>
      <c r="D8" s="2714"/>
    </row>
    <row r="9" spans="1:4" ht="16.5" thickTop="1" thickBot="1">
      <c r="A9" s="2672" t="s">
        <v>2502</v>
      </c>
      <c r="C9" s="2755" t="s">
        <v>2648</v>
      </c>
      <c r="D9" s="2756" t="e">
        <f>VLOOKUP(C9,C3:D7,2,FALSE)</f>
        <v>#N/A</v>
      </c>
    </row>
    <row r="10" spans="1:4" ht="15.75" thickTop="1">
      <c r="A10" s="2672" t="s">
        <v>2503</v>
      </c>
    </row>
    <row r="11" spans="1:4">
      <c r="A11" s="2672" t="s">
        <v>2753</v>
      </c>
    </row>
    <row r="12" spans="1:4">
      <c r="A12" s="2672" t="s">
        <v>2754</v>
      </c>
    </row>
    <row r="13" spans="1:4">
      <c r="A13" s="2672" t="s">
        <v>2755</v>
      </c>
    </row>
    <row r="14" spans="1:4">
      <c r="A14" s="2672" t="s">
        <v>2508</v>
      </c>
    </row>
    <row r="30" spans="3:4">
      <c r="C30" s="2751" t="s">
        <v>2512</v>
      </c>
      <c r="D30" s="2752" t="s">
        <v>2058</v>
      </c>
    </row>
    <row r="31" spans="3:4">
      <c r="C31" s="2682" t="s">
        <v>2515</v>
      </c>
      <c r="D31" s="2713">
        <v>50</v>
      </c>
    </row>
    <row r="32" spans="3:4">
      <c r="C32" s="2682" t="s">
        <v>2518</v>
      </c>
      <c r="D32" s="2713">
        <v>20</v>
      </c>
    </row>
    <row r="33" spans="3:4">
      <c r="C33" s="2682" t="s">
        <v>2521</v>
      </c>
      <c r="D33" s="2713">
        <v>60</v>
      </c>
    </row>
    <row r="34" spans="3:4">
      <c r="C34" s="2682" t="s">
        <v>2523</v>
      </c>
      <c r="D34" s="2713">
        <v>40</v>
      </c>
    </row>
    <row r="35" spans="3:4" ht="15.75" thickBot="1"/>
    <row r="36" spans="3:4" ht="16.5" thickTop="1" thickBot="1">
      <c r="C36" s="2755" t="s">
        <v>146</v>
      </c>
      <c r="D36" s="2756" t="e">
        <f ca="1">sume(D31:D34)</f>
        <v>#NAME?</v>
      </c>
    </row>
    <row r="37" spans="3:4" ht="15.75" thickTop="1"/>
  </sheetData>
  <dataValidations count="1">
    <dataValidation type="list" allowBlank="1" showInputMessage="1" showErrorMessage="1" sqref="C9" xr:uid="{00000000-0002-0000-1900-000000000000}">
      <formula1>$C$9:$C$38</formula1>
    </dataValidation>
  </dataValidations>
  <pageMargins left="0.7" right="0.7" top="0.75" bottom="0.75" header="0.3" footer="0.3"/>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B321"/>
  <sheetViews>
    <sheetView workbookViewId="0">
      <selection activeCell="D25" sqref="D25"/>
    </sheetView>
  </sheetViews>
  <sheetFormatPr baseColWidth="10" defaultRowHeight="12.75"/>
  <cols>
    <col min="1" max="1" width="11" style="2134"/>
    <col min="2" max="2" width="113.25" style="2134" customWidth="1"/>
    <col min="3" max="16384" width="11" style="2134"/>
  </cols>
  <sheetData>
    <row r="2" spans="1:2" ht="31.5">
      <c r="B2" s="2539" t="s">
        <v>2337</v>
      </c>
    </row>
    <row r="3" spans="1:2" ht="28.5">
      <c r="A3" s="2540"/>
      <c r="B3" s="2541" t="s">
        <v>2144</v>
      </c>
    </row>
    <row r="4" spans="1:2" ht="31.5">
      <c r="A4" s="2540"/>
      <c r="B4" s="2539" t="s">
        <v>2338</v>
      </c>
    </row>
    <row r="5" spans="1:2" ht="23.25">
      <c r="A5" s="2542"/>
      <c r="B5" s="2543" t="s">
        <v>2339</v>
      </c>
    </row>
    <row r="6" spans="1:2" ht="49.5">
      <c r="B6" s="2544" t="s">
        <v>2141</v>
      </c>
    </row>
    <row r="7" spans="1:2" ht="50.25" customHeight="1">
      <c r="B7" s="2545"/>
    </row>
    <row r="8" spans="1:2" ht="15">
      <c r="B8" s="2545" t="s">
        <v>2340</v>
      </c>
    </row>
    <row r="9" spans="1:2">
      <c r="B9" s="2546"/>
    </row>
    <row r="10" spans="1:2" ht="15">
      <c r="B10" s="2547" t="s">
        <v>2341</v>
      </c>
    </row>
    <row r="11" spans="1:2">
      <c r="B11" s="2546"/>
    </row>
    <row r="12" spans="1:2" ht="15">
      <c r="B12" s="2547" t="s">
        <v>2342</v>
      </c>
    </row>
    <row r="14" spans="1:2" ht="15">
      <c r="B14" s="2545" t="s">
        <v>2343</v>
      </c>
    </row>
    <row r="15" spans="1:2" ht="15">
      <c r="B15" s="2547"/>
    </row>
    <row r="16" spans="1:2" ht="15">
      <c r="B16" s="2547" t="s">
        <v>2344</v>
      </c>
    </row>
    <row r="17" spans="2:2" ht="15">
      <c r="B17" s="2547" t="s">
        <v>2345</v>
      </c>
    </row>
    <row r="18" spans="2:2">
      <c r="B18" s="2546"/>
    </row>
    <row r="19" spans="2:2" ht="15">
      <c r="B19" s="2547" t="s">
        <v>2346</v>
      </c>
    </row>
    <row r="20" spans="2:2">
      <c r="B20" s="2546"/>
    </row>
    <row r="21" spans="2:2" ht="15">
      <c r="B21" s="2547" t="s">
        <v>2347</v>
      </c>
    </row>
    <row r="22" spans="2:2">
      <c r="B22" s="2546"/>
    </row>
    <row r="23" spans="2:2" ht="15">
      <c r="B23" s="2547" t="s">
        <v>2348</v>
      </c>
    </row>
    <row r="24" spans="2:2">
      <c r="B24" s="2546"/>
    </row>
    <row r="25" spans="2:2" ht="15">
      <c r="B25" s="2547" t="s">
        <v>2349</v>
      </c>
    </row>
    <row r="26" spans="2:2">
      <c r="B26" s="2546"/>
    </row>
    <row r="27" spans="2:2">
      <c r="B27" s="2546"/>
    </row>
    <row r="28" spans="2:2">
      <c r="B28" s="2546"/>
    </row>
    <row r="29" spans="2:2" ht="15">
      <c r="B29" s="2547" t="s">
        <v>2350</v>
      </c>
    </row>
    <row r="30" spans="2:2" ht="15">
      <c r="B30" s="2547"/>
    </row>
    <row r="31" spans="2:2" ht="15">
      <c r="B31" s="2547" t="s">
        <v>2351</v>
      </c>
    </row>
    <row r="32" spans="2:2" ht="15">
      <c r="B32" s="2547" t="s">
        <v>2352</v>
      </c>
    </row>
    <row r="33" spans="2:2" ht="15">
      <c r="B33" s="2547"/>
    </row>
    <row r="34" spans="2:2" ht="15">
      <c r="B34" s="2547" t="s">
        <v>2353</v>
      </c>
    </row>
    <row r="35" spans="2:2" ht="15">
      <c r="B35" s="2547" t="s">
        <v>2354</v>
      </c>
    </row>
    <row r="36" spans="2:2" ht="15">
      <c r="B36" s="2547"/>
    </row>
    <row r="37" spans="2:2" ht="15">
      <c r="B37" s="2547" t="s">
        <v>2355</v>
      </c>
    </row>
    <row r="38" spans="2:2" ht="15">
      <c r="B38" s="2547" t="s">
        <v>230</v>
      </c>
    </row>
    <row r="39" spans="2:2" ht="15">
      <c r="B39" s="2547"/>
    </row>
    <row r="40" spans="2:2" ht="15">
      <c r="B40" s="2547" t="s">
        <v>2356</v>
      </c>
    </row>
    <row r="41" spans="2:2" ht="15">
      <c r="B41" s="2547" t="s">
        <v>2357</v>
      </c>
    </row>
    <row r="42" spans="2:2">
      <c r="B42" s="2546"/>
    </row>
    <row r="43" spans="2:2" ht="15">
      <c r="B43" s="2547" t="s">
        <v>2358</v>
      </c>
    </row>
    <row r="44" spans="2:2">
      <c r="B44" s="2546"/>
    </row>
    <row r="45" spans="2:2">
      <c r="B45" s="2546"/>
    </row>
    <row r="46" spans="2:2">
      <c r="B46" s="2546"/>
    </row>
    <row r="47" spans="2:2" ht="15">
      <c r="B47" s="2547" t="s">
        <v>2359</v>
      </c>
    </row>
    <row r="48" spans="2:2" ht="15">
      <c r="B48" s="2547"/>
    </row>
    <row r="49" spans="2:2" ht="15">
      <c r="B49" s="2547" t="s">
        <v>2360</v>
      </c>
    </row>
    <row r="50" spans="2:2" ht="15">
      <c r="B50" s="2547" t="s">
        <v>2361</v>
      </c>
    </row>
    <row r="51" spans="2:2" ht="15">
      <c r="B51" s="2547"/>
    </row>
    <row r="52" spans="2:2" ht="15">
      <c r="B52" s="2547" t="s">
        <v>2353</v>
      </c>
    </row>
    <row r="53" spans="2:2" ht="15">
      <c r="B53" s="2547" t="s">
        <v>2354</v>
      </c>
    </row>
    <row r="54" spans="2:2" ht="15">
      <c r="B54" s="2547"/>
    </row>
    <row r="55" spans="2:2" ht="15">
      <c r="B55" s="2547" t="s">
        <v>2362</v>
      </c>
    </row>
    <row r="56" spans="2:2" ht="15">
      <c r="B56" s="2547" t="s">
        <v>230</v>
      </c>
    </row>
    <row r="57" spans="2:2" ht="15">
      <c r="B57" s="2547"/>
    </row>
    <row r="58" spans="2:2" ht="15">
      <c r="B58" s="2547" t="s">
        <v>2363</v>
      </c>
    </row>
    <row r="59" spans="2:2" ht="15">
      <c r="B59" s="2547" t="s">
        <v>2357</v>
      </c>
    </row>
    <row r="60" spans="2:2">
      <c r="B60" s="2546"/>
    </row>
    <row r="61" spans="2:2" ht="15">
      <c r="B61" s="2547" t="s">
        <v>2364</v>
      </c>
    </row>
    <row r="62" spans="2:2">
      <c r="B62" s="2546"/>
    </row>
    <row r="63" spans="2:2">
      <c r="B63" s="2546"/>
    </row>
    <row r="64" spans="2:2">
      <c r="B64" s="2546"/>
    </row>
    <row r="65" spans="2:2" ht="15">
      <c r="B65" s="2547" t="s">
        <v>2365</v>
      </c>
    </row>
    <row r="66" spans="2:2">
      <c r="B66" s="2546"/>
    </row>
    <row r="67" spans="2:2" ht="15">
      <c r="B67" s="2547" t="s">
        <v>2366</v>
      </c>
    </row>
    <row r="68" spans="2:2" ht="15">
      <c r="B68" s="2547"/>
    </row>
    <row r="69" spans="2:2" ht="15">
      <c r="B69" s="2547"/>
    </row>
    <row r="70" spans="2:2" ht="48.75" customHeight="1">
      <c r="B70" s="2547"/>
    </row>
    <row r="71" spans="2:2" ht="15">
      <c r="B71" s="2547" t="s">
        <v>2367</v>
      </c>
    </row>
    <row r="72" spans="2:2" ht="15">
      <c r="B72" s="2547" t="s">
        <v>230</v>
      </c>
    </row>
    <row r="73" spans="2:2">
      <c r="B73" s="2546"/>
    </row>
    <row r="74" spans="2:2" ht="15">
      <c r="B74" s="2547" t="s">
        <v>2368</v>
      </c>
    </row>
    <row r="75" spans="2:2" ht="15">
      <c r="B75" s="2547"/>
    </row>
    <row r="76" spans="2:2" ht="15">
      <c r="B76" s="2547" t="s">
        <v>2369</v>
      </c>
    </row>
    <row r="77" spans="2:2" ht="15">
      <c r="B77" s="2547" t="s">
        <v>2370</v>
      </c>
    </row>
    <row r="78" spans="2:2" ht="15">
      <c r="B78" s="2547" t="s">
        <v>2371</v>
      </c>
    </row>
    <row r="79" spans="2:2">
      <c r="B79" s="2546"/>
    </row>
    <row r="80" spans="2:2">
      <c r="B80" s="2546"/>
    </row>
    <row r="81" spans="2:2">
      <c r="B81" s="2546"/>
    </row>
    <row r="82" spans="2:2" ht="15">
      <c r="B82" s="2547" t="s">
        <v>2372</v>
      </c>
    </row>
    <row r="83" spans="2:2">
      <c r="B83" s="2546"/>
    </row>
    <row r="84" spans="2:2" ht="15">
      <c r="B84" s="2547" t="s">
        <v>2373</v>
      </c>
    </row>
    <row r="85" spans="2:2">
      <c r="B85" s="2546"/>
    </row>
    <row r="86" spans="2:2" ht="15">
      <c r="B86" s="2547" t="s">
        <v>2374</v>
      </c>
    </row>
    <row r="87" spans="2:2">
      <c r="B87" s="2546"/>
    </row>
    <row r="88" spans="2:2" ht="15">
      <c r="B88" s="2547" t="s">
        <v>2375</v>
      </c>
    </row>
    <row r="94" spans="2:2" ht="49.5">
      <c r="B94" s="2548" t="s">
        <v>2376</v>
      </c>
    </row>
    <row r="95" spans="2:2" ht="85.5" customHeight="1" thickBot="1">
      <c r="B95" s="2549" t="s">
        <v>2377</v>
      </c>
    </row>
    <row r="120" spans="2:2" ht="56.25">
      <c r="B120" s="2550" t="s">
        <v>2378</v>
      </c>
    </row>
    <row r="121" spans="2:2" ht="37.5">
      <c r="B121" s="2550" t="s">
        <v>2379</v>
      </c>
    </row>
    <row r="122" spans="2:2" ht="37.5">
      <c r="B122" s="2550" t="s">
        <v>2380</v>
      </c>
    </row>
    <row r="124" spans="2:2" ht="23.25">
      <c r="B124" s="2551" t="s">
        <v>2381</v>
      </c>
    </row>
    <row r="149" spans="2:2" ht="37.5">
      <c r="B149" s="2550" t="s">
        <v>2382</v>
      </c>
    </row>
    <row r="150" spans="2:2" ht="56.25">
      <c r="B150" s="2550" t="s">
        <v>2383</v>
      </c>
    </row>
    <row r="151" spans="2:2" ht="23.25">
      <c r="B151" s="2551" t="s">
        <v>2384</v>
      </c>
    </row>
    <row r="175" spans="2:2" ht="37.5">
      <c r="B175" s="2550" t="s">
        <v>2385</v>
      </c>
    </row>
    <row r="176" spans="2:2" ht="37.5">
      <c r="B176" s="2550" t="s">
        <v>2386</v>
      </c>
    </row>
    <row r="177" spans="2:2" ht="37.5">
      <c r="B177" s="2550" t="s">
        <v>2387</v>
      </c>
    </row>
    <row r="179" spans="2:2" ht="23.25">
      <c r="B179" s="2551" t="s">
        <v>2388</v>
      </c>
    </row>
    <row r="204" spans="2:2" ht="37.5">
      <c r="B204" s="2550" t="s">
        <v>2389</v>
      </c>
    </row>
    <row r="205" spans="2:2" ht="56.25">
      <c r="B205" s="2550" t="s">
        <v>2390</v>
      </c>
    </row>
    <row r="206" spans="2:2" ht="37.5">
      <c r="B206" s="2550" t="s">
        <v>2391</v>
      </c>
    </row>
    <row r="207" spans="2:2" ht="75">
      <c r="B207" s="2550" t="s">
        <v>2392</v>
      </c>
    </row>
    <row r="209" spans="2:2" ht="18.75">
      <c r="B209" s="2552" t="s">
        <v>2393</v>
      </c>
    </row>
    <row r="212" spans="2:2" ht="15.75">
      <c r="B212" s="2553" t="s">
        <v>2394</v>
      </c>
    </row>
    <row r="213" spans="2:2">
      <c r="B213" s="2554">
        <v>42329</v>
      </c>
    </row>
    <row r="214" spans="2:2">
      <c r="B214" s="2555" t="s">
        <v>2395</v>
      </c>
    </row>
    <row r="215" spans="2:2">
      <c r="B215" s="2556" t="s">
        <v>2396</v>
      </c>
    </row>
    <row r="216" spans="2:2" ht="24">
      <c r="B216" s="2557" t="s">
        <v>2397</v>
      </c>
    </row>
    <row r="217" spans="2:2" ht="17.25">
      <c r="B217" s="2558" t="s">
        <v>2398</v>
      </c>
    </row>
    <row r="218" spans="2:2" ht="36">
      <c r="B218" s="2557" t="s">
        <v>2399</v>
      </c>
    </row>
    <row r="219" spans="2:2" ht="48">
      <c r="B219" s="2557" t="s">
        <v>2400</v>
      </c>
    </row>
    <row r="238" spans="2:2" ht="24">
      <c r="B238" s="2557" t="s">
        <v>2401</v>
      </c>
    </row>
    <row r="239" spans="2:2" ht="17.25">
      <c r="B239" s="2558" t="s">
        <v>2402</v>
      </c>
    </row>
    <row r="240" spans="2:2" ht="36">
      <c r="B240" s="2557" t="s">
        <v>2403</v>
      </c>
    </row>
    <row r="241" spans="2:2">
      <c r="B241" s="2557" t="s">
        <v>2404</v>
      </c>
    </row>
    <row r="242" spans="2:2">
      <c r="B242" s="2557" t="s">
        <v>2405</v>
      </c>
    </row>
    <row r="263" spans="2:2">
      <c r="B263" s="2557" t="s">
        <v>2406</v>
      </c>
    </row>
    <row r="264" spans="2:2" ht="17.25">
      <c r="B264" s="2558" t="s">
        <v>2407</v>
      </c>
    </row>
    <row r="265" spans="2:2" ht="36">
      <c r="B265" s="2557" t="s">
        <v>2408</v>
      </c>
    </row>
    <row r="266" spans="2:2">
      <c r="B266" s="2557" t="s">
        <v>2409</v>
      </c>
    </row>
    <row r="267" spans="2:2">
      <c r="B267" s="2557" t="s">
        <v>2410</v>
      </c>
    </row>
    <row r="291" spans="2:2" ht="17.25">
      <c r="B291" s="2558" t="s">
        <v>2411</v>
      </c>
    </row>
    <row r="292" spans="2:2" ht="36">
      <c r="B292" s="2557" t="s">
        <v>2412</v>
      </c>
    </row>
    <row r="293" spans="2:2">
      <c r="B293" s="2557" t="s">
        <v>2413</v>
      </c>
    </row>
    <row r="294" spans="2:2">
      <c r="B294" s="2557" t="s">
        <v>2414</v>
      </c>
    </row>
    <row r="321" spans="2:2">
      <c r="B321" s="2559" t="s">
        <v>2415</v>
      </c>
    </row>
  </sheetData>
  <hyperlinks>
    <hyperlink ref="B3" r:id="rId1" xr:uid="{00000000-0004-0000-1A00-000000000000}"/>
    <hyperlink ref="B5" r:id="rId2" xr:uid="{00000000-0004-0000-1A00-000001000000}"/>
  </hyperlinks>
  <pageMargins left="0.7" right="0.7" top="0.75" bottom="0.75" header="0.3" footer="0.3"/>
  <pageSetup paperSize="9"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XJ10"/>
  <sheetViews>
    <sheetView zoomScale="75" zoomScaleNormal="75" workbookViewId="0">
      <selection activeCell="Q19" sqref="Q19"/>
    </sheetView>
  </sheetViews>
  <sheetFormatPr baseColWidth="10" defaultRowHeight="15"/>
  <cols>
    <col min="1" max="1" width="4.125" style="1" customWidth="1"/>
    <col min="2" max="8" width="13.75" style="1" customWidth="1"/>
    <col min="9" max="9" width="29.25" style="1" customWidth="1"/>
    <col min="10" max="14" width="13.75" style="1" customWidth="1"/>
    <col min="15" max="15" width="15.625" style="1" bestFit="1" customWidth="1"/>
    <col min="16" max="16" width="14.5" style="1" customWidth="1"/>
    <col min="17" max="17" width="33.625" style="1" customWidth="1"/>
    <col min="18" max="30" width="11" style="1"/>
    <col min="31" max="31" width="15.875" style="1" customWidth="1"/>
    <col min="32" max="16384" width="11" style="1"/>
  </cols>
  <sheetData>
    <row r="1" spans="1:1310">
      <c r="A1" s="489">
        <f t="shared" ref="A1:Q1" ca="1" si="0">CELL("largeur",A1)</f>
        <v>4</v>
      </c>
      <c r="B1" s="489">
        <f t="shared" ca="1" si="0"/>
        <v>13</v>
      </c>
      <c r="C1" s="489">
        <f t="shared" ca="1" si="0"/>
        <v>13</v>
      </c>
      <c r="D1" s="489">
        <f t="shared" ca="1" si="0"/>
        <v>13</v>
      </c>
      <c r="E1" s="489">
        <f t="shared" ca="1" si="0"/>
        <v>13</v>
      </c>
      <c r="F1" s="489">
        <f t="shared" ca="1" si="0"/>
        <v>13</v>
      </c>
      <c r="G1" s="489">
        <f t="shared" ca="1" si="0"/>
        <v>13</v>
      </c>
      <c r="H1" s="489">
        <f t="shared" ca="1" si="0"/>
        <v>13</v>
      </c>
      <c r="I1" s="489">
        <f t="shared" ca="1" si="0"/>
        <v>29</v>
      </c>
      <c r="J1" s="489">
        <f t="shared" ca="1" si="0"/>
        <v>13</v>
      </c>
      <c r="K1" s="489">
        <f t="shared" ca="1" si="0"/>
        <v>13</v>
      </c>
      <c r="L1" s="489">
        <f t="shared" ca="1" si="0"/>
        <v>13</v>
      </c>
      <c r="M1" s="489">
        <f t="shared" ca="1" si="0"/>
        <v>13</v>
      </c>
      <c r="N1" s="489">
        <f t="shared" ca="1" si="0"/>
        <v>13</v>
      </c>
      <c r="O1" s="489">
        <f t="shared" ca="1" si="0"/>
        <v>15</v>
      </c>
      <c r="P1" s="489">
        <f t="shared" ca="1" si="0"/>
        <v>14</v>
      </c>
      <c r="Q1" s="489">
        <f t="shared" ca="1" si="0"/>
        <v>33</v>
      </c>
    </row>
    <row r="2" spans="1:1310" ht="20.100000000000001" customHeight="1">
      <c r="A2" s="468"/>
      <c r="B2" s="2"/>
      <c r="C2" s="2"/>
      <c r="D2" s="2"/>
      <c r="E2" s="356"/>
      <c r="F2" s="2538"/>
      <c r="G2" s="2538"/>
      <c r="H2" s="2538"/>
      <c r="I2" s="2538"/>
      <c r="J2" s="2538"/>
      <c r="K2" s="2538"/>
      <c r="L2" s="2538"/>
      <c r="M2" s="2538"/>
      <c r="N2" s="2538"/>
      <c r="O2" s="2"/>
      <c r="P2" s="2"/>
      <c r="Q2" s="2"/>
    </row>
    <row r="3" spans="1:1310" ht="33">
      <c r="A3" s="635" t="str">
        <f>ADDRESS(ROW(),COLUMN(),4)</f>
        <v>A3</v>
      </c>
      <c r="B3" s="5298" t="s">
        <v>712</v>
      </c>
      <c r="C3" s="5298"/>
      <c r="D3" s="5298"/>
      <c r="E3" s="5298"/>
      <c r="F3" s="5298"/>
      <c r="G3" s="5298"/>
      <c r="H3" s="5298"/>
      <c r="I3" s="5298"/>
      <c r="J3" s="5298"/>
      <c r="K3" s="5298"/>
      <c r="L3" s="5298"/>
      <c r="M3" s="5298"/>
      <c r="N3" s="5298"/>
      <c r="O3" s="5298"/>
      <c r="P3" s="5298"/>
      <c r="Q3" s="5298"/>
    </row>
    <row r="4" spans="1:1310" s="466" customFormat="1" ht="66.75" customHeight="1">
      <c r="A4" s="468"/>
      <c r="B4" s="2590"/>
      <c r="C4" s="2590"/>
      <c r="D4" s="2590"/>
      <c r="E4" s="2590"/>
      <c r="F4" s="2591"/>
      <c r="G4" s="6411" t="s">
        <v>2216</v>
      </c>
      <c r="H4" s="6411"/>
      <c r="I4" s="6411"/>
      <c r="J4" s="2592"/>
      <c r="K4" s="2593"/>
      <c r="L4" s="2590"/>
      <c r="M4" s="2590"/>
      <c r="N4" s="2590"/>
      <c r="O4" s="2590"/>
      <c r="P4" s="2590"/>
      <c r="Q4" s="2590"/>
      <c r="R4" s="443"/>
      <c r="S4" s="1"/>
      <c r="T4" s="443"/>
      <c r="U4" s="443"/>
      <c r="V4" s="443"/>
      <c r="W4" s="443"/>
      <c r="X4" s="443"/>
      <c r="Y4" s="443"/>
      <c r="Z4" s="443"/>
      <c r="AA4" s="443"/>
      <c r="AB4" s="443"/>
      <c r="AC4" s="443"/>
      <c r="AD4" s="467"/>
      <c r="AE4" s="467"/>
      <c r="AF4" s="467"/>
      <c r="AG4" s="467"/>
      <c r="AH4" s="467"/>
      <c r="AI4" s="467"/>
      <c r="AJ4" s="467"/>
      <c r="AK4" s="467"/>
      <c r="AL4" s="467"/>
      <c r="AM4" s="467"/>
      <c r="AN4" s="467"/>
      <c r="AO4" s="467"/>
      <c r="AP4" s="467"/>
      <c r="AQ4" s="467"/>
      <c r="AR4" s="467"/>
      <c r="AS4" s="467"/>
      <c r="AT4" s="467"/>
      <c r="AU4" s="467"/>
      <c r="AV4" s="467"/>
      <c r="AW4" s="467"/>
      <c r="AX4" s="467"/>
      <c r="AY4" s="467"/>
      <c r="AZ4" s="467"/>
      <c r="BA4" s="467"/>
      <c r="BB4" s="467"/>
      <c r="BC4" s="467"/>
      <c r="BD4" s="467"/>
      <c r="BE4" s="467"/>
      <c r="BF4" s="467"/>
      <c r="BG4" s="467"/>
      <c r="BH4" s="467"/>
      <c r="BI4" s="467"/>
      <c r="BJ4" s="467"/>
      <c r="BK4" s="467"/>
      <c r="BL4" s="467"/>
      <c r="BM4" s="467"/>
      <c r="BN4" s="467"/>
      <c r="BO4" s="467"/>
      <c r="BP4" s="467"/>
      <c r="BQ4" s="467"/>
      <c r="BR4" s="467"/>
      <c r="BS4" s="467"/>
      <c r="BT4" s="467"/>
      <c r="BU4" s="467"/>
      <c r="BV4" s="467"/>
      <c r="BW4" s="467"/>
      <c r="BX4" s="467"/>
      <c r="BY4" s="467"/>
      <c r="BZ4" s="467"/>
      <c r="CA4" s="467"/>
      <c r="CB4" s="467"/>
      <c r="CC4" s="467"/>
      <c r="CD4" s="467"/>
      <c r="CE4" s="467"/>
      <c r="CF4" s="467"/>
      <c r="CG4" s="467"/>
      <c r="CH4" s="467"/>
      <c r="CI4" s="467"/>
      <c r="CJ4" s="467"/>
      <c r="CK4" s="467"/>
      <c r="CL4" s="467"/>
      <c r="CM4" s="467"/>
      <c r="CN4" s="467"/>
      <c r="CO4" s="467"/>
      <c r="CP4" s="467"/>
      <c r="CQ4" s="467"/>
      <c r="CR4" s="467"/>
      <c r="CS4" s="467"/>
      <c r="CT4" s="467"/>
      <c r="CU4" s="467"/>
      <c r="CV4" s="467"/>
      <c r="CW4" s="467"/>
      <c r="CX4" s="467"/>
      <c r="CY4" s="467"/>
      <c r="CZ4" s="467"/>
      <c r="DA4" s="467"/>
      <c r="DB4" s="467"/>
      <c r="DC4" s="467"/>
      <c r="DD4" s="467"/>
      <c r="DE4" s="467"/>
      <c r="DF4" s="467"/>
      <c r="DG4" s="467"/>
      <c r="DH4" s="467"/>
      <c r="DI4" s="467"/>
      <c r="DJ4" s="467"/>
      <c r="DK4" s="467"/>
      <c r="DL4" s="467"/>
      <c r="DM4" s="467"/>
      <c r="DN4" s="467"/>
      <c r="DO4" s="467"/>
      <c r="DP4" s="467"/>
      <c r="DQ4" s="467"/>
      <c r="DR4" s="467"/>
      <c r="DS4" s="467"/>
      <c r="DT4" s="467"/>
      <c r="DU4" s="467"/>
      <c r="DV4" s="467"/>
      <c r="DW4" s="467"/>
      <c r="DX4" s="467"/>
      <c r="DY4" s="467"/>
      <c r="DZ4" s="467"/>
      <c r="EA4" s="467"/>
      <c r="EB4" s="467"/>
      <c r="EC4" s="467"/>
      <c r="ED4" s="467"/>
      <c r="EE4" s="467"/>
      <c r="EF4" s="467"/>
      <c r="EG4" s="467"/>
      <c r="EH4" s="467"/>
      <c r="EI4" s="467"/>
      <c r="EJ4" s="467"/>
      <c r="EK4" s="467"/>
      <c r="EL4" s="467"/>
      <c r="EM4" s="467"/>
      <c r="EN4" s="467"/>
      <c r="EO4" s="467"/>
      <c r="EP4" s="467"/>
      <c r="EQ4" s="467"/>
      <c r="ER4" s="467"/>
      <c r="ES4" s="467"/>
      <c r="ET4" s="467"/>
      <c r="EU4" s="467"/>
      <c r="EV4" s="467"/>
      <c r="EW4" s="467"/>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7"/>
      <c r="HU4" s="467"/>
      <c r="HV4" s="467"/>
      <c r="HW4" s="467"/>
      <c r="HX4" s="467"/>
      <c r="HY4" s="467"/>
      <c r="HZ4" s="467"/>
      <c r="IA4" s="467"/>
      <c r="IB4" s="467"/>
      <c r="IC4" s="467"/>
      <c r="ID4" s="467"/>
      <c r="IE4" s="467"/>
      <c r="IF4" s="467"/>
      <c r="IG4" s="467"/>
      <c r="IH4" s="467"/>
      <c r="II4" s="467"/>
      <c r="IJ4" s="467"/>
      <c r="IK4" s="467"/>
      <c r="IL4" s="467"/>
      <c r="IM4" s="467"/>
      <c r="IN4" s="467"/>
      <c r="IO4" s="467"/>
      <c r="IP4" s="467"/>
      <c r="IQ4" s="467"/>
      <c r="IR4" s="467"/>
      <c r="IS4" s="467"/>
      <c r="IT4" s="467"/>
      <c r="IU4" s="467"/>
      <c r="IV4" s="467"/>
      <c r="IW4" s="467"/>
      <c r="IX4" s="467"/>
      <c r="IY4" s="467"/>
      <c r="IZ4" s="467"/>
      <c r="JA4" s="467"/>
      <c r="JB4" s="467"/>
      <c r="JC4" s="467"/>
      <c r="JD4" s="467"/>
      <c r="JE4" s="467"/>
      <c r="JF4" s="467"/>
      <c r="JG4" s="467"/>
      <c r="JH4" s="467"/>
      <c r="JI4" s="467"/>
      <c r="JJ4" s="467"/>
      <c r="JK4" s="467"/>
      <c r="JL4" s="467"/>
      <c r="JM4" s="467"/>
      <c r="JN4" s="467"/>
      <c r="JO4" s="467"/>
      <c r="JP4" s="467"/>
      <c r="JQ4" s="467"/>
      <c r="JR4" s="467"/>
      <c r="JS4" s="467"/>
      <c r="JT4" s="467"/>
      <c r="JU4" s="467"/>
      <c r="JV4" s="467"/>
      <c r="JW4" s="467"/>
      <c r="JX4" s="467"/>
      <c r="JY4" s="467"/>
      <c r="JZ4" s="467"/>
      <c r="KA4" s="467"/>
      <c r="KB4" s="467"/>
      <c r="KC4" s="467"/>
      <c r="KD4" s="467"/>
      <c r="KE4" s="467"/>
      <c r="KF4" s="467"/>
      <c r="KG4" s="467"/>
      <c r="KH4" s="467"/>
      <c r="KI4" s="467"/>
      <c r="KJ4" s="467"/>
      <c r="KK4" s="467"/>
      <c r="KL4" s="467"/>
      <c r="KM4" s="467"/>
      <c r="KN4" s="467"/>
      <c r="KO4" s="467"/>
      <c r="KP4" s="467"/>
      <c r="KQ4" s="467"/>
      <c r="KR4" s="467"/>
      <c r="KS4" s="467"/>
      <c r="KT4" s="467"/>
      <c r="KU4" s="467"/>
      <c r="KV4" s="467"/>
      <c r="KW4" s="467"/>
      <c r="KX4" s="467"/>
      <c r="KY4" s="467"/>
      <c r="KZ4" s="467"/>
      <c r="LA4" s="467"/>
      <c r="LB4" s="467"/>
      <c r="LC4" s="467"/>
      <c r="LD4" s="467"/>
      <c r="LE4" s="467"/>
      <c r="LF4" s="467"/>
      <c r="LG4" s="467"/>
      <c r="LH4" s="467"/>
      <c r="LI4" s="467"/>
      <c r="LJ4" s="467"/>
      <c r="LK4" s="467"/>
      <c r="LL4" s="467"/>
      <c r="LM4" s="467"/>
      <c r="LN4" s="467"/>
      <c r="LO4" s="467"/>
      <c r="LP4" s="467"/>
      <c r="LQ4" s="467"/>
      <c r="LR4" s="467"/>
      <c r="LS4" s="467"/>
      <c r="LT4" s="467"/>
      <c r="LU4" s="467"/>
      <c r="LV4" s="467"/>
      <c r="LW4" s="467"/>
      <c r="LX4" s="467"/>
      <c r="LY4" s="467"/>
      <c r="LZ4" s="467"/>
      <c r="MA4" s="467"/>
      <c r="MB4" s="467"/>
      <c r="MC4" s="467"/>
      <c r="MD4" s="467"/>
      <c r="ME4" s="467"/>
      <c r="MF4" s="467"/>
      <c r="MG4" s="467"/>
      <c r="MH4" s="467"/>
      <c r="MI4" s="467"/>
      <c r="MJ4" s="467"/>
      <c r="MK4" s="467"/>
      <c r="ML4" s="467"/>
      <c r="MM4" s="467"/>
      <c r="MN4" s="467"/>
      <c r="MO4" s="467"/>
      <c r="MP4" s="467"/>
      <c r="MQ4" s="467"/>
      <c r="MR4" s="467"/>
      <c r="MS4" s="467"/>
      <c r="MT4" s="467"/>
      <c r="MU4" s="467"/>
      <c r="MV4" s="467"/>
      <c r="MW4" s="467"/>
      <c r="MX4" s="467"/>
      <c r="MY4" s="467"/>
      <c r="MZ4" s="467"/>
      <c r="NA4" s="467"/>
      <c r="NB4" s="467"/>
      <c r="NC4" s="467"/>
      <c r="ND4" s="467"/>
      <c r="NE4" s="467"/>
      <c r="NF4" s="467"/>
      <c r="NG4" s="467"/>
      <c r="NH4" s="467"/>
      <c r="NI4" s="467"/>
      <c r="NJ4" s="467"/>
      <c r="NK4" s="467"/>
      <c r="NL4" s="467"/>
      <c r="NM4" s="467"/>
      <c r="NN4" s="467"/>
      <c r="NO4" s="467"/>
      <c r="NP4" s="467"/>
      <c r="NQ4" s="467"/>
      <c r="NR4" s="467"/>
      <c r="NS4" s="467"/>
      <c r="NT4" s="467"/>
      <c r="NU4" s="467"/>
      <c r="NV4" s="467"/>
      <c r="NW4" s="467"/>
      <c r="NX4" s="467"/>
      <c r="NY4" s="467"/>
      <c r="NZ4" s="467"/>
      <c r="OA4" s="467"/>
      <c r="OB4" s="467"/>
      <c r="OC4" s="467"/>
      <c r="OD4" s="467"/>
      <c r="OE4" s="467"/>
      <c r="OF4" s="467"/>
      <c r="OG4" s="467"/>
      <c r="OH4" s="467"/>
      <c r="OI4" s="467"/>
      <c r="OJ4" s="467"/>
      <c r="OK4" s="467"/>
      <c r="OL4" s="467"/>
      <c r="OM4" s="467"/>
      <c r="ON4" s="467"/>
      <c r="OO4" s="467"/>
      <c r="OP4" s="467"/>
      <c r="OQ4" s="467"/>
      <c r="OR4" s="467"/>
      <c r="OS4" s="467"/>
      <c r="OT4" s="467"/>
      <c r="OU4" s="467"/>
      <c r="OV4" s="467"/>
      <c r="OW4" s="467"/>
      <c r="OX4" s="467"/>
      <c r="OY4" s="467"/>
      <c r="OZ4" s="467"/>
      <c r="PA4" s="467"/>
      <c r="PB4" s="467"/>
      <c r="PC4" s="467"/>
      <c r="PD4" s="467"/>
      <c r="PE4" s="467"/>
      <c r="PF4" s="467"/>
      <c r="PG4" s="467"/>
      <c r="PH4" s="467"/>
      <c r="PI4" s="467"/>
      <c r="PJ4" s="467"/>
      <c r="PK4" s="467"/>
      <c r="PL4" s="467"/>
      <c r="PM4" s="467"/>
      <c r="PN4" s="467"/>
      <c r="PO4" s="467"/>
      <c r="PP4" s="467"/>
      <c r="PQ4" s="467"/>
      <c r="PR4" s="467"/>
      <c r="PS4" s="467"/>
      <c r="PT4" s="467"/>
      <c r="PU4" s="467"/>
      <c r="PV4" s="467"/>
      <c r="PW4" s="467"/>
      <c r="PX4" s="467"/>
      <c r="PY4" s="467"/>
      <c r="PZ4" s="467"/>
      <c r="QA4" s="467"/>
      <c r="QB4" s="467"/>
      <c r="QC4" s="467"/>
      <c r="QD4" s="467"/>
      <c r="QE4" s="467"/>
      <c r="QF4" s="467"/>
      <c r="QG4" s="467"/>
      <c r="QH4" s="467"/>
      <c r="QI4" s="467"/>
      <c r="QJ4" s="467"/>
      <c r="QK4" s="467"/>
      <c r="QL4" s="467"/>
      <c r="QM4" s="467"/>
      <c r="QN4" s="467"/>
      <c r="QO4" s="467"/>
      <c r="QP4" s="467"/>
      <c r="QQ4" s="467"/>
      <c r="QR4" s="467"/>
      <c r="QS4" s="467"/>
      <c r="QT4" s="467"/>
      <c r="QU4" s="467"/>
      <c r="QV4" s="467"/>
      <c r="QW4" s="467"/>
      <c r="QX4" s="467"/>
      <c r="QY4" s="467"/>
      <c r="QZ4" s="467"/>
      <c r="RA4" s="467"/>
      <c r="RB4" s="467"/>
      <c r="RC4" s="467"/>
      <c r="RD4" s="467"/>
      <c r="RE4" s="467"/>
      <c r="RF4" s="467"/>
      <c r="RG4" s="467"/>
      <c r="RH4" s="467"/>
      <c r="RI4" s="467"/>
      <c r="RJ4" s="467"/>
      <c r="RK4" s="467"/>
      <c r="RL4" s="467"/>
      <c r="RM4" s="467"/>
      <c r="RN4" s="467"/>
      <c r="RO4" s="467"/>
      <c r="RP4" s="467"/>
      <c r="RQ4" s="467"/>
      <c r="RR4" s="467"/>
      <c r="RS4" s="467"/>
      <c r="RT4" s="467"/>
      <c r="RU4" s="467"/>
      <c r="RV4" s="467"/>
      <c r="RW4" s="467"/>
      <c r="RX4" s="467"/>
      <c r="RY4" s="467"/>
      <c r="RZ4" s="467"/>
      <c r="SA4" s="467"/>
      <c r="SB4" s="467"/>
      <c r="SC4" s="467"/>
      <c r="SD4" s="467"/>
      <c r="SE4" s="467"/>
      <c r="SF4" s="467"/>
      <c r="SG4" s="467"/>
      <c r="SH4" s="467"/>
      <c r="SI4" s="467"/>
      <c r="SJ4" s="467"/>
      <c r="SK4" s="467"/>
      <c r="SL4" s="467"/>
      <c r="SM4" s="467"/>
      <c r="SN4" s="467"/>
      <c r="SO4" s="467"/>
      <c r="SP4" s="467"/>
      <c r="SQ4" s="467"/>
      <c r="SR4" s="467"/>
      <c r="SS4" s="467"/>
      <c r="ST4" s="467"/>
      <c r="SU4" s="467"/>
      <c r="SV4" s="467"/>
      <c r="SW4" s="467"/>
      <c r="SX4" s="467"/>
      <c r="SY4" s="467"/>
      <c r="SZ4" s="467"/>
      <c r="TA4" s="467"/>
      <c r="TB4" s="467"/>
      <c r="TC4" s="467"/>
      <c r="TD4" s="467"/>
      <c r="TE4" s="467"/>
      <c r="TF4" s="467"/>
      <c r="TG4" s="467"/>
      <c r="TH4" s="467"/>
      <c r="TI4" s="467"/>
      <c r="TJ4" s="467"/>
      <c r="TK4" s="467"/>
      <c r="TL4" s="467"/>
      <c r="TM4" s="467"/>
      <c r="TN4" s="467"/>
      <c r="TO4" s="467"/>
      <c r="TP4" s="467"/>
      <c r="TQ4" s="467"/>
      <c r="TR4" s="467"/>
      <c r="TS4" s="467"/>
      <c r="TT4" s="467"/>
      <c r="TU4" s="467"/>
      <c r="TV4" s="467"/>
      <c r="TW4" s="467"/>
      <c r="TX4" s="467"/>
      <c r="TY4" s="467"/>
      <c r="TZ4" s="467"/>
      <c r="UA4" s="467"/>
      <c r="UB4" s="467"/>
      <c r="UC4" s="467"/>
      <c r="UD4" s="467"/>
      <c r="UE4" s="467"/>
      <c r="UF4" s="467"/>
      <c r="UG4" s="467"/>
      <c r="UH4" s="467"/>
      <c r="UI4" s="467"/>
      <c r="UJ4" s="467"/>
      <c r="UK4" s="467"/>
      <c r="UL4" s="467"/>
      <c r="UM4" s="467"/>
      <c r="UN4" s="467"/>
      <c r="UO4" s="467"/>
      <c r="UP4" s="467"/>
      <c r="UQ4" s="467"/>
      <c r="UR4" s="467"/>
      <c r="US4" s="467"/>
      <c r="UT4" s="467"/>
      <c r="UU4" s="467"/>
      <c r="UV4" s="467"/>
      <c r="UW4" s="467"/>
      <c r="UX4" s="467"/>
      <c r="UY4" s="467"/>
      <c r="UZ4" s="467"/>
      <c r="VA4" s="467"/>
      <c r="VB4" s="467"/>
      <c r="VC4" s="467"/>
      <c r="VD4" s="467"/>
      <c r="VE4" s="467"/>
      <c r="VF4" s="467"/>
      <c r="VG4" s="467"/>
      <c r="VH4" s="467"/>
      <c r="VI4" s="467"/>
      <c r="VJ4" s="467"/>
      <c r="VK4" s="467"/>
      <c r="VL4" s="467"/>
      <c r="VM4" s="467"/>
      <c r="VN4" s="467"/>
      <c r="VO4" s="467"/>
      <c r="VP4" s="467"/>
      <c r="VQ4" s="467"/>
      <c r="VR4" s="467"/>
      <c r="VS4" s="467"/>
      <c r="VT4" s="467"/>
      <c r="VU4" s="467"/>
      <c r="VV4" s="467"/>
      <c r="VW4" s="467"/>
      <c r="VX4" s="467"/>
      <c r="VY4" s="467"/>
      <c r="VZ4" s="467"/>
      <c r="WA4" s="467"/>
      <c r="WB4" s="467"/>
      <c r="WC4" s="467"/>
      <c r="WD4" s="467"/>
      <c r="WE4" s="467"/>
      <c r="WF4" s="467"/>
      <c r="WG4" s="467"/>
      <c r="WH4" s="467"/>
      <c r="WI4" s="467"/>
      <c r="WJ4" s="467"/>
      <c r="WK4" s="467"/>
      <c r="WL4" s="467"/>
      <c r="WM4" s="467"/>
      <c r="WN4" s="467"/>
      <c r="WO4" s="467"/>
      <c r="WP4" s="467"/>
      <c r="WQ4" s="467"/>
      <c r="WR4" s="467"/>
      <c r="WS4" s="467"/>
      <c r="WT4" s="467"/>
      <c r="WU4" s="467"/>
      <c r="WV4" s="467"/>
      <c r="WW4" s="467"/>
      <c r="WX4" s="467"/>
      <c r="WY4" s="467"/>
      <c r="WZ4" s="467"/>
      <c r="XA4" s="467"/>
      <c r="XB4" s="467"/>
      <c r="XC4" s="467"/>
      <c r="XD4" s="467"/>
      <c r="XE4" s="467"/>
      <c r="XF4" s="467"/>
      <c r="XG4" s="467"/>
      <c r="XH4" s="467"/>
      <c r="XI4" s="467"/>
      <c r="XJ4" s="467"/>
      <c r="XK4" s="467"/>
      <c r="XL4" s="467"/>
      <c r="XM4" s="467"/>
      <c r="XN4" s="467"/>
      <c r="XO4" s="467"/>
      <c r="XP4" s="467"/>
      <c r="XQ4" s="467"/>
      <c r="XR4" s="467"/>
      <c r="XS4" s="467"/>
      <c r="XT4" s="467"/>
      <c r="XU4" s="467"/>
      <c r="XV4" s="467"/>
      <c r="XW4" s="467"/>
      <c r="XX4" s="467"/>
      <c r="XY4" s="467"/>
      <c r="XZ4" s="467"/>
      <c r="YA4" s="467"/>
      <c r="YB4" s="467"/>
      <c r="YC4" s="467"/>
      <c r="YD4" s="467"/>
      <c r="YE4" s="467"/>
      <c r="YF4" s="467"/>
      <c r="YG4" s="467"/>
      <c r="YH4" s="467"/>
      <c r="YI4" s="467"/>
      <c r="YJ4" s="467"/>
      <c r="YK4" s="467"/>
      <c r="YL4" s="467"/>
      <c r="YM4" s="467"/>
      <c r="YN4" s="467"/>
      <c r="YO4" s="467"/>
      <c r="YP4" s="467"/>
      <c r="YQ4" s="467"/>
      <c r="YR4" s="467"/>
      <c r="YS4" s="467"/>
      <c r="YT4" s="467"/>
      <c r="YU4" s="467"/>
      <c r="YV4" s="467"/>
      <c r="YW4" s="467"/>
      <c r="YX4" s="467"/>
      <c r="YY4" s="467"/>
      <c r="YZ4" s="467"/>
      <c r="ZA4" s="467"/>
      <c r="ZB4" s="467"/>
      <c r="ZC4" s="467"/>
      <c r="ZD4" s="467"/>
      <c r="ZE4" s="467"/>
      <c r="ZF4" s="467"/>
      <c r="ZG4" s="467"/>
      <c r="ZH4" s="467"/>
      <c r="ZI4" s="467"/>
      <c r="ZJ4" s="467"/>
      <c r="ZK4" s="467"/>
      <c r="ZL4" s="467"/>
      <c r="ZM4" s="467"/>
      <c r="ZN4" s="467"/>
      <c r="ZO4" s="467"/>
      <c r="ZP4" s="467"/>
      <c r="ZQ4" s="467"/>
      <c r="ZR4" s="467"/>
      <c r="ZS4" s="467"/>
      <c r="ZT4" s="467"/>
      <c r="ZU4" s="467"/>
      <c r="ZV4" s="467"/>
      <c r="ZW4" s="467"/>
      <c r="ZX4" s="467"/>
      <c r="ZY4" s="467"/>
      <c r="ZZ4" s="467"/>
      <c r="AAA4" s="467"/>
      <c r="AAB4" s="467"/>
      <c r="AAC4" s="467"/>
      <c r="AAD4" s="467"/>
      <c r="AAE4" s="467"/>
      <c r="AAF4" s="467"/>
      <c r="AAG4" s="467"/>
      <c r="AAH4" s="467"/>
      <c r="AAI4" s="467"/>
      <c r="AAJ4" s="467"/>
      <c r="AAK4" s="467"/>
      <c r="AAL4" s="467"/>
      <c r="AAM4" s="467"/>
      <c r="AAN4" s="467"/>
      <c r="AAO4" s="467"/>
      <c r="AAP4" s="467"/>
      <c r="AAQ4" s="467"/>
      <c r="AAR4" s="467"/>
      <c r="AAS4" s="467"/>
      <c r="AAT4" s="467"/>
      <c r="AAU4" s="467"/>
      <c r="AAV4" s="467"/>
      <c r="AAW4" s="467"/>
      <c r="AAX4" s="467"/>
      <c r="AAY4" s="467"/>
      <c r="AAZ4" s="467"/>
      <c r="ABA4" s="467"/>
      <c r="ABB4" s="467"/>
      <c r="ABC4" s="467"/>
      <c r="ABD4" s="467"/>
      <c r="ABE4" s="467"/>
      <c r="ABF4" s="467"/>
      <c r="ABG4" s="467"/>
      <c r="ABH4" s="467"/>
      <c r="ABI4" s="467"/>
      <c r="ABJ4" s="467"/>
      <c r="ABK4" s="467"/>
      <c r="ABL4" s="467"/>
      <c r="ABM4" s="467"/>
      <c r="ABN4" s="467"/>
      <c r="ABO4" s="467"/>
      <c r="ABP4" s="467"/>
      <c r="ABQ4" s="467"/>
      <c r="ABR4" s="467"/>
      <c r="ABS4" s="467"/>
      <c r="ABT4" s="467"/>
      <c r="ABU4" s="467"/>
      <c r="ABV4" s="467"/>
      <c r="ABW4" s="467"/>
      <c r="ABX4" s="467"/>
      <c r="ABY4" s="467"/>
      <c r="ABZ4" s="467"/>
      <c r="ACA4" s="467"/>
      <c r="ACB4" s="467"/>
      <c r="ACC4" s="467"/>
      <c r="ACD4" s="467"/>
      <c r="ACE4" s="467"/>
      <c r="ACF4" s="467"/>
      <c r="ACG4" s="467"/>
      <c r="ACH4" s="467"/>
      <c r="ACI4" s="467"/>
      <c r="ACJ4" s="467"/>
      <c r="ACK4" s="467"/>
      <c r="ACL4" s="467"/>
      <c r="ACM4" s="467"/>
      <c r="ACN4" s="467"/>
      <c r="ACO4" s="467"/>
      <c r="ACP4" s="467"/>
      <c r="ACQ4" s="467"/>
      <c r="ACR4" s="467"/>
      <c r="ACS4" s="467"/>
      <c r="ACT4" s="467"/>
      <c r="ACU4" s="467"/>
      <c r="ACV4" s="467"/>
      <c r="ACW4" s="467"/>
      <c r="ACX4" s="467"/>
      <c r="ACY4" s="467"/>
      <c r="ACZ4" s="467"/>
      <c r="ADA4" s="467"/>
      <c r="ADB4" s="467"/>
      <c r="ADC4" s="467"/>
      <c r="ADD4" s="467"/>
      <c r="ADE4" s="467"/>
      <c r="ADF4" s="467"/>
      <c r="ADG4" s="467"/>
      <c r="ADH4" s="467"/>
      <c r="ADI4" s="467"/>
      <c r="ADJ4" s="467"/>
      <c r="ADK4" s="467"/>
      <c r="ADL4" s="467"/>
      <c r="ADM4" s="467"/>
      <c r="ADN4" s="467"/>
      <c r="ADO4" s="467"/>
      <c r="ADP4" s="467"/>
      <c r="ADQ4" s="467"/>
      <c r="ADR4" s="467"/>
      <c r="ADS4" s="467"/>
      <c r="ADT4" s="467"/>
      <c r="ADU4" s="467"/>
      <c r="ADV4" s="467"/>
      <c r="ADW4" s="467"/>
      <c r="ADX4" s="467"/>
      <c r="ADY4" s="467"/>
      <c r="ADZ4" s="467"/>
      <c r="AEA4" s="467"/>
      <c r="AEB4" s="467"/>
      <c r="AEC4" s="467"/>
      <c r="AED4" s="467"/>
      <c r="AEE4" s="467"/>
      <c r="AEF4" s="467"/>
      <c r="AEG4" s="467"/>
      <c r="AEH4" s="467"/>
      <c r="AEI4" s="467"/>
      <c r="AEJ4" s="467"/>
      <c r="AEK4" s="467"/>
      <c r="AEL4" s="467"/>
      <c r="AEM4" s="467"/>
      <c r="AEN4" s="467"/>
      <c r="AEO4" s="467"/>
      <c r="AEP4" s="467"/>
      <c r="AEQ4" s="467"/>
      <c r="AER4" s="467"/>
      <c r="AES4" s="467"/>
      <c r="AET4" s="467"/>
      <c r="AEU4" s="467"/>
      <c r="AEV4" s="467"/>
      <c r="AEW4" s="467"/>
      <c r="AEX4" s="467"/>
      <c r="AEY4" s="467"/>
      <c r="AEZ4" s="467"/>
      <c r="AFA4" s="467"/>
      <c r="AFB4" s="467"/>
      <c r="AFC4" s="467"/>
      <c r="AFD4" s="467"/>
      <c r="AFE4" s="467"/>
      <c r="AFF4" s="467"/>
      <c r="AFG4" s="467"/>
      <c r="AFH4" s="467"/>
      <c r="AFI4" s="467"/>
      <c r="AFJ4" s="467"/>
      <c r="AFK4" s="467"/>
      <c r="AFL4" s="467"/>
      <c r="AFM4" s="467"/>
      <c r="AFN4" s="467"/>
      <c r="AFO4" s="467"/>
      <c r="AFP4" s="467"/>
      <c r="AFQ4" s="467"/>
      <c r="AFR4" s="467"/>
      <c r="AFS4" s="467"/>
      <c r="AFT4" s="467"/>
      <c r="AFU4" s="467"/>
      <c r="AFV4" s="467"/>
      <c r="AFW4" s="467"/>
      <c r="AFX4" s="467"/>
      <c r="AFY4" s="467"/>
      <c r="AFZ4" s="467"/>
      <c r="AGA4" s="467"/>
      <c r="AGB4" s="467"/>
      <c r="AGC4" s="467"/>
      <c r="AGD4" s="467"/>
      <c r="AGE4" s="467"/>
      <c r="AGF4" s="467"/>
      <c r="AGG4" s="467"/>
      <c r="AGH4" s="467"/>
      <c r="AGI4" s="467"/>
      <c r="AGJ4" s="467"/>
      <c r="AGK4" s="467"/>
      <c r="AGL4" s="467"/>
      <c r="AGM4" s="467"/>
      <c r="AGN4" s="467"/>
      <c r="AGO4" s="467"/>
      <c r="AGP4" s="467"/>
      <c r="AGQ4" s="467"/>
      <c r="AGR4" s="467"/>
      <c r="AGS4" s="467"/>
      <c r="AGT4" s="467"/>
      <c r="AGU4" s="467"/>
      <c r="AGV4" s="467"/>
      <c r="AGW4" s="467"/>
      <c r="AGX4" s="467"/>
      <c r="AGY4" s="467"/>
      <c r="AGZ4" s="467"/>
      <c r="AHA4" s="467"/>
      <c r="AHB4" s="467"/>
      <c r="AHC4" s="467"/>
      <c r="AHD4" s="467"/>
      <c r="AHE4" s="467"/>
      <c r="AHF4" s="467"/>
      <c r="AHG4" s="467"/>
      <c r="AHH4" s="467"/>
      <c r="AHI4" s="467"/>
      <c r="AHJ4" s="467"/>
      <c r="AHK4" s="467"/>
      <c r="AHL4" s="467"/>
      <c r="AHM4" s="467"/>
      <c r="AHN4" s="467"/>
      <c r="AHO4" s="467"/>
      <c r="AHP4" s="467"/>
      <c r="AHQ4" s="467"/>
      <c r="AHR4" s="467"/>
      <c r="AHS4" s="467"/>
      <c r="AHT4" s="467"/>
      <c r="AHU4" s="467"/>
      <c r="AHV4" s="467"/>
      <c r="AHW4" s="467"/>
      <c r="AHX4" s="467"/>
      <c r="AHY4" s="467"/>
      <c r="AHZ4" s="467"/>
      <c r="AIA4" s="467"/>
      <c r="AIB4" s="467"/>
      <c r="AIC4" s="467"/>
      <c r="AID4" s="467"/>
      <c r="AIE4" s="467"/>
      <c r="AIF4" s="467"/>
      <c r="AIG4" s="467"/>
      <c r="AIH4" s="467"/>
      <c r="AII4" s="467"/>
      <c r="AIJ4" s="467"/>
      <c r="AIK4" s="467"/>
      <c r="AIL4" s="467"/>
      <c r="AIM4" s="467"/>
      <c r="AIN4" s="467"/>
      <c r="AIO4" s="467"/>
      <c r="AIP4" s="467"/>
      <c r="AIQ4" s="467"/>
      <c r="AIR4" s="467"/>
      <c r="AIS4" s="467"/>
      <c r="AIT4" s="467"/>
      <c r="AIU4" s="467"/>
      <c r="AIV4" s="467"/>
      <c r="AIW4" s="467"/>
      <c r="AIX4" s="467"/>
      <c r="AIY4" s="467"/>
      <c r="AIZ4" s="467"/>
      <c r="AJA4" s="467"/>
      <c r="AJB4" s="467"/>
      <c r="AJC4" s="467"/>
      <c r="AJD4" s="467"/>
      <c r="AJE4" s="467"/>
      <c r="AJF4" s="467"/>
      <c r="AJG4" s="467"/>
      <c r="AJH4" s="467"/>
      <c r="AJI4" s="467"/>
      <c r="AJJ4" s="467"/>
      <c r="AJK4" s="467"/>
      <c r="AJL4" s="467"/>
      <c r="AJM4" s="467"/>
      <c r="AJN4" s="467"/>
      <c r="AJO4" s="467"/>
      <c r="AJP4" s="467"/>
      <c r="AJQ4" s="467"/>
      <c r="AJR4" s="467"/>
      <c r="AJS4" s="467"/>
      <c r="AJT4" s="467"/>
      <c r="AJU4" s="467"/>
      <c r="AJV4" s="467"/>
      <c r="AJW4" s="467"/>
      <c r="AJX4" s="467"/>
      <c r="AJY4" s="467"/>
      <c r="AJZ4" s="467"/>
      <c r="AKA4" s="467"/>
      <c r="AKB4" s="467"/>
      <c r="AKC4" s="467"/>
      <c r="AKD4" s="467"/>
      <c r="AKE4" s="467"/>
      <c r="AKF4" s="467"/>
      <c r="AKG4" s="467"/>
      <c r="AKH4" s="467"/>
      <c r="AKI4" s="467"/>
      <c r="AKJ4" s="467"/>
      <c r="AKK4" s="467"/>
      <c r="AKL4" s="467"/>
      <c r="AKM4" s="467"/>
      <c r="AKN4" s="467"/>
      <c r="AKO4" s="467"/>
      <c r="AKP4" s="467"/>
      <c r="AKQ4" s="467"/>
      <c r="AKR4" s="467"/>
      <c r="AKS4" s="467"/>
      <c r="AKT4" s="467"/>
      <c r="AKU4" s="467"/>
      <c r="AKV4" s="467"/>
      <c r="AKW4" s="467"/>
      <c r="AKX4" s="467"/>
      <c r="AKY4" s="467"/>
      <c r="AKZ4" s="467"/>
      <c r="ALA4" s="467"/>
      <c r="ALB4" s="467"/>
      <c r="ALC4" s="467"/>
      <c r="ALD4" s="467"/>
      <c r="ALE4" s="467"/>
      <c r="ALF4" s="467"/>
      <c r="ALG4" s="467"/>
      <c r="ALH4" s="467"/>
      <c r="ALI4" s="467"/>
      <c r="ALJ4" s="467"/>
      <c r="ALK4" s="467"/>
      <c r="ALL4" s="467"/>
      <c r="ALM4" s="467"/>
      <c r="ALN4" s="467"/>
      <c r="ALO4" s="467"/>
      <c r="ALP4" s="467"/>
      <c r="ALQ4" s="467"/>
      <c r="ALR4" s="467"/>
      <c r="ALS4" s="467"/>
      <c r="ALT4" s="467"/>
      <c r="ALU4" s="467"/>
      <c r="ALV4" s="467"/>
      <c r="ALW4" s="467"/>
      <c r="ALX4" s="467"/>
      <c r="ALY4" s="467"/>
      <c r="ALZ4" s="467"/>
      <c r="AMA4" s="467"/>
      <c r="AMB4" s="467"/>
      <c r="AMC4" s="467"/>
      <c r="AMD4" s="467"/>
      <c r="AME4" s="467"/>
      <c r="AMF4" s="467"/>
      <c r="AMG4" s="467"/>
      <c r="AMH4" s="467"/>
      <c r="AMI4" s="467"/>
      <c r="AMJ4" s="467"/>
      <c r="AMK4" s="467"/>
      <c r="AML4" s="467"/>
      <c r="AMM4" s="467"/>
      <c r="AMN4" s="467"/>
      <c r="AMO4" s="467"/>
      <c r="AMP4" s="467"/>
      <c r="AMQ4" s="467"/>
      <c r="AMR4" s="467"/>
      <c r="AMS4" s="467"/>
      <c r="AMT4" s="467"/>
      <c r="AMU4" s="467"/>
      <c r="AMV4" s="467"/>
      <c r="AMW4" s="467"/>
      <c r="AMX4" s="467"/>
      <c r="AMY4" s="467"/>
      <c r="AMZ4" s="467"/>
      <c r="ANA4" s="467"/>
      <c r="ANB4" s="467"/>
      <c r="ANC4" s="467"/>
      <c r="AND4" s="467"/>
      <c r="ANE4" s="467"/>
      <c r="ANF4" s="467"/>
      <c r="ANG4" s="467"/>
      <c r="ANH4" s="467"/>
      <c r="ANI4" s="467"/>
      <c r="ANJ4" s="467"/>
      <c r="ANK4" s="467"/>
      <c r="ANL4" s="467"/>
      <c r="ANM4" s="467"/>
      <c r="ANN4" s="467"/>
      <c r="ANO4" s="467"/>
      <c r="ANP4" s="467"/>
      <c r="ANQ4" s="467"/>
      <c r="ANR4" s="467"/>
      <c r="ANS4" s="467"/>
      <c r="ANT4" s="467"/>
      <c r="ANU4" s="467"/>
      <c r="ANV4" s="467"/>
      <c r="ANW4" s="467"/>
      <c r="ANX4" s="467"/>
      <c r="ANY4" s="467"/>
      <c r="ANZ4" s="467"/>
      <c r="AOA4" s="467"/>
      <c r="AOB4" s="467"/>
      <c r="AOC4" s="467"/>
      <c r="AOD4" s="467"/>
      <c r="AOE4" s="467"/>
      <c r="AOF4" s="467"/>
      <c r="AOG4" s="467"/>
      <c r="AOH4" s="467"/>
      <c r="AOI4" s="467"/>
      <c r="AOJ4" s="467"/>
      <c r="AOK4" s="467"/>
      <c r="AOL4" s="467"/>
      <c r="AOM4" s="467"/>
      <c r="AON4" s="467"/>
      <c r="AOO4" s="467"/>
      <c r="AOP4" s="467"/>
      <c r="AOQ4" s="467"/>
      <c r="AOR4" s="467"/>
      <c r="AOS4" s="467"/>
      <c r="AOT4" s="467"/>
      <c r="AOU4" s="467"/>
      <c r="AOV4" s="467"/>
      <c r="AOW4" s="467"/>
      <c r="AOX4" s="467"/>
      <c r="AOY4" s="467"/>
      <c r="AOZ4" s="467"/>
      <c r="APA4" s="467"/>
      <c r="APB4" s="467"/>
      <c r="APC4" s="467"/>
      <c r="APD4" s="467"/>
      <c r="APE4" s="467"/>
      <c r="APF4" s="467"/>
      <c r="APG4" s="467"/>
      <c r="APH4" s="467"/>
      <c r="API4" s="467"/>
      <c r="APJ4" s="467"/>
      <c r="APK4" s="467"/>
      <c r="APL4" s="467"/>
      <c r="APM4" s="467"/>
      <c r="APN4" s="467"/>
      <c r="APO4" s="467"/>
      <c r="APP4" s="467"/>
      <c r="APQ4" s="467"/>
      <c r="APR4" s="467"/>
      <c r="APS4" s="467"/>
      <c r="APT4" s="467"/>
      <c r="APU4" s="467"/>
      <c r="APV4" s="467"/>
      <c r="APW4" s="467"/>
      <c r="APX4" s="467"/>
      <c r="APY4" s="467"/>
      <c r="APZ4" s="467"/>
      <c r="AQA4" s="467"/>
      <c r="AQB4" s="467"/>
      <c r="AQC4" s="467"/>
      <c r="AQD4" s="467"/>
      <c r="AQE4" s="467"/>
      <c r="AQF4" s="467"/>
      <c r="AQG4" s="467"/>
      <c r="AQH4" s="467"/>
      <c r="AQI4" s="467"/>
      <c r="AQJ4" s="467"/>
      <c r="AQK4" s="467"/>
      <c r="AQL4" s="467"/>
      <c r="AQM4" s="467"/>
      <c r="AQN4" s="467"/>
      <c r="AQO4" s="467"/>
      <c r="AQP4" s="467"/>
      <c r="AQQ4" s="467"/>
      <c r="AQR4" s="467"/>
      <c r="AQS4" s="467"/>
      <c r="AQT4" s="467"/>
      <c r="AQU4" s="467"/>
      <c r="AQV4" s="467"/>
      <c r="AQW4" s="467"/>
      <c r="AQX4" s="467"/>
      <c r="AQY4" s="467"/>
      <c r="AQZ4" s="467"/>
      <c r="ARA4" s="467"/>
      <c r="ARB4" s="467"/>
      <c r="ARC4" s="467"/>
      <c r="ARD4" s="467"/>
      <c r="ARE4" s="467"/>
      <c r="ARF4" s="467"/>
      <c r="ARG4" s="467"/>
      <c r="ARH4" s="467"/>
      <c r="ARI4" s="467"/>
      <c r="ARJ4" s="467"/>
      <c r="ARK4" s="467"/>
      <c r="ARL4" s="467"/>
      <c r="ARM4" s="467"/>
      <c r="ARN4" s="467"/>
      <c r="ARO4" s="467"/>
      <c r="ARP4" s="467"/>
      <c r="ARQ4" s="467"/>
      <c r="ARR4" s="467"/>
      <c r="ARS4" s="467"/>
      <c r="ART4" s="467"/>
      <c r="ARU4" s="467"/>
      <c r="ARV4" s="467"/>
      <c r="ARW4" s="467"/>
      <c r="ARX4" s="467"/>
      <c r="ARY4" s="467"/>
      <c r="ARZ4" s="467"/>
      <c r="ASA4" s="467"/>
      <c r="ASB4" s="467"/>
      <c r="ASC4" s="467"/>
      <c r="ASD4" s="467"/>
      <c r="ASE4" s="467"/>
      <c r="ASF4" s="467"/>
      <c r="ASG4" s="467"/>
      <c r="ASH4" s="467"/>
      <c r="ASI4" s="467"/>
      <c r="ASJ4" s="467"/>
      <c r="ASK4" s="467"/>
      <c r="ASL4" s="467"/>
      <c r="ASM4" s="467"/>
      <c r="ASN4" s="467"/>
      <c r="ASO4" s="467"/>
      <c r="ASP4" s="467"/>
      <c r="ASQ4" s="467"/>
      <c r="ASR4" s="467"/>
      <c r="ASS4" s="467"/>
      <c r="AST4" s="467"/>
      <c r="ASU4" s="467"/>
      <c r="ASV4" s="467"/>
      <c r="ASW4" s="467"/>
      <c r="ASX4" s="467"/>
      <c r="ASY4" s="467"/>
      <c r="ASZ4" s="467"/>
      <c r="ATA4" s="467"/>
      <c r="ATB4" s="467"/>
      <c r="ATC4" s="467"/>
      <c r="ATD4" s="467"/>
      <c r="ATE4" s="467"/>
      <c r="ATF4" s="467"/>
      <c r="ATG4" s="467"/>
      <c r="ATH4" s="467"/>
      <c r="ATI4" s="467"/>
      <c r="ATJ4" s="467"/>
      <c r="ATK4" s="467"/>
      <c r="ATL4" s="467"/>
      <c r="ATM4" s="467"/>
      <c r="ATN4" s="467"/>
      <c r="ATO4" s="467"/>
      <c r="ATP4" s="467"/>
      <c r="ATQ4" s="467"/>
      <c r="ATR4" s="467"/>
      <c r="ATS4" s="467"/>
      <c r="ATT4" s="467"/>
      <c r="ATU4" s="467"/>
      <c r="ATV4" s="467"/>
      <c r="ATW4" s="467"/>
      <c r="ATX4" s="467"/>
      <c r="ATY4" s="467"/>
      <c r="ATZ4" s="467"/>
      <c r="AUA4" s="467"/>
      <c r="AUB4" s="467"/>
      <c r="AUC4" s="467"/>
      <c r="AUD4" s="467"/>
      <c r="AUE4" s="467"/>
      <c r="AUF4" s="467"/>
      <c r="AUG4" s="467"/>
      <c r="AUH4" s="467"/>
      <c r="AUI4" s="467"/>
      <c r="AUJ4" s="467"/>
      <c r="AUK4" s="467"/>
      <c r="AUL4" s="467"/>
      <c r="AUM4" s="467"/>
      <c r="AUN4" s="467"/>
      <c r="AUO4" s="467"/>
      <c r="AUP4" s="467"/>
      <c r="AUQ4" s="467"/>
      <c r="AUR4" s="467"/>
      <c r="AUS4" s="467"/>
      <c r="AUT4" s="467"/>
      <c r="AUU4" s="467"/>
      <c r="AUV4" s="467"/>
      <c r="AUW4" s="467"/>
      <c r="AUX4" s="467"/>
      <c r="AUY4" s="467"/>
      <c r="AUZ4" s="467"/>
      <c r="AVA4" s="467"/>
      <c r="AVB4" s="467"/>
      <c r="AVC4" s="467"/>
      <c r="AVD4" s="467"/>
      <c r="AVE4" s="467"/>
      <c r="AVF4" s="467"/>
      <c r="AVG4" s="467"/>
      <c r="AVH4" s="467"/>
      <c r="AVI4" s="467"/>
      <c r="AVJ4" s="467"/>
      <c r="AVK4" s="467"/>
      <c r="AVL4" s="467"/>
      <c r="AVM4" s="467"/>
      <c r="AVN4" s="467"/>
      <c r="AVO4" s="467"/>
      <c r="AVP4" s="467"/>
      <c r="AVQ4" s="467"/>
      <c r="AVR4" s="467"/>
      <c r="AVS4" s="467"/>
      <c r="AVT4" s="467"/>
      <c r="AVU4" s="467"/>
      <c r="AVV4" s="467"/>
      <c r="AVW4" s="467"/>
      <c r="AVX4" s="467"/>
      <c r="AVY4" s="467"/>
      <c r="AVZ4" s="467"/>
      <c r="AWA4" s="467"/>
      <c r="AWB4" s="467"/>
      <c r="AWC4" s="467"/>
      <c r="AWD4" s="467"/>
      <c r="AWE4" s="467"/>
      <c r="AWF4" s="467"/>
      <c r="AWG4" s="467"/>
      <c r="AWH4" s="467"/>
      <c r="AWI4" s="467"/>
      <c r="AWJ4" s="467"/>
      <c r="AWK4" s="467"/>
      <c r="AWL4" s="467"/>
      <c r="AWM4" s="467"/>
      <c r="AWN4" s="467"/>
      <c r="AWO4" s="467"/>
      <c r="AWP4" s="467"/>
      <c r="AWQ4" s="467"/>
      <c r="AWR4" s="467"/>
      <c r="AWS4" s="467"/>
      <c r="AWT4" s="467"/>
      <c r="AWU4" s="467"/>
      <c r="AWV4" s="467"/>
      <c r="AWW4" s="467"/>
      <c r="AWX4" s="467"/>
      <c r="AWY4" s="467"/>
      <c r="AWZ4" s="467"/>
      <c r="AXA4" s="467"/>
      <c r="AXB4" s="467"/>
      <c r="AXC4" s="467"/>
      <c r="AXD4" s="467"/>
      <c r="AXE4" s="467"/>
      <c r="AXF4" s="467"/>
      <c r="AXG4" s="467"/>
      <c r="AXH4" s="467"/>
      <c r="AXI4" s="467"/>
      <c r="AXJ4" s="467"/>
    </row>
    <row r="5" spans="1:1310" s="466" customFormat="1" ht="65.25" customHeight="1">
      <c r="A5" s="468"/>
      <c r="B5" s="2590"/>
      <c r="C5" s="2590"/>
      <c r="D5" s="2590"/>
      <c r="E5" s="2590"/>
      <c r="F5" s="6412" t="s">
        <v>2217</v>
      </c>
      <c r="G5" s="6412"/>
      <c r="H5" s="6413" t="s">
        <v>2218</v>
      </c>
      <c r="I5" s="6413"/>
      <c r="J5" s="2592"/>
      <c r="K5" s="2593"/>
      <c r="L5" s="2590"/>
      <c r="M5" s="2590"/>
      <c r="N5" s="2590"/>
      <c r="O5" s="2590"/>
      <c r="P5" s="2590"/>
      <c r="Q5" s="2590"/>
      <c r="R5" s="443"/>
      <c r="S5" s="1"/>
      <c r="T5" s="443"/>
      <c r="U5" s="443"/>
      <c r="V5" s="443"/>
      <c r="W5" s="443"/>
      <c r="X5" s="443"/>
      <c r="Y5" s="443"/>
      <c r="Z5" s="443"/>
      <c r="AA5" s="443"/>
      <c r="AB5" s="443"/>
      <c r="AC5" s="443"/>
      <c r="AD5" s="467"/>
      <c r="AE5" s="467"/>
      <c r="AF5" s="467"/>
      <c r="AG5" s="467"/>
      <c r="AH5" s="467"/>
      <c r="AI5" s="467"/>
      <c r="AJ5" s="467"/>
      <c r="AK5" s="467"/>
      <c r="AL5" s="467"/>
      <c r="AM5" s="467"/>
      <c r="AN5" s="467"/>
      <c r="AO5" s="467"/>
      <c r="AP5" s="467"/>
      <c r="AQ5" s="467"/>
      <c r="AR5" s="467"/>
      <c r="AS5" s="467"/>
      <c r="AT5" s="467"/>
      <c r="AU5" s="467"/>
      <c r="AV5" s="467"/>
      <c r="AW5" s="467"/>
      <c r="AX5" s="467"/>
      <c r="AY5" s="467"/>
      <c r="AZ5" s="467"/>
      <c r="BA5" s="467"/>
      <c r="BB5" s="467"/>
      <c r="BC5" s="467"/>
      <c r="BD5" s="467"/>
      <c r="BE5" s="467"/>
      <c r="BF5" s="467"/>
      <c r="BG5" s="467"/>
      <c r="BH5" s="467"/>
      <c r="BI5" s="467"/>
      <c r="BJ5" s="467"/>
      <c r="BK5" s="467"/>
      <c r="BL5" s="467"/>
      <c r="BM5" s="467"/>
      <c r="BN5" s="467"/>
      <c r="BO5" s="467"/>
      <c r="BP5" s="467"/>
      <c r="BQ5" s="467"/>
      <c r="BR5" s="467"/>
      <c r="BS5" s="467"/>
      <c r="BT5" s="467"/>
      <c r="BU5" s="467"/>
      <c r="BV5" s="467"/>
      <c r="BW5" s="467"/>
      <c r="BX5" s="467"/>
      <c r="BY5" s="467"/>
      <c r="BZ5" s="467"/>
      <c r="CA5" s="467"/>
      <c r="CB5" s="467"/>
      <c r="CC5" s="467"/>
      <c r="CD5" s="467"/>
      <c r="CE5" s="467"/>
      <c r="CF5" s="467"/>
      <c r="CG5" s="467"/>
      <c r="CH5" s="467"/>
      <c r="CI5" s="467"/>
      <c r="CJ5" s="467"/>
      <c r="CK5" s="467"/>
      <c r="CL5" s="467"/>
      <c r="CM5" s="467"/>
      <c r="CN5" s="467"/>
      <c r="CO5" s="467"/>
      <c r="CP5" s="467"/>
      <c r="CQ5" s="467"/>
      <c r="CR5" s="467"/>
      <c r="CS5" s="467"/>
      <c r="CT5" s="467"/>
      <c r="CU5" s="467"/>
      <c r="CV5" s="467"/>
      <c r="CW5" s="467"/>
      <c r="CX5" s="467"/>
      <c r="CY5" s="467"/>
      <c r="CZ5" s="467"/>
      <c r="DA5" s="467"/>
      <c r="DB5" s="467"/>
      <c r="DC5" s="467"/>
      <c r="DD5" s="467"/>
      <c r="DE5" s="467"/>
      <c r="DF5" s="467"/>
      <c r="DG5" s="467"/>
      <c r="DH5" s="467"/>
      <c r="DI5" s="467"/>
      <c r="DJ5" s="467"/>
      <c r="DK5" s="467"/>
      <c r="DL5" s="467"/>
      <c r="DM5" s="467"/>
      <c r="DN5" s="467"/>
      <c r="DO5" s="467"/>
      <c r="DP5" s="467"/>
      <c r="DQ5" s="467"/>
      <c r="DR5" s="467"/>
      <c r="DS5" s="467"/>
      <c r="DT5" s="467"/>
      <c r="DU5" s="467"/>
      <c r="DV5" s="467"/>
      <c r="DW5" s="467"/>
      <c r="DX5" s="467"/>
      <c r="DY5" s="467"/>
      <c r="DZ5" s="467"/>
      <c r="EA5" s="467"/>
      <c r="EB5" s="467"/>
      <c r="EC5" s="467"/>
      <c r="ED5" s="467"/>
      <c r="EE5" s="467"/>
      <c r="EF5" s="467"/>
      <c r="EG5" s="467"/>
      <c r="EH5" s="467"/>
      <c r="EI5" s="467"/>
      <c r="EJ5" s="467"/>
      <c r="EK5" s="467"/>
      <c r="EL5" s="467"/>
      <c r="EM5" s="467"/>
      <c r="EN5" s="467"/>
      <c r="EO5" s="467"/>
      <c r="EP5" s="467"/>
      <c r="EQ5" s="467"/>
      <c r="ER5" s="467"/>
      <c r="ES5" s="467"/>
      <c r="ET5" s="467"/>
      <c r="EU5" s="467"/>
      <c r="EV5" s="467"/>
      <c r="EW5" s="467"/>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7"/>
      <c r="HU5" s="467"/>
      <c r="HV5" s="467"/>
      <c r="HW5" s="467"/>
      <c r="HX5" s="467"/>
      <c r="HY5" s="467"/>
      <c r="HZ5" s="467"/>
      <c r="IA5" s="467"/>
      <c r="IB5" s="467"/>
      <c r="IC5" s="467"/>
      <c r="ID5" s="467"/>
      <c r="IE5" s="467"/>
      <c r="IF5" s="467"/>
      <c r="IG5" s="467"/>
      <c r="IH5" s="467"/>
      <c r="II5" s="467"/>
      <c r="IJ5" s="467"/>
      <c r="IK5" s="467"/>
      <c r="IL5" s="467"/>
      <c r="IM5" s="467"/>
      <c r="IN5" s="467"/>
      <c r="IO5" s="467"/>
      <c r="IP5" s="467"/>
      <c r="IQ5" s="467"/>
      <c r="IR5" s="467"/>
      <c r="IS5" s="467"/>
      <c r="IT5" s="467"/>
      <c r="IU5" s="467"/>
      <c r="IV5" s="467"/>
      <c r="IW5" s="467"/>
      <c r="IX5" s="467"/>
      <c r="IY5" s="467"/>
      <c r="IZ5" s="467"/>
      <c r="JA5" s="467"/>
      <c r="JB5" s="467"/>
      <c r="JC5" s="467"/>
      <c r="JD5" s="467"/>
      <c r="JE5" s="467"/>
      <c r="JF5" s="467"/>
      <c r="JG5" s="467"/>
      <c r="JH5" s="467"/>
      <c r="JI5" s="467"/>
      <c r="JJ5" s="467"/>
      <c r="JK5" s="467"/>
      <c r="JL5" s="467"/>
      <c r="JM5" s="467"/>
      <c r="JN5" s="467"/>
      <c r="JO5" s="467"/>
      <c r="JP5" s="467"/>
      <c r="JQ5" s="467"/>
      <c r="JR5" s="467"/>
      <c r="JS5" s="467"/>
      <c r="JT5" s="467"/>
      <c r="JU5" s="467"/>
      <c r="JV5" s="467"/>
      <c r="JW5" s="467"/>
      <c r="JX5" s="467"/>
      <c r="JY5" s="467"/>
      <c r="JZ5" s="467"/>
      <c r="KA5" s="467"/>
      <c r="KB5" s="467"/>
      <c r="KC5" s="467"/>
      <c r="KD5" s="467"/>
      <c r="KE5" s="467"/>
      <c r="KF5" s="467"/>
      <c r="KG5" s="467"/>
      <c r="KH5" s="467"/>
      <c r="KI5" s="467"/>
      <c r="KJ5" s="467"/>
      <c r="KK5" s="467"/>
      <c r="KL5" s="467"/>
      <c r="KM5" s="467"/>
      <c r="KN5" s="467"/>
      <c r="KO5" s="467"/>
      <c r="KP5" s="467"/>
      <c r="KQ5" s="467"/>
      <c r="KR5" s="467"/>
      <c r="KS5" s="467"/>
      <c r="KT5" s="467"/>
      <c r="KU5" s="467"/>
      <c r="KV5" s="467"/>
      <c r="KW5" s="467"/>
      <c r="KX5" s="467"/>
      <c r="KY5" s="467"/>
      <c r="KZ5" s="467"/>
      <c r="LA5" s="467"/>
      <c r="LB5" s="467"/>
      <c r="LC5" s="467"/>
      <c r="LD5" s="467"/>
      <c r="LE5" s="467"/>
      <c r="LF5" s="467"/>
      <c r="LG5" s="467"/>
      <c r="LH5" s="467"/>
      <c r="LI5" s="467"/>
      <c r="LJ5" s="467"/>
      <c r="LK5" s="467"/>
      <c r="LL5" s="467"/>
      <c r="LM5" s="467"/>
      <c r="LN5" s="467"/>
      <c r="LO5" s="467"/>
      <c r="LP5" s="467"/>
      <c r="LQ5" s="467"/>
      <c r="LR5" s="467"/>
      <c r="LS5" s="467"/>
      <c r="LT5" s="467"/>
      <c r="LU5" s="467"/>
      <c r="LV5" s="467"/>
      <c r="LW5" s="467"/>
      <c r="LX5" s="467"/>
      <c r="LY5" s="467"/>
      <c r="LZ5" s="467"/>
      <c r="MA5" s="467"/>
      <c r="MB5" s="467"/>
      <c r="MC5" s="467"/>
      <c r="MD5" s="467"/>
      <c r="ME5" s="467"/>
      <c r="MF5" s="467"/>
      <c r="MG5" s="467"/>
      <c r="MH5" s="467"/>
      <c r="MI5" s="467"/>
      <c r="MJ5" s="467"/>
      <c r="MK5" s="467"/>
      <c r="ML5" s="467"/>
      <c r="MM5" s="467"/>
      <c r="MN5" s="467"/>
      <c r="MO5" s="467"/>
      <c r="MP5" s="467"/>
      <c r="MQ5" s="467"/>
      <c r="MR5" s="467"/>
      <c r="MS5" s="467"/>
      <c r="MT5" s="467"/>
      <c r="MU5" s="467"/>
      <c r="MV5" s="467"/>
      <c r="MW5" s="467"/>
      <c r="MX5" s="467"/>
      <c r="MY5" s="467"/>
      <c r="MZ5" s="467"/>
      <c r="NA5" s="467"/>
      <c r="NB5" s="467"/>
      <c r="NC5" s="467"/>
      <c r="ND5" s="467"/>
      <c r="NE5" s="467"/>
      <c r="NF5" s="467"/>
      <c r="NG5" s="467"/>
      <c r="NH5" s="467"/>
      <c r="NI5" s="467"/>
      <c r="NJ5" s="467"/>
      <c r="NK5" s="467"/>
      <c r="NL5" s="467"/>
      <c r="NM5" s="467"/>
      <c r="NN5" s="467"/>
      <c r="NO5" s="467"/>
      <c r="NP5" s="467"/>
      <c r="NQ5" s="467"/>
      <c r="NR5" s="467"/>
      <c r="NS5" s="467"/>
      <c r="NT5" s="467"/>
      <c r="NU5" s="467"/>
      <c r="NV5" s="467"/>
      <c r="NW5" s="467"/>
      <c r="NX5" s="467"/>
      <c r="NY5" s="467"/>
      <c r="NZ5" s="467"/>
      <c r="OA5" s="467"/>
      <c r="OB5" s="467"/>
      <c r="OC5" s="467"/>
      <c r="OD5" s="467"/>
      <c r="OE5" s="467"/>
      <c r="OF5" s="467"/>
      <c r="OG5" s="467"/>
      <c r="OH5" s="467"/>
      <c r="OI5" s="467"/>
      <c r="OJ5" s="467"/>
      <c r="OK5" s="467"/>
      <c r="OL5" s="467"/>
      <c r="OM5" s="467"/>
      <c r="ON5" s="467"/>
      <c r="OO5" s="467"/>
      <c r="OP5" s="467"/>
      <c r="OQ5" s="467"/>
      <c r="OR5" s="467"/>
      <c r="OS5" s="467"/>
      <c r="OT5" s="467"/>
      <c r="OU5" s="467"/>
      <c r="OV5" s="467"/>
      <c r="OW5" s="467"/>
      <c r="OX5" s="467"/>
      <c r="OY5" s="467"/>
      <c r="OZ5" s="467"/>
      <c r="PA5" s="467"/>
      <c r="PB5" s="467"/>
      <c r="PC5" s="467"/>
      <c r="PD5" s="467"/>
      <c r="PE5" s="467"/>
      <c r="PF5" s="467"/>
      <c r="PG5" s="467"/>
      <c r="PH5" s="467"/>
      <c r="PI5" s="467"/>
      <c r="PJ5" s="467"/>
      <c r="PK5" s="467"/>
      <c r="PL5" s="467"/>
      <c r="PM5" s="467"/>
      <c r="PN5" s="467"/>
      <c r="PO5" s="467"/>
      <c r="PP5" s="467"/>
      <c r="PQ5" s="467"/>
      <c r="PR5" s="467"/>
      <c r="PS5" s="467"/>
      <c r="PT5" s="467"/>
      <c r="PU5" s="467"/>
      <c r="PV5" s="467"/>
      <c r="PW5" s="467"/>
      <c r="PX5" s="467"/>
      <c r="PY5" s="467"/>
      <c r="PZ5" s="467"/>
      <c r="QA5" s="467"/>
      <c r="QB5" s="467"/>
      <c r="QC5" s="467"/>
      <c r="QD5" s="467"/>
      <c r="QE5" s="467"/>
      <c r="QF5" s="467"/>
      <c r="QG5" s="467"/>
      <c r="QH5" s="467"/>
      <c r="QI5" s="467"/>
      <c r="QJ5" s="467"/>
      <c r="QK5" s="467"/>
      <c r="QL5" s="467"/>
      <c r="QM5" s="467"/>
      <c r="QN5" s="467"/>
      <c r="QO5" s="467"/>
      <c r="QP5" s="467"/>
      <c r="QQ5" s="467"/>
      <c r="QR5" s="467"/>
      <c r="QS5" s="467"/>
      <c r="QT5" s="467"/>
      <c r="QU5" s="467"/>
      <c r="QV5" s="467"/>
      <c r="QW5" s="467"/>
      <c r="QX5" s="467"/>
      <c r="QY5" s="467"/>
      <c r="QZ5" s="467"/>
      <c r="RA5" s="467"/>
      <c r="RB5" s="467"/>
      <c r="RC5" s="467"/>
      <c r="RD5" s="467"/>
      <c r="RE5" s="467"/>
      <c r="RF5" s="467"/>
      <c r="RG5" s="467"/>
      <c r="RH5" s="467"/>
      <c r="RI5" s="467"/>
      <c r="RJ5" s="467"/>
      <c r="RK5" s="467"/>
      <c r="RL5" s="467"/>
      <c r="RM5" s="467"/>
      <c r="RN5" s="467"/>
      <c r="RO5" s="467"/>
      <c r="RP5" s="467"/>
      <c r="RQ5" s="467"/>
      <c r="RR5" s="467"/>
      <c r="RS5" s="467"/>
      <c r="RT5" s="467"/>
      <c r="RU5" s="467"/>
      <c r="RV5" s="467"/>
      <c r="RW5" s="467"/>
      <c r="RX5" s="467"/>
      <c r="RY5" s="467"/>
      <c r="RZ5" s="467"/>
      <c r="SA5" s="467"/>
      <c r="SB5" s="467"/>
      <c r="SC5" s="467"/>
      <c r="SD5" s="467"/>
      <c r="SE5" s="467"/>
      <c r="SF5" s="467"/>
      <c r="SG5" s="467"/>
      <c r="SH5" s="467"/>
      <c r="SI5" s="467"/>
      <c r="SJ5" s="467"/>
      <c r="SK5" s="467"/>
      <c r="SL5" s="467"/>
      <c r="SM5" s="467"/>
      <c r="SN5" s="467"/>
      <c r="SO5" s="467"/>
      <c r="SP5" s="467"/>
      <c r="SQ5" s="467"/>
      <c r="SR5" s="467"/>
      <c r="SS5" s="467"/>
      <c r="ST5" s="467"/>
      <c r="SU5" s="467"/>
      <c r="SV5" s="467"/>
      <c r="SW5" s="467"/>
      <c r="SX5" s="467"/>
      <c r="SY5" s="467"/>
      <c r="SZ5" s="467"/>
      <c r="TA5" s="467"/>
      <c r="TB5" s="467"/>
      <c r="TC5" s="467"/>
      <c r="TD5" s="467"/>
      <c r="TE5" s="467"/>
      <c r="TF5" s="467"/>
      <c r="TG5" s="467"/>
      <c r="TH5" s="467"/>
      <c r="TI5" s="467"/>
      <c r="TJ5" s="467"/>
      <c r="TK5" s="467"/>
      <c r="TL5" s="467"/>
      <c r="TM5" s="467"/>
      <c r="TN5" s="467"/>
      <c r="TO5" s="467"/>
      <c r="TP5" s="467"/>
      <c r="TQ5" s="467"/>
      <c r="TR5" s="467"/>
      <c r="TS5" s="467"/>
      <c r="TT5" s="467"/>
      <c r="TU5" s="467"/>
      <c r="TV5" s="467"/>
      <c r="TW5" s="467"/>
      <c r="TX5" s="467"/>
      <c r="TY5" s="467"/>
      <c r="TZ5" s="467"/>
      <c r="UA5" s="467"/>
      <c r="UB5" s="467"/>
      <c r="UC5" s="467"/>
      <c r="UD5" s="467"/>
      <c r="UE5" s="467"/>
      <c r="UF5" s="467"/>
      <c r="UG5" s="467"/>
      <c r="UH5" s="467"/>
      <c r="UI5" s="467"/>
      <c r="UJ5" s="467"/>
      <c r="UK5" s="467"/>
      <c r="UL5" s="467"/>
      <c r="UM5" s="467"/>
      <c r="UN5" s="467"/>
      <c r="UO5" s="467"/>
      <c r="UP5" s="467"/>
      <c r="UQ5" s="467"/>
      <c r="UR5" s="467"/>
      <c r="US5" s="467"/>
      <c r="UT5" s="467"/>
      <c r="UU5" s="467"/>
      <c r="UV5" s="467"/>
      <c r="UW5" s="467"/>
      <c r="UX5" s="467"/>
      <c r="UY5" s="467"/>
      <c r="UZ5" s="467"/>
      <c r="VA5" s="467"/>
      <c r="VB5" s="467"/>
      <c r="VC5" s="467"/>
      <c r="VD5" s="467"/>
      <c r="VE5" s="467"/>
      <c r="VF5" s="467"/>
      <c r="VG5" s="467"/>
      <c r="VH5" s="467"/>
      <c r="VI5" s="467"/>
      <c r="VJ5" s="467"/>
      <c r="VK5" s="467"/>
      <c r="VL5" s="467"/>
      <c r="VM5" s="467"/>
      <c r="VN5" s="467"/>
      <c r="VO5" s="467"/>
      <c r="VP5" s="467"/>
      <c r="VQ5" s="467"/>
      <c r="VR5" s="467"/>
      <c r="VS5" s="467"/>
      <c r="VT5" s="467"/>
      <c r="VU5" s="467"/>
      <c r="VV5" s="467"/>
      <c r="VW5" s="467"/>
      <c r="VX5" s="467"/>
      <c r="VY5" s="467"/>
      <c r="VZ5" s="467"/>
      <c r="WA5" s="467"/>
      <c r="WB5" s="467"/>
      <c r="WC5" s="467"/>
      <c r="WD5" s="467"/>
      <c r="WE5" s="467"/>
      <c r="WF5" s="467"/>
      <c r="WG5" s="467"/>
      <c r="WH5" s="467"/>
      <c r="WI5" s="467"/>
      <c r="WJ5" s="467"/>
      <c r="WK5" s="467"/>
      <c r="WL5" s="467"/>
      <c r="WM5" s="467"/>
      <c r="WN5" s="467"/>
      <c r="WO5" s="467"/>
      <c r="WP5" s="467"/>
      <c r="WQ5" s="467"/>
      <c r="WR5" s="467"/>
      <c r="WS5" s="467"/>
      <c r="WT5" s="467"/>
      <c r="WU5" s="467"/>
      <c r="WV5" s="467"/>
      <c r="WW5" s="467"/>
      <c r="WX5" s="467"/>
      <c r="WY5" s="467"/>
      <c r="WZ5" s="467"/>
      <c r="XA5" s="467"/>
      <c r="XB5" s="467"/>
      <c r="XC5" s="467"/>
      <c r="XD5" s="467"/>
      <c r="XE5" s="467"/>
      <c r="XF5" s="467"/>
      <c r="XG5" s="467"/>
      <c r="XH5" s="467"/>
      <c r="XI5" s="467"/>
      <c r="XJ5" s="467"/>
      <c r="XK5" s="467"/>
      <c r="XL5" s="467"/>
      <c r="XM5" s="467"/>
      <c r="XN5" s="467"/>
      <c r="XO5" s="467"/>
      <c r="XP5" s="467"/>
      <c r="XQ5" s="467"/>
      <c r="XR5" s="467"/>
      <c r="XS5" s="467"/>
      <c r="XT5" s="467"/>
      <c r="XU5" s="467"/>
      <c r="XV5" s="467"/>
      <c r="XW5" s="467"/>
      <c r="XX5" s="467"/>
      <c r="XY5" s="467"/>
      <c r="XZ5" s="467"/>
      <c r="YA5" s="467"/>
      <c r="YB5" s="467"/>
      <c r="YC5" s="467"/>
      <c r="YD5" s="467"/>
      <c r="YE5" s="467"/>
      <c r="YF5" s="467"/>
      <c r="YG5" s="467"/>
      <c r="YH5" s="467"/>
      <c r="YI5" s="467"/>
      <c r="YJ5" s="467"/>
      <c r="YK5" s="467"/>
      <c r="YL5" s="467"/>
      <c r="YM5" s="467"/>
      <c r="YN5" s="467"/>
      <c r="YO5" s="467"/>
      <c r="YP5" s="467"/>
      <c r="YQ5" s="467"/>
      <c r="YR5" s="467"/>
      <c r="YS5" s="467"/>
      <c r="YT5" s="467"/>
      <c r="YU5" s="467"/>
      <c r="YV5" s="467"/>
      <c r="YW5" s="467"/>
      <c r="YX5" s="467"/>
      <c r="YY5" s="467"/>
      <c r="YZ5" s="467"/>
      <c r="ZA5" s="467"/>
      <c r="ZB5" s="467"/>
      <c r="ZC5" s="467"/>
      <c r="ZD5" s="467"/>
      <c r="ZE5" s="467"/>
      <c r="ZF5" s="467"/>
      <c r="ZG5" s="467"/>
      <c r="ZH5" s="467"/>
      <c r="ZI5" s="467"/>
      <c r="ZJ5" s="467"/>
      <c r="ZK5" s="467"/>
      <c r="ZL5" s="467"/>
      <c r="ZM5" s="467"/>
      <c r="ZN5" s="467"/>
      <c r="ZO5" s="467"/>
      <c r="ZP5" s="467"/>
      <c r="ZQ5" s="467"/>
      <c r="ZR5" s="467"/>
      <c r="ZS5" s="467"/>
      <c r="ZT5" s="467"/>
      <c r="ZU5" s="467"/>
      <c r="ZV5" s="467"/>
      <c r="ZW5" s="467"/>
      <c r="ZX5" s="467"/>
      <c r="ZY5" s="467"/>
      <c r="ZZ5" s="467"/>
      <c r="AAA5" s="467"/>
      <c r="AAB5" s="467"/>
      <c r="AAC5" s="467"/>
      <c r="AAD5" s="467"/>
      <c r="AAE5" s="467"/>
      <c r="AAF5" s="467"/>
      <c r="AAG5" s="467"/>
      <c r="AAH5" s="467"/>
      <c r="AAI5" s="467"/>
      <c r="AAJ5" s="467"/>
      <c r="AAK5" s="467"/>
      <c r="AAL5" s="467"/>
      <c r="AAM5" s="467"/>
      <c r="AAN5" s="467"/>
      <c r="AAO5" s="467"/>
      <c r="AAP5" s="467"/>
      <c r="AAQ5" s="467"/>
      <c r="AAR5" s="467"/>
      <c r="AAS5" s="467"/>
      <c r="AAT5" s="467"/>
      <c r="AAU5" s="467"/>
      <c r="AAV5" s="467"/>
      <c r="AAW5" s="467"/>
      <c r="AAX5" s="467"/>
      <c r="AAY5" s="467"/>
      <c r="AAZ5" s="467"/>
      <c r="ABA5" s="467"/>
      <c r="ABB5" s="467"/>
      <c r="ABC5" s="467"/>
      <c r="ABD5" s="467"/>
      <c r="ABE5" s="467"/>
      <c r="ABF5" s="467"/>
      <c r="ABG5" s="467"/>
      <c r="ABH5" s="467"/>
      <c r="ABI5" s="467"/>
      <c r="ABJ5" s="467"/>
      <c r="ABK5" s="467"/>
      <c r="ABL5" s="467"/>
      <c r="ABM5" s="467"/>
      <c r="ABN5" s="467"/>
      <c r="ABO5" s="467"/>
      <c r="ABP5" s="467"/>
      <c r="ABQ5" s="467"/>
      <c r="ABR5" s="467"/>
      <c r="ABS5" s="467"/>
      <c r="ABT5" s="467"/>
      <c r="ABU5" s="467"/>
      <c r="ABV5" s="467"/>
      <c r="ABW5" s="467"/>
      <c r="ABX5" s="467"/>
      <c r="ABY5" s="467"/>
      <c r="ABZ5" s="467"/>
      <c r="ACA5" s="467"/>
      <c r="ACB5" s="467"/>
      <c r="ACC5" s="467"/>
      <c r="ACD5" s="467"/>
      <c r="ACE5" s="467"/>
      <c r="ACF5" s="467"/>
      <c r="ACG5" s="467"/>
      <c r="ACH5" s="467"/>
      <c r="ACI5" s="467"/>
      <c r="ACJ5" s="467"/>
      <c r="ACK5" s="467"/>
      <c r="ACL5" s="467"/>
      <c r="ACM5" s="467"/>
      <c r="ACN5" s="467"/>
      <c r="ACO5" s="467"/>
      <c r="ACP5" s="467"/>
      <c r="ACQ5" s="467"/>
      <c r="ACR5" s="467"/>
      <c r="ACS5" s="467"/>
      <c r="ACT5" s="467"/>
      <c r="ACU5" s="467"/>
      <c r="ACV5" s="467"/>
      <c r="ACW5" s="467"/>
      <c r="ACX5" s="467"/>
      <c r="ACY5" s="467"/>
      <c r="ACZ5" s="467"/>
      <c r="ADA5" s="467"/>
      <c r="ADB5" s="467"/>
      <c r="ADC5" s="467"/>
      <c r="ADD5" s="467"/>
      <c r="ADE5" s="467"/>
      <c r="ADF5" s="467"/>
      <c r="ADG5" s="467"/>
      <c r="ADH5" s="467"/>
      <c r="ADI5" s="467"/>
      <c r="ADJ5" s="467"/>
      <c r="ADK5" s="467"/>
      <c r="ADL5" s="467"/>
      <c r="ADM5" s="467"/>
      <c r="ADN5" s="467"/>
      <c r="ADO5" s="467"/>
      <c r="ADP5" s="467"/>
      <c r="ADQ5" s="467"/>
      <c r="ADR5" s="467"/>
      <c r="ADS5" s="467"/>
      <c r="ADT5" s="467"/>
      <c r="ADU5" s="467"/>
      <c r="ADV5" s="467"/>
      <c r="ADW5" s="467"/>
      <c r="ADX5" s="467"/>
      <c r="ADY5" s="467"/>
      <c r="ADZ5" s="467"/>
      <c r="AEA5" s="467"/>
      <c r="AEB5" s="467"/>
      <c r="AEC5" s="467"/>
      <c r="AED5" s="467"/>
      <c r="AEE5" s="467"/>
      <c r="AEF5" s="467"/>
      <c r="AEG5" s="467"/>
      <c r="AEH5" s="467"/>
      <c r="AEI5" s="467"/>
      <c r="AEJ5" s="467"/>
      <c r="AEK5" s="467"/>
      <c r="AEL5" s="467"/>
      <c r="AEM5" s="467"/>
      <c r="AEN5" s="467"/>
      <c r="AEO5" s="467"/>
      <c r="AEP5" s="467"/>
      <c r="AEQ5" s="467"/>
      <c r="AER5" s="467"/>
      <c r="AES5" s="467"/>
      <c r="AET5" s="467"/>
      <c r="AEU5" s="467"/>
      <c r="AEV5" s="467"/>
      <c r="AEW5" s="467"/>
      <c r="AEX5" s="467"/>
      <c r="AEY5" s="467"/>
      <c r="AEZ5" s="467"/>
      <c r="AFA5" s="467"/>
      <c r="AFB5" s="467"/>
      <c r="AFC5" s="467"/>
      <c r="AFD5" s="467"/>
      <c r="AFE5" s="467"/>
      <c r="AFF5" s="467"/>
      <c r="AFG5" s="467"/>
      <c r="AFH5" s="467"/>
      <c r="AFI5" s="467"/>
      <c r="AFJ5" s="467"/>
      <c r="AFK5" s="467"/>
      <c r="AFL5" s="467"/>
      <c r="AFM5" s="467"/>
      <c r="AFN5" s="467"/>
      <c r="AFO5" s="467"/>
      <c r="AFP5" s="467"/>
      <c r="AFQ5" s="467"/>
      <c r="AFR5" s="467"/>
      <c r="AFS5" s="467"/>
      <c r="AFT5" s="467"/>
      <c r="AFU5" s="467"/>
      <c r="AFV5" s="467"/>
      <c r="AFW5" s="467"/>
      <c r="AFX5" s="467"/>
      <c r="AFY5" s="467"/>
      <c r="AFZ5" s="467"/>
      <c r="AGA5" s="467"/>
      <c r="AGB5" s="467"/>
      <c r="AGC5" s="467"/>
      <c r="AGD5" s="467"/>
      <c r="AGE5" s="467"/>
      <c r="AGF5" s="467"/>
      <c r="AGG5" s="467"/>
      <c r="AGH5" s="467"/>
      <c r="AGI5" s="467"/>
      <c r="AGJ5" s="467"/>
      <c r="AGK5" s="467"/>
      <c r="AGL5" s="467"/>
      <c r="AGM5" s="467"/>
      <c r="AGN5" s="467"/>
      <c r="AGO5" s="467"/>
      <c r="AGP5" s="467"/>
      <c r="AGQ5" s="467"/>
      <c r="AGR5" s="467"/>
      <c r="AGS5" s="467"/>
      <c r="AGT5" s="467"/>
      <c r="AGU5" s="467"/>
      <c r="AGV5" s="467"/>
      <c r="AGW5" s="467"/>
      <c r="AGX5" s="467"/>
      <c r="AGY5" s="467"/>
      <c r="AGZ5" s="467"/>
      <c r="AHA5" s="467"/>
      <c r="AHB5" s="467"/>
      <c r="AHC5" s="467"/>
      <c r="AHD5" s="467"/>
      <c r="AHE5" s="467"/>
      <c r="AHF5" s="467"/>
      <c r="AHG5" s="467"/>
      <c r="AHH5" s="467"/>
      <c r="AHI5" s="467"/>
      <c r="AHJ5" s="467"/>
      <c r="AHK5" s="467"/>
      <c r="AHL5" s="467"/>
      <c r="AHM5" s="467"/>
      <c r="AHN5" s="467"/>
      <c r="AHO5" s="467"/>
      <c r="AHP5" s="467"/>
      <c r="AHQ5" s="467"/>
      <c r="AHR5" s="467"/>
      <c r="AHS5" s="467"/>
      <c r="AHT5" s="467"/>
      <c r="AHU5" s="467"/>
      <c r="AHV5" s="467"/>
      <c r="AHW5" s="467"/>
      <c r="AHX5" s="467"/>
      <c r="AHY5" s="467"/>
      <c r="AHZ5" s="467"/>
      <c r="AIA5" s="467"/>
      <c r="AIB5" s="467"/>
      <c r="AIC5" s="467"/>
      <c r="AID5" s="467"/>
      <c r="AIE5" s="467"/>
      <c r="AIF5" s="467"/>
      <c r="AIG5" s="467"/>
      <c r="AIH5" s="467"/>
      <c r="AII5" s="467"/>
      <c r="AIJ5" s="467"/>
      <c r="AIK5" s="467"/>
      <c r="AIL5" s="467"/>
      <c r="AIM5" s="467"/>
      <c r="AIN5" s="467"/>
      <c r="AIO5" s="467"/>
      <c r="AIP5" s="467"/>
      <c r="AIQ5" s="467"/>
      <c r="AIR5" s="467"/>
      <c r="AIS5" s="467"/>
      <c r="AIT5" s="467"/>
      <c r="AIU5" s="467"/>
      <c r="AIV5" s="467"/>
      <c r="AIW5" s="467"/>
      <c r="AIX5" s="467"/>
      <c r="AIY5" s="467"/>
      <c r="AIZ5" s="467"/>
      <c r="AJA5" s="467"/>
      <c r="AJB5" s="467"/>
      <c r="AJC5" s="467"/>
      <c r="AJD5" s="467"/>
      <c r="AJE5" s="467"/>
      <c r="AJF5" s="467"/>
      <c r="AJG5" s="467"/>
      <c r="AJH5" s="467"/>
      <c r="AJI5" s="467"/>
      <c r="AJJ5" s="467"/>
      <c r="AJK5" s="467"/>
      <c r="AJL5" s="467"/>
      <c r="AJM5" s="467"/>
      <c r="AJN5" s="467"/>
      <c r="AJO5" s="467"/>
      <c r="AJP5" s="467"/>
      <c r="AJQ5" s="467"/>
      <c r="AJR5" s="467"/>
      <c r="AJS5" s="467"/>
      <c r="AJT5" s="467"/>
      <c r="AJU5" s="467"/>
      <c r="AJV5" s="467"/>
      <c r="AJW5" s="467"/>
      <c r="AJX5" s="467"/>
      <c r="AJY5" s="467"/>
      <c r="AJZ5" s="467"/>
      <c r="AKA5" s="467"/>
      <c r="AKB5" s="467"/>
      <c r="AKC5" s="467"/>
      <c r="AKD5" s="467"/>
      <c r="AKE5" s="467"/>
      <c r="AKF5" s="467"/>
      <c r="AKG5" s="467"/>
      <c r="AKH5" s="467"/>
      <c r="AKI5" s="467"/>
      <c r="AKJ5" s="467"/>
      <c r="AKK5" s="467"/>
      <c r="AKL5" s="467"/>
      <c r="AKM5" s="467"/>
      <c r="AKN5" s="467"/>
      <c r="AKO5" s="467"/>
      <c r="AKP5" s="467"/>
      <c r="AKQ5" s="467"/>
      <c r="AKR5" s="467"/>
      <c r="AKS5" s="467"/>
      <c r="AKT5" s="467"/>
      <c r="AKU5" s="467"/>
      <c r="AKV5" s="467"/>
      <c r="AKW5" s="467"/>
      <c r="AKX5" s="467"/>
      <c r="AKY5" s="467"/>
      <c r="AKZ5" s="467"/>
      <c r="ALA5" s="467"/>
      <c r="ALB5" s="467"/>
      <c r="ALC5" s="467"/>
      <c r="ALD5" s="467"/>
      <c r="ALE5" s="467"/>
      <c r="ALF5" s="467"/>
      <c r="ALG5" s="467"/>
      <c r="ALH5" s="467"/>
      <c r="ALI5" s="467"/>
      <c r="ALJ5" s="467"/>
      <c r="ALK5" s="467"/>
      <c r="ALL5" s="467"/>
      <c r="ALM5" s="467"/>
      <c r="ALN5" s="467"/>
      <c r="ALO5" s="467"/>
      <c r="ALP5" s="467"/>
      <c r="ALQ5" s="467"/>
      <c r="ALR5" s="467"/>
      <c r="ALS5" s="467"/>
      <c r="ALT5" s="467"/>
      <c r="ALU5" s="467"/>
      <c r="ALV5" s="467"/>
      <c r="ALW5" s="467"/>
      <c r="ALX5" s="467"/>
      <c r="ALY5" s="467"/>
      <c r="ALZ5" s="467"/>
      <c r="AMA5" s="467"/>
      <c r="AMB5" s="467"/>
      <c r="AMC5" s="467"/>
      <c r="AMD5" s="467"/>
      <c r="AME5" s="467"/>
      <c r="AMF5" s="467"/>
      <c r="AMG5" s="467"/>
      <c r="AMH5" s="467"/>
      <c r="AMI5" s="467"/>
      <c r="AMJ5" s="467"/>
      <c r="AMK5" s="467"/>
      <c r="AML5" s="467"/>
      <c r="AMM5" s="467"/>
      <c r="AMN5" s="467"/>
      <c r="AMO5" s="467"/>
      <c r="AMP5" s="467"/>
      <c r="AMQ5" s="467"/>
      <c r="AMR5" s="467"/>
      <c r="AMS5" s="467"/>
      <c r="AMT5" s="467"/>
      <c r="AMU5" s="467"/>
      <c r="AMV5" s="467"/>
      <c r="AMW5" s="467"/>
      <c r="AMX5" s="467"/>
      <c r="AMY5" s="467"/>
      <c r="AMZ5" s="467"/>
      <c r="ANA5" s="467"/>
      <c r="ANB5" s="467"/>
      <c r="ANC5" s="467"/>
      <c r="AND5" s="467"/>
      <c r="ANE5" s="467"/>
      <c r="ANF5" s="467"/>
      <c r="ANG5" s="467"/>
      <c r="ANH5" s="467"/>
      <c r="ANI5" s="467"/>
      <c r="ANJ5" s="467"/>
      <c r="ANK5" s="467"/>
      <c r="ANL5" s="467"/>
      <c r="ANM5" s="467"/>
      <c r="ANN5" s="467"/>
      <c r="ANO5" s="467"/>
      <c r="ANP5" s="467"/>
      <c r="ANQ5" s="467"/>
      <c r="ANR5" s="467"/>
      <c r="ANS5" s="467"/>
      <c r="ANT5" s="467"/>
      <c r="ANU5" s="467"/>
      <c r="ANV5" s="467"/>
      <c r="ANW5" s="467"/>
      <c r="ANX5" s="467"/>
      <c r="ANY5" s="467"/>
      <c r="ANZ5" s="467"/>
      <c r="AOA5" s="467"/>
      <c r="AOB5" s="467"/>
      <c r="AOC5" s="467"/>
      <c r="AOD5" s="467"/>
      <c r="AOE5" s="467"/>
      <c r="AOF5" s="467"/>
      <c r="AOG5" s="467"/>
      <c r="AOH5" s="467"/>
      <c r="AOI5" s="467"/>
      <c r="AOJ5" s="467"/>
      <c r="AOK5" s="467"/>
      <c r="AOL5" s="467"/>
      <c r="AOM5" s="467"/>
      <c r="AON5" s="467"/>
      <c r="AOO5" s="467"/>
      <c r="AOP5" s="467"/>
      <c r="AOQ5" s="467"/>
      <c r="AOR5" s="467"/>
      <c r="AOS5" s="467"/>
      <c r="AOT5" s="467"/>
      <c r="AOU5" s="467"/>
      <c r="AOV5" s="467"/>
      <c r="AOW5" s="467"/>
      <c r="AOX5" s="467"/>
      <c r="AOY5" s="467"/>
      <c r="AOZ5" s="467"/>
      <c r="APA5" s="467"/>
      <c r="APB5" s="467"/>
      <c r="APC5" s="467"/>
      <c r="APD5" s="467"/>
      <c r="APE5" s="467"/>
      <c r="APF5" s="467"/>
      <c r="APG5" s="467"/>
      <c r="APH5" s="467"/>
      <c r="API5" s="467"/>
      <c r="APJ5" s="467"/>
      <c r="APK5" s="467"/>
      <c r="APL5" s="467"/>
      <c r="APM5" s="467"/>
      <c r="APN5" s="467"/>
      <c r="APO5" s="467"/>
      <c r="APP5" s="467"/>
      <c r="APQ5" s="467"/>
      <c r="APR5" s="467"/>
      <c r="APS5" s="467"/>
      <c r="APT5" s="467"/>
      <c r="APU5" s="467"/>
      <c r="APV5" s="467"/>
      <c r="APW5" s="467"/>
      <c r="APX5" s="467"/>
      <c r="APY5" s="467"/>
      <c r="APZ5" s="467"/>
      <c r="AQA5" s="467"/>
      <c r="AQB5" s="467"/>
      <c r="AQC5" s="467"/>
      <c r="AQD5" s="467"/>
      <c r="AQE5" s="467"/>
      <c r="AQF5" s="467"/>
      <c r="AQG5" s="467"/>
      <c r="AQH5" s="467"/>
      <c r="AQI5" s="467"/>
      <c r="AQJ5" s="467"/>
      <c r="AQK5" s="467"/>
      <c r="AQL5" s="467"/>
      <c r="AQM5" s="467"/>
      <c r="AQN5" s="467"/>
      <c r="AQO5" s="467"/>
      <c r="AQP5" s="467"/>
      <c r="AQQ5" s="467"/>
      <c r="AQR5" s="467"/>
      <c r="AQS5" s="467"/>
      <c r="AQT5" s="467"/>
      <c r="AQU5" s="467"/>
      <c r="AQV5" s="467"/>
      <c r="AQW5" s="467"/>
      <c r="AQX5" s="467"/>
      <c r="AQY5" s="467"/>
      <c r="AQZ5" s="467"/>
      <c r="ARA5" s="467"/>
      <c r="ARB5" s="467"/>
      <c r="ARC5" s="467"/>
      <c r="ARD5" s="467"/>
      <c r="ARE5" s="467"/>
      <c r="ARF5" s="467"/>
      <c r="ARG5" s="467"/>
      <c r="ARH5" s="467"/>
      <c r="ARI5" s="467"/>
      <c r="ARJ5" s="467"/>
      <c r="ARK5" s="467"/>
      <c r="ARL5" s="467"/>
      <c r="ARM5" s="467"/>
      <c r="ARN5" s="467"/>
      <c r="ARO5" s="467"/>
      <c r="ARP5" s="467"/>
      <c r="ARQ5" s="467"/>
      <c r="ARR5" s="467"/>
      <c r="ARS5" s="467"/>
      <c r="ART5" s="467"/>
      <c r="ARU5" s="467"/>
      <c r="ARV5" s="467"/>
      <c r="ARW5" s="467"/>
      <c r="ARX5" s="467"/>
      <c r="ARY5" s="467"/>
      <c r="ARZ5" s="467"/>
      <c r="ASA5" s="467"/>
      <c r="ASB5" s="467"/>
      <c r="ASC5" s="467"/>
      <c r="ASD5" s="467"/>
      <c r="ASE5" s="467"/>
      <c r="ASF5" s="467"/>
      <c r="ASG5" s="467"/>
      <c r="ASH5" s="467"/>
      <c r="ASI5" s="467"/>
      <c r="ASJ5" s="467"/>
      <c r="ASK5" s="467"/>
      <c r="ASL5" s="467"/>
      <c r="ASM5" s="467"/>
      <c r="ASN5" s="467"/>
      <c r="ASO5" s="467"/>
      <c r="ASP5" s="467"/>
      <c r="ASQ5" s="467"/>
      <c r="ASR5" s="467"/>
      <c r="ASS5" s="467"/>
      <c r="AST5" s="467"/>
      <c r="ASU5" s="467"/>
      <c r="ASV5" s="467"/>
      <c r="ASW5" s="467"/>
      <c r="ASX5" s="467"/>
      <c r="ASY5" s="467"/>
      <c r="ASZ5" s="467"/>
      <c r="ATA5" s="467"/>
      <c r="ATB5" s="467"/>
      <c r="ATC5" s="467"/>
      <c r="ATD5" s="467"/>
      <c r="ATE5" s="467"/>
      <c r="ATF5" s="467"/>
      <c r="ATG5" s="467"/>
      <c r="ATH5" s="467"/>
      <c r="ATI5" s="467"/>
      <c r="ATJ5" s="467"/>
      <c r="ATK5" s="467"/>
      <c r="ATL5" s="467"/>
      <c r="ATM5" s="467"/>
      <c r="ATN5" s="467"/>
      <c r="ATO5" s="467"/>
      <c r="ATP5" s="467"/>
      <c r="ATQ5" s="467"/>
      <c r="ATR5" s="467"/>
      <c r="ATS5" s="467"/>
      <c r="ATT5" s="467"/>
      <c r="ATU5" s="467"/>
      <c r="ATV5" s="467"/>
      <c r="ATW5" s="467"/>
      <c r="ATX5" s="467"/>
      <c r="ATY5" s="467"/>
      <c r="ATZ5" s="467"/>
      <c r="AUA5" s="467"/>
      <c r="AUB5" s="467"/>
      <c r="AUC5" s="467"/>
      <c r="AUD5" s="467"/>
      <c r="AUE5" s="467"/>
      <c r="AUF5" s="467"/>
      <c r="AUG5" s="467"/>
      <c r="AUH5" s="467"/>
      <c r="AUI5" s="467"/>
      <c r="AUJ5" s="467"/>
      <c r="AUK5" s="467"/>
      <c r="AUL5" s="467"/>
      <c r="AUM5" s="467"/>
      <c r="AUN5" s="467"/>
      <c r="AUO5" s="467"/>
      <c r="AUP5" s="467"/>
      <c r="AUQ5" s="467"/>
      <c r="AUR5" s="467"/>
      <c r="AUS5" s="467"/>
      <c r="AUT5" s="467"/>
      <c r="AUU5" s="467"/>
      <c r="AUV5" s="467"/>
      <c r="AUW5" s="467"/>
      <c r="AUX5" s="467"/>
      <c r="AUY5" s="467"/>
      <c r="AUZ5" s="467"/>
      <c r="AVA5" s="467"/>
      <c r="AVB5" s="467"/>
      <c r="AVC5" s="467"/>
      <c r="AVD5" s="467"/>
      <c r="AVE5" s="467"/>
      <c r="AVF5" s="467"/>
      <c r="AVG5" s="467"/>
      <c r="AVH5" s="467"/>
      <c r="AVI5" s="467"/>
      <c r="AVJ5" s="467"/>
      <c r="AVK5" s="467"/>
      <c r="AVL5" s="467"/>
      <c r="AVM5" s="467"/>
      <c r="AVN5" s="467"/>
      <c r="AVO5" s="467"/>
      <c r="AVP5" s="467"/>
      <c r="AVQ5" s="467"/>
      <c r="AVR5" s="467"/>
      <c r="AVS5" s="467"/>
      <c r="AVT5" s="467"/>
      <c r="AVU5" s="467"/>
      <c r="AVV5" s="467"/>
      <c r="AVW5" s="467"/>
      <c r="AVX5" s="467"/>
      <c r="AVY5" s="467"/>
      <c r="AVZ5" s="467"/>
      <c r="AWA5" s="467"/>
      <c r="AWB5" s="467"/>
      <c r="AWC5" s="467"/>
      <c r="AWD5" s="467"/>
      <c r="AWE5" s="467"/>
      <c r="AWF5" s="467"/>
      <c r="AWG5" s="467"/>
      <c r="AWH5" s="467"/>
      <c r="AWI5" s="467"/>
      <c r="AWJ5" s="467"/>
      <c r="AWK5" s="467"/>
      <c r="AWL5" s="467"/>
      <c r="AWM5" s="467"/>
      <c r="AWN5" s="467"/>
      <c r="AWO5" s="467"/>
      <c r="AWP5" s="467"/>
      <c r="AWQ5" s="467"/>
      <c r="AWR5" s="467"/>
      <c r="AWS5" s="467"/>
      <c r="AWT5" s="467"/>
      <c r="AWU5" s="467"/>
      <c r="AWV5" s="467"/>
      <c r="AWW5" s="467"/>
      <c r="AWX5" s="467"/>
      <c r="AWY5" s="467"/>
      <c r="AWZ5" s="467"/>
      <c r="AXA5" s="467"/>
      <c r="AXB5" s="467"/>
      <c r="AXC5" s="467"/>
      <c r="AXD5" s="467"/>
      <c r="AXE5" s="467"/>
      <c r="AXF5" s="467"/>
      <c r="AXG5" s="467"/>
      <c r="AXH5" s="467"/>
      <c r="AXI5" s="467"/>
      <c r="AXJ5" s="467"/>
    </row>
    <row r="6" spans="1:1310" s="466" customFormat="1" ht="87" customHeight="1">
      <c r="A6" s="468"/>
      <c r="B6" s="6414" t="s">
        <v>2213</v>
      </c>
      <c r="C6" s="6414"/>
      <c r="D6" s="6414"/>
      <c r="E6" s="6414"/>
      <c r="F6" s="2594"/>
      <c r="G6" s="6411" t="s">
        <v>2214</v>
      </c>
      <c r="H6" s="6411"/>
      <c r="I6" s="6411"/>
      <c r="J6" s="2592"/>
      <c r="K6" s="6411" t="s">
        <v>2215</v>
      </c>
      <c r="L6" s="6411"/>
      <c r="M6" s="6411"/>
      <c r="N6" s="2590"/>
      <c r="O6" s="6415" t="s">
        <v>552</v>
      </c>
      <c r="P6" s="6415"/>
      <c r="Q6" s="6415"/>
      <c r="R6" s="443"/>
      <c r="S6" s="1"/>
      <c r="T6" s="443"/>
      <c r="U6" s="443"/>
      <c r="V6" s="443"/>
      <c r="W6" s="443"/>
      <c r="X6" s="443"/>
      <c r="Y6" s="443"/>
      <c r="Z6" s="443"/>
      <c r="AA6" s="443"/>
      <c r="AB6" s="443"/>
      <c r="AC6" s="443"/>
      <c r="AD6" s="467"/>
      <c r="AE6" s="467"/>
      <c r="AF6" s="467"/>
      <c r="AG6" s="467"/>
      <c r="AH6" s="467"/>
      <c r="AI6" s="467"/>
      <c r="AJ6" s="467"/>
      <c r="AK6" s="467"/>
      <c r="AL6" s="467"/>
      <c r="AM6" s="467"/>
      <c r="AN6" s="467"/>
      <c r="AO6" s="467"/>
      <c r="AP6" s="467"/>
      <c r="AQ6" s="467"/>
      <c r="AR6" s="467"/>
      <c r="AS6" s="467"/>
      <c r="AT6" s="467"/>
      <c r="AU6" s="467"/>
      <c r="AV6" s="467"/>
      <c r="AW6" s="467"/>
      <c r="AX6" s="467"/>
      <c r="AY6" s="467"/>
      <c r="AZ6" s="467"/>
      <c r="BA6" s="467"/>
      <c r="BB6" s="467"/>
      <c r="BC6" s="467"/>
      <c r="BD6" s="467"/>
      <c r="BE6" s="467"/>
      <c r="BF6" s="467"/>
      <c r="BG6" s="467"/>
      <c r="BH6" s="467"/>
      <c r="BI6" s="467"/>
      <c r="BJ6" s="467"/>
      <c r="BK6" s="467"/>
      <c r="BL6" s="467"/>
      <c r="BM6" s="467"/>
      <c r="BN6" s="467"/>
      <c r="BO6" s="467"/>
      <c r="BP6" s="467"/>
      <c r="BQ6" s="467"/>
      <c r="BR6" s="467"/>
      <c r="BS6" s="467"/>
      <c r="BT6" s="467"/>
      <c r="BU6" s="467"/>
      <c r="BV6" s="467"/>
      <c r="BW6" s="467"/>
      <c r="BX6" s="467"/>
      <c r="BY6" s="467"/>
      <c r="BZ6" s="467"/>
      <c r="CA6" s="467"/>
      <c r="CB6" s="467"/>
      <c r="CC6" s="467"/>
      <c r="CD6" s="467"/>
      <c r="CE6" s="467"/>
      <c r="CF6" s="467"/>
      <c r="CG6" s="467"/>
      <c r="CH6" s="467"/>
      <c r="CI6" s="467"/>
      <c r="CJ6" s="467"/>
      <c r="CK6" s="467"/>
      <c r="CL6" s="467"/>
      <c r="CM6" s="467"/>
      <c r="CN6" s="467"/>
      <c r="CO6" s="467"/>
      <c r="CP6" s="467"/>
      <c r="CQ6" s="467"/>
      <c r="CR6" s="467"/>
      <c r="CS6" s="467"/>
      <c r="CT6" s="467"/>
      <c r="CU6" s="467"/>
      <c r="CV6" s="467"/>
      <c r="CW6" s="467"/>
      <c r="CX6" s="467"/>
      <c r="CY6" s="467"/>
      <c r="CZ6" s="467"/>
      <c r="DA6" s="467"/>
      <c r="DB6" s="467"/>
      <c r="DC6" s="467"/>
      <c r="DD6" s="467"/>
      <c r="DE6" s="467"/>
      <c r="DF6" s="467"/>
      <c r="DG6" s="467"/>
      <c r="DH6" s="467"/>
      <c r="DI6" s="467"/>
      <c r="DJ6" s="467"/>
      <c r="DK6" s="467"/>
      <c r="DL6" s="467"/>
      <c r="DM6" s="467"/>
      <c r="DN6" s="467"/>
      <c r="DO6" s="467"/>
      <c r="DP6" s="467"/>
      <c r="DQ6" s="467"/>
      <c r="DR6" s="467"/>
      <c r="DS6" s="467"/>
      <c r="DT6" s="467"/>
      <c r="DU6" s="467"/>
      <c r="DV6" s="467"/>
      <c r="DW6" s="467"/>
      <c r="DX6" s="467"/>
      <c r="DY6" s="467"/>
      <c r="DZ6" s="467"/>
      <c r="EA6" s="467"/>
      <c r="EB6" s="467"/>
      <c r="EC6" s="467"/>
      <c r="ED6" s="467"/>
      <c r="EE6" s="467"/>
      <c r="EF6" s="467"/>
      <c r="EG6" s="467"/>
      <c r="EH6" s="467"/>
      <c r="EI6" s="467"/>
      <c r="EJ6" s="467"/>
      <c r="EK6" s="467"/>
      <c r="EL6" s="467"/>
      <c r="EM6" s="467"/>
      <c r="EN6" s="467"/>
      <c r="EO6" s="467"/>
      <c r="EP6" s="467"/>
      <c r="EQ6" s="467"/>
      <c r="ER6" s="467"/>
      <c r="ES6" s="467"/>
      <c r="ET6" s="467"/>
      <c r="EU6" s="467"/>
      <c r="EV6" s="467"/>
      <c r="EW6" s="467"/>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7"/>
      <c r="HU6" s="467"/>
      <c r="HV6" s="467"/>
      <c r="HW6" s="467"/>
      <c r="HX6" s="467"/>
      <c r="HY6" s="467"/>
      <c r="HZ6" s="467"/>
      <c r="IA6" s="467"/>
      <c r="IB6" s="467"/>
      <c r="IC6" s="467"/>
      <c r="ID6" s="467"/>
      <c r="IE6" s="467"/>
      <c r="IF6" s="467"/>
      <c r="IG6" s="467"/>
      <c r="IH6" s="467"/>
      <c r="II6" s="467"/>
      <c r="IJ6" s="467"/>
      <c r="IK6" s="467"/>
      <c r="IL6" s="467"/>
      <c r="IM6" s="467"/>
      <c r="IN6" s="467"/>
      <c r="IO6" s="467"/>
      <c r="IP6" s="467"/>
      <c r="IQ6" s="467"/>
      <c r="IR6" s="467"/>
      <c r="IS6" s="467"/>
      <c r="IT6" s="467"/>
      <c r="IU6" s="467"/>
      <c r="IV6" s="467"/>
      <c r="IW6" s="467"/>
      <c r="IX6" s="467"/>
      <c r="IY6" s="467"/>
      <c r="IZ6" s="467"/>
      <c r="JA6" s="467"/>
      <c r="JB6" s="467"/>
      <c r="JC6" s="467"/>
      <c r="JD6" s="467"/>
      <c r="JE6" s="467"/>
      <c r="JF6" s="467"/>
      <c r="JG6" s="467"/>
      <c r="JH6" s="467"/>
      <c r="JI6" s="467"/>
      <c r="JJ6" s="467"/>
      <c r="JK6" s="467"/>
      <c r="JL6" s="467"/>
      <c r="JM6" s="467"/>
      <c r="JN6" s="467"/>
      <c r="JO6" s="467"/>
      <c r="JP6" s="467"/>
      <c r="JQ6" s="467"/>
      <c r="JR6" s="467"/>
      <c r="JS6" s="467"/>
      <c r="JT6" s="467"/>
      <c r="JU6" s="467"/>
      <c r="JV6" s="467"/>
      <c r="JW6" s="467"/>
      <c r="JX6" s="467"/>
      <c r="JY6" s="467"/>
      <c r="JZ6" s="467"/>
      <c r="KA6" s="467"/>
      <c r="KB6" s="467"/>
      <c r="KC6" s="467"/>
      <c r="KD6" s="467"/>
      <c r="KE6" s="467"/>
      <c r="KF6" s="467"/>
      <c r="KG6" s="467"/>
      <c r="KH6" s="467"/>
      <c r="KI6" s="467"/>
      <c r="KJ6" s="467"/>
      <c r="KK6" s="467"/>
      <c r="KL6" s="467"/>
      <c r="KM6" s="467"/>
      <c r="KN6" s="467"/>
      <c r="KO6" s="467"/>
      <c r="KP6" s="467"/>
      <c r="KQ6" s="467"/>
      <c r="KR6" s="467"/>
      <c r="KS6" s="467"/>
      <c r="KT6" s="467"/>
      <c r="KU6" s="467"/>
      <c r="KV6" s="467"/>
      <c r="KW6" s="467"/>
      <c r="KX6" s="467"/>
      <c r="KY6" s="467"/>
      <c r="KZ6" s="467"/>
      <c r="LA6" s="467"/>
      <c r="LB6" s="467"/>
      <c r="LC6" s="467"/>
      <c r="LD6" s="467"/>
      <c r="LE6" s="467"/>
      <c r="LF6" s="467"/>
      <c r="LG6" s="467"/>
      <c r="LH6" s="467"/>
      <c r="LI6" s="467"/>
      <c r="LJ6" s="467"/>
      <c r="LK6" s="467"/>
      <c r="LL6" s="467"/>
      <c r="LM6" s="467"/>
      <c r="LN6" s="467"/>
      <c r="LO6" s="467"/>
      <c r="LP6" s="467"/>
      <c r="LQ6" s="467"/>
      <c r="LR6" s="467"/>
      <c r="LS6" s="467"/>
      <c r="LT6" s="467"/>
      <c r="LU6" s="467"/>
      <c r="LV6" s="467"/>
      <c r="LW6" s="467"/>
      <c r="LX6" s="467"/>
      <c r="LY6" s="467"/>
      <c r="LZ6" s="467"/>
      <c r="MA6" s="467"/>
      <c r="MB6" s="467"/>
      <c r="MC6" s="467"/>
      <c r="MD6" s="467"/>
      <c r="ME6" s="467"/>
      <c r="MF6" s="467"/>
      <c r="MG6" s="467"/>
      <c r="MH6" s="467"/>
      <c r="MI6" s="467"/>
      <c r="MJ6" s="467"/>
      <c r="MK6" s="467"/>
      <c r="ML6" s="467"/>
      <c r="MM6" s="467"/>
      <c r="MN6" s="467"/>
      <c r="MO6" s="467"/>
      <c r="MP6" s="467"/>
      <c r="MQ6" s="467"/>
      <c r="MR6" s="467"/>
      <c r="MS6" s="467"/>
      <c r="MT6" s="467"/>
      <c r="MU6" s="467"/>
      <c r="MV6" s="467"/>
      <c r="MW6" s="467"/>
      <c r="MX6" s="467"/>
      <c r="MY6" s="467"/>
      <c r="MZ6" s="467"/>
      <c r="NA6" s="467"/>
      <c r="NB6" s="467"/>
      <c r="NC6" s="467"/>
      <c r="ND6" s="467"/>
      <c r="NE6" s="467"/>
      <c r="NF6" s="467"/>
      <c r="NG6" s="467"/>
      <c r="NH6" s="467"/>
      <c r="NI6" s="467"/>
      <c r="NJ6" s="467"/>
      <c r="NK6" s="467"/>
      <c r="NL6" s="467"/>
      <c r="NM6" s="467"/>
      <c r="NN6" s="467"/>
      <c r="NO6" s="467"/>
      <c r="NP6" s="467"/>
      <c r="NQ6" s="467"/>
      <c r="NR6" s="467"/>
      <c r="NS6" s="467"/>
      <c r="NT6" s="467"/>
      <c r="NU6" s="467"/>
      <c r="NV6" s="467"/>
      <c r="NW6" s="467"/>
      <c r="NX6" s="467"/>
      <c r="NY6" s="467"/>
      <c r="NZ6" s="467"/>
      <c r="OA6" s="467"/>
      <c r="OB6" s="467"/>
      <c r="OC6" s="467"/>
      <c r="OD6" s="467"/>
      <c r="OE6" s="467"/>
      <c r="OF6" s="467"/>
      <c r="OG6" s="467"/>
      <c r="OH6" s="467"/>
      <c r="OI6" s="467"/>
      <c r="OJ6" s="467"/>
      <c r="OK6" s="467"/>
      <c r="OL6" s="467"/>
      <c r="OM6" s="467"/>
      <c r="ON6" s="467"/>
      <c r="OO6" s="467"/>
      <c r="OP6" s="467"/>
      <c r="OQ6" s="467"/>
      <c r="OR6" s="467"/>
      <c r="OS6" s="467"/>
      <c r="OT6" s="467"/>
      <c r="OU6" s="467"/>
      <c r="OV6" s="467"/>
      <c r="OW6" s="467"/>
      <c r="OX6" s="467"/>
      <c r="OY6" s="467"/>
      <c r="OZ6" s="467"/>
      <c r="PA6" s="467"/>
      <c r="PB6" s="467"/>
      <c r="PC6" s="467"/>
      <c r="PD6" s="467"/>
      <c r="PE6" s="467"/>
      <c r="PF6" s="467"/>
      <c r="PG6" s="467"/>
      <c r="PH6" s="467"/>
      <c r="PI6" s="467"/>
      <c r="PJ6" s="467"/>
      <c r="PK6" s="467"/>
      <c r="PL6" s="467"/>
      <c r="PM6" s="467"/>
      <c r="PN6" s="467"/>
      <c r="PO6" s="467"/>
      <c r="PP6" s="467"/>
      <c r="PQ6" s="467"/>
      <c r="PR6" s="467"/>
      <c r="PS6" s="467"/>
      <c r="PT6" s="467"/>
      <c r="PU6" s="467"/>
      <c r="PV6" s="467"/>
      <c r="PW6" s="467"/>
      <c r="PX6" s="467"/>
      <c r="PY6" s="467"/>
      <c r="PZ6" s="467"/>
      <c r="QA6" s="467"/>
      <c r="QB6" s="467"/>
      <c r="QC6" s="467"/>
      <c r="QD6" s="467"/>
      <c r="QE6" s="467"/>
      <c r="QF6" s="467"/>
      <c r="QG6" s="467"/>
      <c r="QH6" s="467"/>
      <c r="QI6" s="467"/>
      <c r="QJ6" s="467"/>
      <c r="QK6" s="467"/>
      <c r="QL6" s="467"/>
      <c r="QM6" s="467"/>
      <c r="QN6" s="467"/>
      <c r="QO6" s="467"/>
      <c r="QP6" s="467"/>
      <c r="QQ6" s="467"/>
      <c r="QR6" s="467"/>
      <c r="QS6" s="467"/>
      <c r="QT6" s="467"/>
      <c r="QU6" s="467"/>
      <c r="QV6" s="467"/>
      <c r="QW6" s="467"/>
      <c r="QX6" s="467"/>
      <c r="QY6" s="467"/>
      <c r="QZ6" s="467"/>
      <c r="RA6" s="467"/>
      <c r="RB6" s="467"/>
      <c r="RC6" s="467"/>
      <c r="RD6" s="467"/>
      <c r="RE6" s="467"/>
      <c r="RF6" s="467"/>
      <c r="RG6" s="467"/>
      <c r="RH6" s="467"/>
      <c r="RI6" s="467"/>
      <c r="RJ6" s="467"/>
      <c r="RK6" s="467"/>
      <c r="RL6" s="467"/>
      <c r="RM6" s="467"/>
      <c r="RN6" s="467"/>
      <c r="RO6" s="467"/>
      <c r="RP6" s="467"/>
      <c r="RQ6" s="467"/>
      <c r="RR6" s="467"/>
      <c r="RS6" s="467"/>
      <c r="RT6" s="467"/>
      <c r="RU6" s="467"/>
      <c r="RV6" s="467"/>
      <c r="RW6" s="467"/>
      <c r="RX6" s="467"/>
      <c r="RY6" s="467"/>
      <c r="RZ6" s="467"/>
      <c r="SA6" s="467"/>
      <c r="SB6" s="467"/>
      <c r="SC6" s="467"/>
      <c r="SD6" s="467"/>
      <c r="SE6" s="467"/>
      <c r="SF6" s="467"/>
      <c r="SG6" s="467"/>
      <c r="SH6" s="467"/>
      <c r="SI6" s="467"/>
      <c r="SJ6" s="467"/>
      <c r="SK6" s="467"/>
      <c r="SL6" s="467"/>
      <c r="SM6" s="467"/>
      <c r="SN6" s="467"/>
      <c r="SO6" s="467"/>
      <c r="SP6" s="467"/>
      <c r="SQ6" s="467"/>
      <c r="SR6" s="467"/>
      <c r="SS6" s="467"/>
      <c r="ST6" s="467"/>
      <c r="SU6" s="467"/>
      <c r="SV6" s="467"/>
      <c r="SW6" s="467"/>
      <c r="SX6" s="467"/>
      <c r="SY6" s="467"/>
      <c r="SZ6" s="467"/>
      <c r="TA6" s="467"/>
      <c r="TB6" s="467"/>
      <c r="TC6" s="467"/>
      <c r="TD6" s="467"/>
      <c r="TE6" s="467"/>
      <c r="TF6" s="467"/>
      <c r="TG6" s="467"/>
      <c r="TH6" s="467"/>
      <c r="TI6" s="467"/>
      <c r="TJ6" s="467"/>
      <c r="TK6" s="467"/>
      <c r="TL6" s="467"/>
      <c r="TM6" s="467"/>
      <c r="TN6" s="467"/>
      <c r="TO6" s="467"/>
      <c r="TP6" s="467"/>
      <c r="TQ6" s="467"/>
      <c r="TR6" s="467"/>
      <c r="TS6" s="467"/>
      <c r="TT6" s="467"/>
      <c r="TU6" s="467"/>
      <c r="TV6" s="467"/>
      <c r="TW6" s="467"/>
      <c r="TX6" s="467"/>
      <c r="TY6" s="467"/>
      <c r="TZ6" s="467"/>
      <c r="UA6" s="467"/>
      <c r="UB6" s="467"/>
      <c r="UC6" s="467"/>
      <c r="UD6" s="467"/>
      <c r="UE6" s="467"/>
      <c r="UF6" s="467"/>
      <c r="UG6" s="467"/>
      <c r="UH6" s="467"/>
      <c r="UI6" s="467"/>
      <c r="UJ6" s="467"/>
      <c r="UK6" s="467"/>
      <c r="UL6" s="467"/>
      <c r="UM6" s="467"/>
      <c r="UN6" s="467"/>
      <c r="UO6" s="467"/>
      <c r="UP6" s="467"/>
      <c r="UQ6" s="467"/>
      <c r="UR6" s="467"/>
      <c r="US6" s="467"/>
      <c r="UT6" s="467"/>
      <c r="UU6" s="467"/>
      <c r="UV6" s="467"/>
      <c r="UW6" s="467"/>
      <c r="UX6" s="467"/>
      <c r="UY6" s="467"/>
      <c r="UZ6" s="467"/>
      <c r="VA6" s="467"/>
      <c r="VB6" s="467"/>
      <c r="VC6" s="467"/>
      <c r="VD6" s="467"/>
      <c r="VE6" s="467"/>
      <c r="VF6" s="467"/>
      <c r="VG6" s="467"/>
      <c r="VH6" s="467"/>
      <c r="VI6" s="467"/>
      <c r="VJ6" s="467"/>
      <c r="VK6" s="467"/>
      <c r="VL6" s="467"/>
      <c r="VM6" s="467"/>
      <c r="VN6" s="467"/>
      <c r="VO6" s="467"/>
      <c r="VP6" s="467"/>
      <c r="VQ6" s="467"/>
      <c r="VR6" s="467"/>
      <c r="VS6" s="467"/>
      <c r="VT6" s="467"/>
      <c r="VU6" s="467"/>
      <c r="VV6" s="467"/>
      <c r="VW6" s="467"/>
      <c r="VX6" s="467"/>
      <c r="VY6" s="467"/>
      <c r="VZ6" s="467"/>
      <c r="WA6" s="467"/>
      <c r="WB6" s="467"/>
      <c r="WC6" s="467"/>
      <c r="WD6" s="467"/>
      <c r="WE6" s="467"/>
      <c r="WF6" s="467"/>
      <c r="WG6" s="467"/>
      <c r="WH6" s="467"/>
      <c r="WI6" s="467"/>
      <c r="WJ6" s="467"/>
      <c r="WK6" s="467"/>
      <c r="WL6" s="467"/>
      <c r="WM6" s="467"/>
      <c r="WN6" s="467"/>
      <c r="WO6" s="467"/>
      <c r="WP6" s="467"/>
      <c r="WQ6" s="467"/>
      <c r="WR6" s="467"/>
      <c r="WS6" s="467"/>
      <c r="WT6" s="467"/>
      <c r="WU6" s="467"/>
      <c r="WV6" s="467"/>
      <c r="WW6" s="467"/>
      <c r="WX6" s="467"/>
      <c r="WY6" s="467"/>
      <c r="WZ6" s="467"/>
      <c r="XA6" s="467"/>
      <c r="XB6" s="467"/>
      <c r="XC6" s="467"/>
      <c r="XD6" s="467"/>
      <c r="XE6" s="467"/>
      <c r="XF6" s="467"/>
      <c r="XG6" s="467"/>
      <c r="XH6" s="467"/>
      <c r="XI6" s="467"/>
      <c r="XJ6" s="467"/>
      <c r="XK6" s="467"/>
      <c r="XL6" s="467"/>
      <c r="XM6" s="467"/>
      <c r="XN6" s="467"/>
      <c r="XO6" s="467"/>
      <c r="XP6" s="467"/>
      <c r="XQ6" s="467"/>
      <c r="XR6" s="467"/>
      <c r="XS6" s="467"/>
      <c r="XT6" s="467"/>
      <c r="XU6" s="467"/>
      <c r="XV6" s="467"/>
      <c r="XW6" s="467"/>
      <c r="XX6" s="467"/>
      <c r="XY6" s="467"/>
      <c r="XZ6" s="467"/>
      <c r="YA6" s="467"/>
      <c r="YB6" s="467"/>
      <c r="YC6" s="467"/>
      <c r="YD6" s="467"/>
      <c r="YE6" s="467"/>
      <c r="YF6" s="467"/>
      <c r="YG6" s="467"/>
      <c r="YH6" s="467"/>
      <c r="YI6" s="467"/>
      <c r="YJ6" s="467"/>
      <c r="YK6" s="467"/>
      <c r="YL6" s="467"/>
      <c r="YM6" s="467"/>
      <c r="YN6" s="467"/>
      <c r="YO6" s="467"/>
      <c r="YP6" s="467"/>
      <c r="YQ6" s="467"/>
      <c r="YR6" s="467"/>
      <c r="YS6" s="467"/>
      <c r="YT6" s="467"/>
      <c r="YU6" s="467"/>
      <c r="YV6" s="467"/>
      <c r="YW6" s="467"/>
      <c r="YX6" s="467"/>
      <c r="YY6" s="467"/>
      <c r="YZ6" s="467"/>
      <c r="ZA6" s="467"/>
      <c r="ZB6" s="467"/>
      <c r="ZC6" s="467"/>
      <c r="ZD6" s="467"/>
      <c r="ZE6" s="467"/>
      <c r="ZF6" s="467"/>
      <c r="ZG6" s="467"/>
      <c r="ZH6" s="467"/>
      <c r="ZI6" s="467"/>
      <c r="ZJ6" s="467"/>
      <c r="ZK6" s="467"/>
      <c r="ZL6" s="467"/>
      <c r="ZM6" s="467"/>
      <c r="ZN6" s="467"/>
      <c r="ZO6" s="467"/>
      <c r="ZP6" s="467"/>
      <c r="ZQ6" s="467"/>
      <c r="ZR6" s="467"/>
      <c r="ZS6" s="467"/>
      <c r="ZT6" s="467"/>
      <c r="ZU6" s="467"/>
      <c r="ZV6" s="467"/>
      <c r="ZW6" s="467"/>
      <c r="ZX6" s="467"/>
      <c r="ZY6" s="467"/>
      <c r="ZZ6" s="467"/>
      <c r="AAA6" s="467"/>
      <c r="AAB6" s="467"/>
      <c r="AAC6" s="467"/>
      <c r="AAD6" s="467"/>
      <c r="AAE6" s="467"/>
      <c r="AAF6" s="467"/>
      <c r="AAG6" s="467"/>
      <c r="AAH6" s="467"/>
      <c r="AAI6" s="467"/>
      <c r="AAJ6" s="467"/>
      <c r="AAK6" s="467"/>
      <c r="AAL6" s="467"/>
      <c r="AAM6" s="467"/>
      <c r="AAN6" s="467"/>
      <c r="AAO6" s="467"/>
      <c r="AAP6" s="467"/>
      <c r="AAQ6" s="467"/>
      <c r="AAR6" s="467"/>
      <c r="AAS6" s="467"/>
      <c r="AAT6" s="467"/>
      <c r="AAU6" s="467"/>
      <c r="AAV6" s="467"/>
      <c r="AAW6" s="467"/>
      <c r="AAX6" s="467"/>
      <c r="AAY6" s="467"/>
      <c r="AAZ6" s="467"/>
      <c r="ABA6" s="467"/>
      <c r="ABB6" s="467"/>
      <c r="ABC6" s="467"/>
      <c r="ABD6" s="467"/>
      <c r="ABE6" s="467"/>
      <c r="ABF6" s="467"/>
      <c r="ABG6" s="467"/>
      <c r="ABH6" s="467"/>
      <c r="ABI6" s="467"/>
      <c r="ABJ6" s="467"/>
      <c r="ABK6" s="467"/>
      <c r="ABL6" s="467"/>
      <c r="ABM6" s="467"/>
      <c r="ABN6" s="467"/>
      <c r="ABO6" s="467"/>
      <c r="ABP6" s="467"/>
      <c r="ABQ6" s="467"/>
      <c r="ABR6" s="467"/>
      <c r="ABS6" s="467"/>
      <c r="ABT6" s="467"/>
      <c r="ABU6" s="467"/>
      <c r="ABV6" s="467"/>
      <c r="ABW6" s="467"/>
      <c r="ABX6" s="467"/>
      <c r="ABY6" s="467"/>
      <c r="ABZ6" s="467"/>
      <c r="ACA6" s="467"/>
      <c r="ACB6" s="467"/>
      <c r="ACC6" s="467"/>
      <c r="ACD6" s="467"/>
      <c r="ACE6" s="467"/>
      <c r="ACF6" s="467"/>
      <c r="ACG6" s="467"/>
      <c r="ACH6" s="467"/>
      <c r="ACI6" s="467"/>
      <c r="ACJ6" s="467"/>
      <c r="ACK6" s="467"/>
      <c r="ACL6" s="467"/>
      <c r="ACM6" s="467"/>
      <c r="ACN6" s="467"/>
      <c r="ACO6" s="467"/>
      <c r="ACP6" s="467"/>
      <c r="ACQ6" s="467"/>
      <c r="ACR6" s="467"/>
      <c r="ACS6" s="467"/>
      <c r="ACT6" s="467"/>
      <c r="ACU6" s="467"/>
      <c r="ACV6" s="467"/>
      <c r="ACW6" s="467"/>
      <c r="ACX6" s="467"/>
      <c r="ACY6" s="467"/>
      <c r="ACZ6" s="467"/>
      <c r="ADA6" s="467"/>
      <c r="ADB6" s="467"/>
      <c r="ADC6" s="467"/>
      <c r="ADD6" s="467"/>
      <c r="ADE6" s="467"/>
      <c r="ADF6" s="467"/>
      <c r="ADG6" s="467"/>
      <c r="ADH6" s="467"/>
      <c r="ADI6" s="467"/>
      <c r="ADJ6" s="467"/>
      <c r="ADK6" s="467"/>
      <c r="ADL6" s="467"/>
      <c r="ADM6" s="467"/>
      <c r="ADN6" s="467"/>
      <c r="ADO6" s="467"/>
      <c r="ADP6" s="467"/>
      <c r="ADQ6" s="467"/>
      <c r="ADR6" s="467"/>
      <c r="ADS6" s="467"/>
      <c r="ADT6" s="467"/>
      <c r="ADU6" s="467"/>
      <c r="ADV6" s="467"/>
      <c r="ADW6" s="467"/>
      <c r="ADX6" s="467"/>
      <c r="ADY6" s="467"/>
      <c r="ADZ6" s="467"/>
      <c r="AEA6" s="467"/>
      <c r="AEB6" s="467"/>
      <c r="AEC6" s="467"/>
      <c r="AED6" s="467"/>
      <c r="AEE6" s="467"/>
      <c r="AEF6" s="467"/>
      <c r="AEG6" s="467"/>
      <c r="AEH6" s="467"/>
      <c r="AEI6" s="467"/>
      <c r="AEJ6" s="467"/>
      <c r="AEK6" s="467"/>
      <c r="AEL6" s="467"/>
      <c r="AEM6" s="467"/>
      <c r="AEN6" s="467"/>
      <c r="AEO6" s="467"/>
      <c r="AEP6" s="467"/>
      <c r="AEQ6" s="467"/>
      <c r="AER6" s="467"/>
      <c r="AES6" s="467"/>
      <c r="AET6" s="467"/>
      <c r="AEU6" s="467"/>
      <c r="AEV6" s="467"/>
      <c r="AEW6" s="467"/>
      <c r="AEX6" s="467"/>
      <c r="AEY6" s="467"/>
      <c r="AEZ6" s="467"/>
      <c r="AFA6" s="467"/>
      <c r="AFB6" s="467"/>
      <c r="AFC6" s="467"/>
      <c r="AFD6" s="467"/>
      <c r="AFE6" s="467"/>
      <c r="AFF6" s="467"/>
      <c r="AFG6" s="467"/>
      <c r="AFH6" s="467"/>
      <c r="AFI6" s="467"/>
      <c r="AFJ6" s="467"/>
      <c r="AFK6" s="467"/>
      <c r="AFL6" s="467"/>
      <c r="AFM6" s="467"/>
      <c r="AFN6" s="467"/>
      <c r="AFO6" s="467"/>
      <c r="AFP6" s="467"/>
      <c r="AFQ6" s="467"/>
      <c r="AFR6" s="467"/>
      <c r="AFS6" s="467"/>
      <c r="AFT6" s="467"/>
      <c r="AFU6" s="467"/>
      <c r="AFV6" s="467"/>
      <c r="AFW6" s="467"/>
      <c r="AFX6" s="467"/>
      <c r="AFY6" s="467"/>
      <c r="AFZ6" s="467"/>
      <c r="AGA6" s="467"/>
      <c r="AGB6" s="467"/>
      <c r="AGC6" s="467"/>
      <c r="AGD6" s="467"/>
      <c r="AGE6" s="467"/>
      <c r="AGF6" s="467"/>
      <c r="AGG6" s="467"/>
      <c r="AGH6" s="467"/>
      <c r="AGI6" s="467"/>
      <c r="AGJ6" s="467"/>
      <c r="AGK6" s="467"/>
      <c r="AGL6" s="467"/>
      <c r="AGM6" s="467"/>
      <c r="AGN6" s="467"/>
      <c r="AGO6" s="467"/>
      <c r="AGP6" s="467"/>
      <c r="AGQ6" s="467"/>
      <c r="AGR6" s="467"/>
      <c r="AGS6" s="467"/>
      <c r="AGT6" s="467"/>
      <c r="AGU6" s="467"/>
      <c r="AGV6" s="467"/>
      <c r="AGW6" s="467"/>
      <c r="AGX6" s="467"/>
      <c r="AGY6" s="467"/>
      <c r="AGZ6" s="467"/>
      <c r="AHA6" s="467"/>
      <c r="AHB6" s="467"/>
      <c r="AHC6" s="467"/>
      <c r="AHD6" s="467"/>
      <c r="AHE6" s="467"/>
      <c r="AHF6" s="467"/>
      <c r="AHG6" s="467"/>
      <c r="AHH6" s="467"/>
      <c r="AHI6" s="467"/>
      <c r="AHJ6" s="467"/>
      <c r="AHK6" s="467"/>
      <c r="AHL6" s="467"/>
      <c r="AHM6" s="467"/>
      <c r="AHN6" s="467"/>
      <c r="AHO6" s="467"/>
      <c r="AHP6" s="467"/>
      <c r="AHQ6" s="467"/>
      <c r="AHR6" s="467"/>
      <c r="AHS6" s="467"/>
      <c r="AHT6" s="467"/>
      <c r="AHU6" s="467"/>
      <c r="AHV6" s="467"/>
      <c r="AHW6" s="467"/>
      <c r="AHX6" s="467"/>
      <c r="AHY6" s="467"/>
      <c r="AHZ6" s="467"/>
      <c r="AIA6" s="467"/>
      <c r="AIB6" s="467"/>
      <c r="AIC6" s="467"/>
      <c r="AID6" s="467"/>
      <c r="AIE6" s="467"/>
      <c r="AIF6" s="467"/>
      <c r="AIG6" s="467"/>
      <c r="AIH6" s="467"/>
      <c r="AII6" s="467"/>
      <c r="AIJ6" s="467"/>
      <c r="AIK6" s="467"/>
      <c r="AIL6" s="467"/>
      <c r="AIM6" s="467"/>
      <c r="AIN6" s="467"/>
      <c r="AIO6" s="467"/>
      <c r="AIP6" s="467"/>
      <c r="AIQ6" s="467"/>
      <c r="AIR6" s="467"/>
      <c r="AIS6" s="467"/>
      <c r="AIT6" s="467"/>
      <c r="AIU6" s="467"/>
      <c r="AIV6" s="467"/>
      <c r="AIW6" s="467"/>
      <c r="AIX6" s="467"/>
      <c r="AIY6" s="467"/>
      <c r="AIZ6" s="467"/>
      <c r="AJA6" s="467"/>
      <c r="AJB6" s="467"/>
      <c r="AJC6" s="467"/>
      <c r="AJD6" s="467"/>
      <c r="AJE6" s="467"/>
      <c r="AJF6" s="467"/>
      <c r="AJG6" s="467"/>
      <c r="AJH6" s="467"/>
      <c r="AJI6" s="467"/>
      <c r="AJJ6" s="467"/>
      <c r="AJK6" s="467"/>
      <c r="AJL6" s="467"/>
      <c r="AJM6" s="467"/>
      <c r="AJN6" s="467"/>
      <c r="AJO6" s="467"/>
      <c r="AJP6" s="467"/>
      <c r="AJQ6" s="467"/>
      <c r="AJR6" s="467"/>
      <c r="AJS6" s="467"/>
      <c r="AJT6" s="467"/>
      <c r="AJU6" s="467"/>
      <c r="AJV6" s="467"/>
      <c r="AJW6" s="467"/>
      <c r="AJX6" s="467"/>
      <c r="AJY6" s="467"/>
      <c r="AJZ6" s="467"/>
      <c r="AKA6" s="467"/>
      <c r="AKB6" s="467"/>
      <c r="AKC6" s="467"/>
      <c r="AKD6" s="467"/>
      <c r="AKE6" s="467"/>
      <c r="AKF6" s="467"/>
      <c r="AKG6" s="467"/>
      <c r="AKH6" s="467"/>
      <c r="AKI6" s="467"/>
      <c r="AKJ6" s="467"/>
      <c r="AKK6" s="467"/>
      <c r="AKL6" s="467"/>
      <c r="AKM6" s="467"/>
      <c r="AKN6" s="467"/>
      <c r="AKO6" s="467"/>
      <c r="AKP6" s="467"/>
      <c r="AKQ6" s="467"/>
      <c r="AKR6" s="467"/>
      <c r="AKS6" s="467"/>
      <c r="AKT6" s="467"/>
      <c r="AKU6" s="467"/>
      <c r="AKV6" s="467"/>
      <c r="AKW6" s="467"/>
      <c r="AKX6" s="467"/>
      <c r="AKY6" s="467"/>
      <c r="AKZ6" s="467"/>
      <c r="ALA6" s="467"/>
      <c r="ALB6" s="467"/>
      <c r="ALC6" s="467"/>
      <c r="ALD6" s="467"/>
      <c r="ALE6" s="467"/>
      <c r="ALF6" s="467"/>
      <c r="ALG6" s="467"/>
      <c r="ALH6" s="467"/>
      <c r="ALI6" s="467"/>
      <c r="ALJ6" s="467"/>
      <c r="ALK6" s="467"/>
      <c r="ALL6" s="467"/>
      <c r="ALM6" s="467"/>
      <c r="ALN6" s="467"/>
      <c r="ALO6" s="467"/>
      <c r="ALP6" s="467"/>
      <c r="ALQ6" s="467"/>
      <c r="ALR6" s="467"/>
      <c r="ALS6" s="467"/>
      <c r="ALT6" s="467"/>
      <c r="ALU6" s="467"/>
      <c r="ALV6" s="467"/>
      <c r="ALW6" s="467"/>
      <c r="ALX6" s="467"/>
      <c r="ALY6" s="467"/>
      <c r="ALZ6" s="467"/>
      <c r="AMA6" s="467"/>
      <c r="AMB6" s="467"/>
      <c r="AMC6" s="467"/>
      <c r="AMD6" s="467"/>
      <c r="AME6" s="467"/>
      <c r="AMF6" s="467"/>
      <c r="AMG6" s="467"/>
      <c r="AMH6" s="467"/>
      <c r="AMI6" s="467"/>
      <c r="AMJ6" s="467"/>
      <c r="AMK6" s="467"/>
      <c r="AML6" s="467"/>
      <c r="AMM6" s="467"/>
      <c r="AMN6" s="467"/>
      <c r="AMO6" s="467"/>
      <c r="AMP6" s="467"/>
      <c r="AMQ6" s="467"/>
      <c r="AMR6" s="467"/>
      <c r="AMS6" s="467"/>
      <c r="AMT6" s="467"/>
      <c r="AMU6" s="467"/>
      <c r="AMV6" s="467"/>
      <c r="AMW6" s="467"/>
      <c r="AMX6" s="467"/>
      <c r="AMY6" s="467"/>
      <c r="AMZ6" s="467"/>
      <c r="ANA6" s="467"/>
      <c r="ANB6" s="467"/>
      <c r="ANC6" s="467"/>
      <c r="AND6" s="467"/>
      <c r="ANE6" s="467"/>
      <c r="ANF6" s="467"/>
      <c r="ANG6" s="467"/>
      <c r="ANH6" s="467"/>
      <c r="ANI6" s="467"/>
      <c r="ANJ6" s="467"/>
      <c r="ANK6" s="467"/>
      <c r="ANL6" s="467"/>
      <c r="ANM6" s="467"/>
      <c r="ANN6" s="467"/>
      <c r="ANO6" s="467"/>
      <c r="ANP6" s="467"/>
      <c r="ANQ6" s="467"/>
      <c r="ANR6" s="467"/>
      <c r="ANS6" s="467"/>
      <c r="ANT6" s="467"/>
      <c r="ANU6" s="467"/>
      <c r="ANV6" s="467"/>
      <c r="ANW6" s="467"/>
      <c r="ANX6" s="467"/>
      <c r="ANY6" s="467"/>
      <c r="ANZ6" s="467"/>
      <c r="AOA6" s="467"/>
      <c r="AOB6" s="467"/>
      <c r="AOC6" s="467"/>
      <c r="AOD6" s="467"/>
      <c r="AOE6" s="467"/>
      <c r="AOF6" s="467"/>
      <c r="AOG6" s="467"/>
      <c r="AOH6" s="467"/>
      <c r="AOI6" s="467"/>
      <c r="AOJ6" s="467"/>
      <c r="AOK6" s="467"/>
      <c r="AOL6" s="467"/>
      <c r="AOM6" s="467"/>
      <c r="AON6" s="467"/>
      <c r="AOO6" s="467"/>
      <c r="AOP6" s="467"/>
      <c r="AOQ6" s="467"/>
      <c r="AOR6" s="467"/>
      <c r="AOS6" s="467"/>
      <c r="AOT6" s="467"/>
      <c r="AOU6" s="467"/>
      <c r="AOV6" s="467"/>
      <c r="AOW6" s="467"/>
      <c r="AOX6" s="467"/>
      <c r="AOY6" s="467"/>
      <c r="AOZ6" s="467"/>
      <c r="APA6" s="467"/>
      <c r="APB6" s="467"/>
      <c r="APC6" s="467"/>
      <c r="APD6" s="467"/>
      <c r="APE6" s="467"/>
      <c r="APF6" s="467"/>
      <c r="APG6" s="467"/>
      <c r="APH6" s="467"/>
      <c r="API6" s="467"/>
      <c r="APJ6" s="467"/>
      <c r="APK6" s="467"/>
      <c r="APL6" s="467"/>
      <c r="APM6" s="467"/>
      <c r="APN6" s="467"/>
      <c r="APO6" s="467"/>
      <c r="APP6" s="467"/>
      <c r="APQ6" s="467"/>
      <c r="APR6" s="467"/>
      <c r="APS6" s="467"/>
      <c r="APT6" s="467"/>
      <c r="APU6" s="467"/>
      <c r="APV6" s="467"/>
      <c r="APW6" s="467"/>
      <c r="APX6" s="467"/>
      <c r="APY6" s="467"/>
      <c r="APZ6" s="467"/>
      <c r="AQA6" s="467"/>
      <c r="AQB6" s="467"/>
      <c r="AQC6" s="467"/>
      <c r="AQD6" s="467"/>
      <c r="AQE6" s="467"/>
      <c r="AQF6" s="467"/>
      <c r="AQG6" s="467"/>
      <c r="AQH6" s="467"/>
      <c r="AQI6" s="467"/>
      <c r="AQJ6" s="467"/>
      <c r="AQK6" s="467"/>
      <c r="AQL6" s="467"/>
      <c r="AQM6" s="467"/>
      <c r="AQN6" s="467"/>
      <c r="AQO6" s="467"/>
      <c r="AQP6" s="467"/>
      <c r="AQQ6" s="467"/>
      <c r="AQR6" s="467"/>
      <c r="AQS6" s="467"/>
      <c r="AQT6" s="467"/>
      <c r="AQU6" s="467"/>
      <c r="AQV6" s="467"/>
      <c r="AQW6" s="467"/>
      <c r="AQX6" s="467"/>
      <c r="AQY6" s="467"/>
      <c r="AQZ6" s="467"/>
      <c r="ARA6" s="467"/>
      <c r="ARB6" s="467"/>
      <c r="ARC6" s="467"/>
      <c r="ARD6" s="467"/>
      <c r="ARE6" s="467"/>
      <c r="ARF6" s="467"/>
      <c r="ARG6" s="467"/>
      <c r="ARH6" s="467"/>
      <c r="ARI6" s="467"/>
      <c r="ARJ6" s="467"/>
      <c r="ARK6" s="467"/>
      <c r="ARL6" s="467"/>
      <c r="ARM6" s="467"/>
      <c r="ARN6" s="467"/>
      <c r="ARO6" s="467"/>
      <c r="ARP6" s="467"/>
      <c r="ARQ6" s="467"/>
      <c r="ARR6" s="467"/>
      <c r="ARS6" s="467"/>
      <c r="ART6" s="467"/>
      <c r="ARU6" s="467"/>
      <c r="ARV6" s="467"/>
      <c r="ARW6" s="467"/>
      <c r="ARX6" s="467"/>
      <c r="ARY6" s="467"/>
      <c r="ARZ6" s="467"/>
      <c r="ASA6" s="467"/>
      <c r="ASB6" s="467"/>
      <c r="ASC6" s="467"/>
      <c r="ASD6" s="467"/>
      <c r="ASE6" s="467"/>
      <c r="ASF6" s="467"/>
      <c r="ASG6" s="467"/>
      <c r="ASH6" s="467"/>
      <c r="ASI6" s="467"/>
      <c r="ASJ6" s="467"/>
      <c r="ASK6" s="467"/>
      <c r="ASL6" s="467"/>
      <c r="ASM6" s="467"/>
      <c r="ASN6" s="467"/>
      <c r="ASO6" s="467"/>
      <c r="ASP6" s="467"/>
      <c r="ASQ6" s="467"/>
      <c r="ASR6" s="467"/>
      <c r="ASS6" s="467"/>
      <c r="AST6" s="467"/>
      <c r="ASU6" s="467"/>
      <c r="ASV6" s="467"/>
      <c r="ASW6" s="467"/>
      <c r="ASX6" s="467"/>
      <c r="ASY6" s="467"/>
      <c r="ASZ6" s="467"/>
      <c r="ATA6" s="467"/>
      <c r="ATB6" s="467"/>
      <c r="ATC6" s="467"/>
      <c r="ATD6" s="467"/>
      <c r="ATE6" s="467"/>
      <c r="ATF6" s="467"/>
      <c r="ATG6" s="467"/>
      <c r="ATH6" s="467"/>
      <c r="ATI6" s="467"/>
      <c r="ATJ6" s="467"/>
      <c r="ATK6" s="467"/>
      <c r="ATL6" s="467"/>
      <c r="ATM6" s="467"/>
      <c r="ATN6" s="467"/>
      <c r="ATO6" s="467"/>
      <c r="ATP6" s="467"/>
      <c r="ATQ6" s="467"/>
      <c r="ATR6" s="467"/>
      <c r="ATS6" s="467"/>
      <c r="ATT6" s="467"/>
      <c r="ATU6" s="467"/>
      <c r="ATV6" s="467"/>
      <c r="ATW6" s="467"/>
      <c r="ATX6" s="467"/>
      <c r="ATY6" s="467"/>
      <c r="ATZ6" s="467"/>
      <c r="AUA6" s="467"/>
      <c r="AUB6" s="467"/>
      <c r="AUC6" s="467"/>
      <c r="AUD6" s="467"/>
      <c r="AUE6" s="467"/>
      <c r="AUF6" s="467"/>
      <c r="AUG6" s="467"/>
      <c r="AUH6" s="467"/>
      <c r="AUI6" s="467"/>
      <c r="AUJ6" s="467"/>
      <c r="AUK6" s="467"/>
      <c r="AUL6" s="467"/>
      <c r="AUM6" s="467"/>
      <c r="AUN6" s="467"/>
      <c r="AUO6" s="467"/>
      <c r="AUP6" s="467"/>
      <c r="AUQ6" s="467"/>
      <c r="AUR6" s="467"/>
      <c r="AUS6" s="467"/>
      <c r="AUT6" s="467"/>
      <c r="AUU6" s="467"/>
      <c r="AUV6" s="467"/>
      <c r="AUW6" s="467"/>
      <c r="AUX6" s="467"/>
      <c r="AUY6" s="467"/>
      <c r="AUZ6" s="467"/>
      <c r="AVA6" s="467"/>
      <c r="AVB6" s="467"/>
      <c r="AVC6" s="467"/>
      <c r="AVD6" s="467"/>
      <c r="AVE6" s="467"/>
      <c r="AVF6" s="467"/>
      <c r="AVG6" s="467"/>
      <c r="AVH6" s="467"/>
      <c r="AVI6" s="467"/>
      <c r="AVJ6" s="467"/>
      <c r="AVK6" s="467"/>
      <c r="AVL6" s="467"/>
      <c r="AVM6" s="467"/>
      <c r="AVN6" s="467"/>
      <c r="AVO6" s="467"/>
      <c r="AVP6" s="467"/>
      <c r="AVQ6" s="467"/>
      <c r="AVR6" s="467"/>
      <c r="AVS6" s="467"/>
      <c r="AVT6" s="467"/>
      <c r="AVU6" s="467"/>
      <c r="AVV6" s="467"/>
      <c r="AVW6" s="467"/>
      <c r="AVX6" s="467"/>
      <c r="AVY6" s="467"/>
      <c r="AVZ6" s="467"/>
      <c r="AWA6" s="467"/>
      <c r="AWB6" s="467"/>
      <c r="AWC6" s="467"/>
      <c r="AWD6" s="467"/>
      <c r="AWE6" s="467"/>
      <c r="AWF6" s="467"/>
      <c r="AWG6" s="467"/>
      <c r="AWH6" s="467"/>
      <c r="AWI6" s="467"/>
      <c r="AWJ6" s="467"/>
      <c r="AWK6" s="467"/>
      <c r="AWL6" s="467"/>
      <c r="AWM6" s="467"/>
      <c r="AWN6" s="467"/>
      <c r="AWO6" s="467"/>
      <c r="AWP6" s="467"/>
      <c r="AWQ6" s="467"/>
      <c r="AWR6" s="467"/>
      <c r="AWS6" s="467"/>
      <c r="AWT6" s="467"/>
      <c r="AWU6" s="467"/>
      <c r="AWV6" s="467"/>
      <c r="AWW6" s="467"/>
      <c r="AWX6" s="467"/>
      <c r="AWY6" s="467"/>
      <c r="AWZ6" s="467"/>
      <c r="AXA6" s="467"/>
      <c r="AXB6" s="467"/>
      <c r="AXC6" s="467"/>
      <c r="AXD6" s="467"/>
      <c r="AXE6" s="467"/>
      <c r="AXF6" s="467"/>
      <c r="AXG6" s="467"/>
      <c r="AXH6" s="467"/>
      <c r="AXI6" s="467"/>
      <c r="AXJ6" s="467"/>
    </row>
    <row r="7" spans="1:1310" ht="44.25" customHeight="1">
      <c r="A7" s="468"/>
      <c r="B7" s="2595"/>
      <c r="C7" s="2595"/>
      <c r="D7" s="2595"/>
      <c r="E7" s="2594"/>
      <c r="F7" s="2594"/>
      <c r="G7" s="2595"/>
      <c r="H7" s="2595"/>
      <c r="I7" s="2595"/>
      <c r="J7" s="2595"/>
      <c r="K7" s="2595"/>
      <c r="L7" s="2595"/>
      <c r="M7" s="2595"/>
      <c r="N7" s="2595"/>
      <c r="O7" s="2595"/>
      <c r="P7" s="2595"/>
      <c r="Q7" s="2595"/>
    </row>
    <row r="8" spans="1:1310" ht="67.5" customHeight="1">
      <c r="A8" s="468"/>
      <c r="B8" s="6410" t="s">
        <v>551</v>
      </c>
      <c r="C8" s="6410"/>
      <c r="D8" s="6410"/>
      <c r="E8" s="2596" t="s">
        <v>550</v>
      </c>
      <c r="F8" s="2597"/>
      <c r="G8" s="2596" t="s">
        <v>549</v>
      </c>
      <c r="H8" s="2598"/>
      <c r="I8" s="2595"/>
      <c r="J8" s="2596" t="s">
        <v>548</v>
      </c>
      <c r="K8" s="2598"/>
      <c r="L8" s="2595"/>
      <c r="M8" s="2599" t="s">
        <v>547</v>
      </c>
      <c r="N8" s="2600"/>
      <c r="O8" s="2600"/>
      <c r="P8" s="2600"/>
      <c r="Q8" s="2595"/>
    </row>
    <row r="9" spans="1:1310" ht="20.100000000000001" customHeight="1">
      <c r="A9" s="2595"/>
      <c r="B9" s="2595"/>
      <c r="C9" s="2595"/>
      <c r="D9" s="2595"/>
      <c r="E9" s="2594"/>
      <c r="F9" s="2594"/>
      <c r="G9" s="2595"/>
      <c r="H9" s="2595"/>
      <c r="I9" s="2595"/>
      <c r="J9" s="2595"/>
      <c r="K9" s="2595"/>
      <c r="L9" s="2595"/>
      <c r="M9" s="2595"/>
      <c r="N9" s="2595"/>
      <c r="O9" s="2595"/>
      <c r="P9" s="2595"/>
      <c r="Q9" s="2595"/>
    </row>
    <row r="10" spans="1:1310" ht="20.100000000000001" customHeight="1">
      <c r="B10" s="2"/>
      <c r="C10" s="2"/>
      <c r="D10" s="2"/>
      <c r="E10" s="356"/>
      <c r="F10" s="356"/>
      <c r="G10" s="2"/>
      <c r="H10" s="2"/>
      <c r="I10" s="2"/>
      <c r="J10" s="2"/>
      <c r="K10" s="2"/>
      <c r="L10" s="2"/>
      <c r="M10" s="2"/>
      <c r="N10" s="2"/>
      <c r="O10" s="2"/>
      <c r="P10" s="2"/>
      <c r="Q10" s="2"/>
    </row>
  </sheetData>
  <mergeCells count="9">
    <mergeCell ref="B8:D8"/>
    <mergeCell ref="B3:Q3"/>
    <mergeCell ref="G4:I4"/>
    <mergeCell ref="F5:G5"/>
    <mergeCell ref="H5:I5"/>
    <mergeCell ref="B6:E6"/>
    <mergeCell ref="G6:I6"/>
    <mergeCell ref="K6:M6"/>
    <mergeCell ref="O6:Q6"/>
  </mergeCells>
  <hyperlinks>
    <hyperlink ref="B6" r:id="rId1" display="http://webtv.ac-versailles.fr/restauration/Patisserie" xr:uid="{00000000-0004-0000-1B00-000000000000}"/>
    <hyperlink ref="G6" r:id="rId2" display="http://webtv.ac-versailles.fr/restauration/Patisserie" xr:uid="{00000000-0004-0000-1B00-000001000000}"/>
    <hyperlink ref="K6" r:id="rId3" display="http://chefsimon.lemonde.fr/recettes" xr:uid="{00000000-0004-0000-1B00-000002000000}"/>
    <hyperlink ref="O6" r:id="rId4" location="q=RECETTES+PATISSERIE" xr:uid="{00000000-0004-0000-1B00-000003000000}"/>
    <hyperlink ref="E8" r:id="rId5" xr:uid="{00000000-0004-0000-1B00-000004000000}"/>
    <hyperlink ref="G8" r:id="rId6" xr:uid="{00000000-0004-0000-1B00-000005000000}"/>
    <hyperlink ref="J8" r:id="rId7" xr:uid="{00000000-0004-0000-1B00-000006000000}"/>
    <hyperlink ref="M8" r:id="rId8" xr:uid="{00000000-0004-0000-1B00-000007000000}"/>
    <hyperlink ref="G6:I6" r:id="rId9" display="Cuisine 483 vidéos dans cette partie" xr:uid="{00000000-0004-0000-1B00-000008000000}"/>
    <hyperlink ref="K6:M6" r:id="rId10" display="https://chefsimon.com/" xr:uid="{00000000-0004-0000-1B00-000009000000}"/>
    <hyperlink ref="F5:G5" r:id="rId11" display="55 Vidéos ICI" xr:uid="{00000000-0004-0000-1B00-00000A000000}"/>
    <hyperlink ref="H5:I5" r:id="rId12" display="plus quelques unes ICI" xr:uid="{00000000-0004-0000-1B00-00000B000000}"/>
  </hyperlinks>
  <pageMargins left="0.7" right="0.7" top="0.75" bottom="0.75" header="0.3" footer="0.3"/>
  <pageSetup paperSize="9" orientation="portrait" r:id="rId13"/>
  <drawing r:id="rId1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27"/>
  <sheetViews>
    <sheetView zoomScale="75" zoomScaleNormal="75" workbookViewId="0">
      <selection activeCell="C15" sqref="C15:F15"/>
    </sheetView>
  </sheetViews>
  <sheetFormatPr baseColWidth="10" defaultRowHeight="12.75"/>
  <cols>
    <col min="1" max="27" width="13.75" style="443" customWidth="1"/>
    <col min="28" max="16384" width="11" style="443"/>
  </cols>
  <sheetData>
    <row r="1" spans="1:27" ht="30" customHeight="1">
      <c r="A1" s="3016">
        <f t="shared" ref="A1:AA1" ca="1" si="0">CELL("largeur",A1)</f>
        <v>13</v>
      </c>
      <c r="B1" s="3016">
        <f t="shared" ca="1" si="0"/>
        <v>13</v>
      </c>
      <c r="C1" s="3016">
        <f t="shared" ca="1" si="0"/>
        <v>13</v>
      </c>
      <c r="D1" s="3016">
        <f t="shared" ca="1" si="0"/>
        <v>13</v>
      </c>
      <c r="E1" s="3016">
        <f t="shared" ca="1" si="0"/>
        <v>13</v>
      </c>
      <c r="F1" s="3016">
        <f t="shared" ca="1" si="0"/>
        <v>13</v>
      </c>
      <c r="G1" s="3016">
        <f t="shared" ca="1" si="0"/>
        <v>13</v>
      </c>
      <c r="H1" s="3016">
        <f t="shared" ca="1" si="0"/>
        <v>13</v>
      </c>
      <c r="I1" s="3016">
        <f t="shared" ca="1" si="0"/>
        <v>13</v>
      </c>
      <c r="J1" s="3016">
        <f t="shared" ca="1" si="0"/>
        <v>13</v>
      </c>
      <c r="K1" s="3016">
        <f t="shared" ca="1" si="0"/>
        <v>13</v>
      </c>
      <c r="L1" s="3016">
        <f t="shared" ca="1" si="0"/>
        <v>13</v>
      </c>
      <c r="M1" s="3016">
        <f t="shared" ca="1" si="0"/>
        <v>13</v>
      </c>
      <c r="N1" s="3016">
        <f t="shared" ca="1" si="0"/>
        <v>13</v>
      </c>
      <c r="O1" s="3016">
        <f t="shared" ca="1" si="0"/>
        <v>13</v>
      </c>
      <c r="P1" s="3016">
        <f t="shared" ca="1" si="0"/>
        <v>13</v>
      </c>
      <c r="Q1" s="3016">
        <f t="shared" ca="1" si="0"/>
        <v>13</v>
      </c>
      <c r="R1" s="3016">
        <f t="shared" ca="1" si="0"/>
        <v>13</v>
      </c>
      <c r="S1" s="3016">
        <f t="shared" ca="1" si="0"/>
        <v>13</v>
      </c>
      <c r="T1" s="3016">
        <f t="shared" ca="1" si="0"/>
        <v>13</v>
      </c>
      <c r="U1" s="3016">
        <f t="shared" ca="1" si="0"/>
        <v>13</v>
      </c>
      <c r="V1" s="3016">
        <f t="shared" ca="1" si="0"/>
        <v>13</v>
      </c>
      <c r="W1" s="3016">
        <f t="shared" ca="1" si="0"/>
        <v>13</v>
      </c>
      <c r="X1" s="3016">
        <f t="shared" ca="1" si="0"/>
        <v>13</v>
      </c>
      <c r="Y1" s="3016">
        <f t="shared" ca="1" si="0"/>
        <v>13</v>
      </c>
      <c r="Z1" s="3016">
        <f t="shared" ca="1" si="0"/>
        <v>13</v>
      </c>
      <c r="AA1" s="3016">
        <f t="shared" ca="1" si="0"/>
        <v>13</v>
      </c>
    </row>
    <row r="2" spans="1:27" ht="30" customHeight="1">
      <c r="A2" s="639"/>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row>
    <row r="3" spans="1:27" ht="30" customHeight="1">
      <c r="A3" s="639"/>
      <c r="B3" s="643" t="s">
        <v>2990</v>
      </c>
      <c r="C3" s="639"/>
      <c r="D3" s="639"/>
      <c r="E3" s="639"/>
      <c r="F3" s="639"/>
      <c r="G3" s="639"/>
      <c r="H3" s="639"/>
      <c r="I3" s="3017"/>
      <c r="J3" s="639"/>
      <c r="K3" s="639"/>
      <c r="L3" s="3017"/>
      <c r="M3" s="3017"/>
      <c r="N3" s="3017"/>
      <c r="O3" s="3017"/>
      <c r="P3" s="3018" t="s">
        <v>2991</v>
      </c>
      <c r="Q3" s="641"/>
      <c r="R3" s="641"/>
      <c r="S3" s="641"/>
      <c r="T3" s="641"/>
      <c r="U3" s="3018"/>
      <c r="V3" s="641"/>
      <c r="W3" s="641"/>
      <c r="X3" s="641"/>
      <c r="Y3" s="641"/>
      <c r="Z3" s="641"/>
      <c r="AA3" s="641"/>
    </row>
    <row r="4" spans="1:27" ht="30" customHeight="1">
      <c r="A4" s="639"/>
      <c r="B4" s="643" t="s">
        <v>2992</v>
      </c>
      <c r="C4" s="641"/>
      <c r="D4" s="641"/>
      <c r="E4" s="641"/>
      <c r="F4" s="641"/>
      <c r="G4" s="641"/>
      <c r="H4" s="641"/>
      <c r="I4" s="641"/>
      <c r="J4" s="641"/>
      <c r="K4" s="641"/>
      <c r="L4" s="641"/>
      <c r="M4" s="641"/>
      <c r="N4" s="641"/>
      <c r="O4" s="641"/>
      <c r="P4" s="3018" t="s">
        <v>714</v>
      </c>
      <c r="Q4" s="641"/>
      <c r="R4" s="641"/>
      <c r="S4" s="641"/>
      <c r="T4" s="641"/>
      <c r="U4" s="3018"/>
      <c r="V4" s="641"/>
      <c r="W4" s="641"/>
      <c r="X4" s="641"/>
      <c r="Y4" s="641"/>
      <c r="Z4" s="641"/>
      <c r="AA4" s="641"/>
    </row>
    <row r="5" spans="1:27" ht="30" customHeight="1">
      <c r="A5" s="639"/>
      <c r="B5" s="641"/>
      <c r="C5" s="641"/>
      <c r="D5" s="641"/>
      <c r="E5" s="641"/>
      <c r="F5" s="641"/>
      <c r="G5" s="641"/>
      <c r="H5" s="641"/>
      <c r="I5" s="641"/>
      <c r="J5" s="641"/>
      <c r="K5" s="641"/>
      <c r="L5" s="641"/>
      <c r="M5" s="641"/>
      <c r="N5" s="641"/>
      <c r="O5" s="641"/>
      <c r="P5" s="641"/>
      <c r="Q5" s="641"/>
      <c r="R5" s="641"/>
      <c r="S5" s="641"/>
      <c r="T5" s="641"/>
      <c r="U5" s="641"/>
      <c r="V5" s="641"/>
      <c r="W5" s="641"/>
      <c r="X5" s="641"/>
      <c r="Y5" s="641"/>
      <c r="Z5" s="641"/>
      <c r="AA5" s="641"/>
    </row>
    <row r="6" spans="1:27" s="2128" customFormat="1" ht="40.5" customHeight="1">
      <c r="A6" s="2125"/>
      <c r="B6" s="2129"/>
      <c r="C6" s="3019" t="s">
        <v>2993</v>
      </c>
      <c r="D6" s="2126"/>
      <c r="E6" s="2126"/>
      <c r="F6" s="2126"/>
      <c r="G6" s="2126"/>
      <c r="H6" s="2126"/>
      <c r="I6" s="2126"/>
      <c r="J6" s="2126"/>
      <c r="K6" s="2126"/>
      <c r="L6" s="2126"/>
      <c r="M6" s="3017"/>
      <c r="N6" s="2126"/>
      <c r="O6" s="2126"/>
      <c r="P6" s="2126"/>
      <c r="Q6" s="2126"/>
      <c r="R6" s="2126"/>
      <c r="S6" s="2126"/>
      <c r="T6" s="2126"/>
      <c r="U6" s="2126"/>
      <c r="V6" s="2126"/>
      <c r="W6" s="2126"/>
      <c r="X6" s="2126"/>
      <c r="Y6" s="2126"/>
      <c r="Z6" s="2126"/>
      <c r="AA6" s="2126"/>
    </row>
    <row r="7" spans="1:27" s="2128" customFormat="1" ht="40.5" customHeight="1">
      <c r="A7" s="2125"/>
      <c r="B7" s="2129"/>
      <c r="C7" s="2105"/>
      <c r="D7" s="2126"/>
      <c r="E7" s="3020" t="s">
        <v>2994</v>
      </c>
      <c r="F7" s="2126"/>
      <c r="G7" s="3021" t="s">
        <v>2995</v>
      </c>
      <c r="H7" s="2126"/>
      <c r="I7" s="2126"/>
      <c r="J7" s="2126"/>
      <c r="K7" s="2126"/>
      <c r="L7" s="3020" t="s">
        <v>2994</v>
      </c>
      <c r="M7" s="2126"/>
      <c r="N7" s="3021" t="s">
        <v>2995</v>
      </c>
      <c r="O7" s="2126"/>
      <c r="P7" s="2126"/>
      <c r="Q7" s="2126"/>
      <c r="R7" s="4321"/>
      <c r="S7" s="2126"/>
      <c r="T7" s="2126"/>
      <c r="U7" s="2126"/>
      <c r="V7" s="2126"/>
      <c r="W7" s="2126"/>
      <c r="X7" s="2126"/>
      <c r="Y7" s="2126"/>
      <c r="Z7" s="2126"/>
      <c r="AA7" s="2126"/>
    </row>
    <row r="8" spans="1:27" s="2128" customFormat="1" ht="40.5" customHeight="1">
      <c r="A8" s="2125"/>
      <c r="B8" s="2129"/>
      <c r="C8" s="3002"/>
      <c r="D8" s="3022" t="s">
        <v>596</v>
      </c>
      <c r="E8" s="3023">
        <f>COLUMN()</f>
        <v>5</v>
      </c>
      <c r="F8" s="2126"/>
      <c r="G8" s="3024" t="str">
        <f ca="1">_xlfn.FORMULATEXT(E8)</f>
        <v>=COLONNE()</v>
      </c>
      <c r="H8" s="3025"/>
      <c r="I8" s="2126"/>
      <c r="J8" s="3022"/>
      <c r="K8" s="3022" t="s">
        <v>595</v>
      </c>
      <c r="L8" s="3014" t="str">
        <f>ADDRESS(ROW(),COLUMN(),4)</f>
        <v>L8</v>
      </c>
      <c r="M8" s="2126"/>
      <c r="N8" s="3024" t="str">
        <f ca="1">_xlfn.FORMULATEXT(L8)</f>
        <v>=ADRESSE(LIGNE();COLONNE();4)</v>
      </c>
      <c r="O8" s="2126"/>
      <c r="P8" s="2126"/>
      <c r="Q8" s="2126"/>
      <c r="R8" s="3025"/>
      <c r="S8" s="3025"/>
      <c r="T8" s="3025"/>
      <c r="U8" s="2126"/>
      <c r="V8" s="2126"/>
      <c r="W8" s="2126"/>
      <c r="X8" s="2126"/>
      <c r="Y8" s="2126"/>
      <c r="Z8" s="2126"/>
      <c r="AA8" s="2126"/>
    </row>
    <row r="9" spans="1:27" s="2128" customFormat="1" ht="40.5" customHeight="1">
      <c r="A9" s="2125"/>
      <c r="B9" s="2129"/>
      <c r="C9" s="2126"/>
      <c r="D9" s="2126"/>
      <c r="E9" s="3020" t="s">
        <v>2994</v>
      </c>
      <c r="F9" s="2126"/>
      <c r="G9" s="3021" t="s">
        <v>2995</v>
      </c>
      <c r="H9" s="2126"/>
      <c r="I9" s="2126"/>
      <c r="J9" s="3017"/>
      <c r="K9" s="2126"/>
      <c r="L9" s="3020" t="s">
        <v>2994</v>
      </c>
      <c r="M9" s="2126"/>
      <c r="N9" s="3021" t="s">
        <v>2995</v>
      </c>
      <c r="O9" s="2126"/>
      <c r="P9" s="2126"/>
      <c r="Q9" s="2126"/>
      <c r="R9" s="2126"/>
      <c r="S9" s="2126"/>
      <c r="T9" s="2126"/>
      <c r="U9" s="2126"/>
      <c r="V9" s="2126"/>
      <c r="W9" s="2126"/>
      <c r="X9" s="2126"/>
      <c r="Y9" s="2126"/>
      <c r="Z9" s="2126"/>
      <c r="AA9" s="2126"/>
    </row>
    <row r="10" spans="1:27" s="2128" customFormat="1" ht="40.5" customHeight="1">
      <c r="A10" s="2125"/>
      <c r="B10" s="2129"/>
      <c r="C10" s="3002"/>
      <c r="D10" s="3022" t="s">
        <v>591</v>
      </c>
      <c r="E10" s="3026">
        <f>ROW()</f>
        <v>10</v>
      </c>
      <c r="F10" s="2126"/>
      <c r="G10" s="3024" t="str">
        <f ca="1">_xlfn.FORMULATEXT(E10)</f>
        <v>=LIGNE()</v>
      </c>
      <c r="H10" s="3025"/>
      <c r="I10" s="2126"/>
      <c r="J10" s="3002"/>
      <c r="K10" s="3022" t="s">
        <v>427</v>
      </c>
      <c r="L10" s="3016">
        <f t="shared" ref="L10" ca="1" si="1">CELL("largeur",L10)</f>
        <v>13</v>
      </c>
      <c r="M10" s="2126"/>
      <c r="N10" s="3024" t="str">
        <f ca="1">_xlfn.FORMULATEXT(L10)</f>
        <v>=@CELLULE("largeur";L10)</v>
      </c>
      <c r="O10" s="2126"/>
      <c r="P10" s="2126"/>
      <c r="Q10" s="2126"/>
      <c r="R10" s="3025"/>
      <c r="S10" s="3025"/>
      <c r="T10" s="3025"/>
      <c r="U10" s="2126"/>
      <c r="V10" s="2126"/>
      <c r="W10" s="2126"/>
      <c r="X10" s="2126"/>
      <c r="Y10" s="2126"/>
      <c r="Z10" s="2126"/>
      <c r="AA10" s="2126"/>
    </row>
    <row r="11" spans="1:27" s="2128" customFormat="1" ht="40.5" customHeight="1">
      <c r="A11" s="2125"/>
      <c r="B11" s="2129"/>
      <c r="C11" s="2126"/>
      <c r="D11" s="2126"/>
      <c r="E11" s="3020" t="s">
        <v>2994</v>
      </c>
      <c r="F11" s="2126"/>
      <c r="G11" s="3021" t="s">
        <v>2995</v>
      </c>
      <c r="H11" s="2126"/>
      <c r="I11" s="2126"/>
      <c r="J11" s="2126"/>
      <c r="K11" s="2126"/>
      <c r="L11" s="2126"/>
      <c r="M11" s="3017"/>
      <c r="N11" s="2126"/>
      <c r="O11" s="2126"/>
      <c r="P11" s="2126"/>
      <c r="Q11" s="2126"/>
      <c r="R11" s="2126"/>
      <c r="S11" s="2126"/>
      <c r="T11" s="2126"/>
      <c r="U11" s="2126"/>
      <c r="V11" s="2126"/>
      <c r="W11" s="2126"/>
      <c r="X11" s="2126"/>
      <c r="Y11" s="2126"/>
      <c r="Z11" s="2126"/>
      <c r="AA11" s="2126"/>
    </row>
    <row r="12" spans="1:27" s="2128" customFormat="1" ht="40.5" customHeight="1">
      <c r="A12" s="2125"/>
      <c r="B12" s="2129"/>
      <c r="C12" s="3022"/>
      <c r="D12" s="3022" t="s">
        <v>2996</v>
      </c>
      <c r="E12" s="3027" t="str">
        <f>LEFT(ADDRESS(1,COLUMN(),4),LEN(ADDRESS(1,COLUMN(),4))-1)</f>
        <v>E</v>
      </c>
      <c r="F12" s="2126"/>
      <c r="G12" s="3024" t="str">
        <f ca="1">_xlfn.FORMULATEXT(E12)</f>
        <v>=GAUCHE(ADRESSE(1;COLONNE();4);NBCAR(ADRESSE(1;COLONNE();4))-1)</v>
      </c>
      <c r="H12" s="3024"/>
      <c r="I12" s="3024"/>
      <c r="J12" s="3024"/>
      <c r="K12" s="3024"/>
      <c r="L12" s="3024"/>
      <c r="M12" s="3024"/>
      <c r="N12" s="3024"/>
      <c r="O12" s="3024"/>
      <c r="P12" s="2126"/>
      <c r="Q12" s="2126"/>
      <c r="R12" s="2126"/>
      <c r="S12" s="2126"/>
      <c r="T12" s="2126"/>
      <c r="U12" s="2126"/>
      <c r="V12" s="2126"/>
      <c r="W12" s="2126"/>
      <c r="X12" s="2126"/>
      <c r="Y12" s="2126"/>
      <c r="Z12" s="2126"/>
      <c r="AA12" s="2126"/>
    </row>
    <row r="13" spans="1:27" s="3033" customFormat="1" ht="40.5" customHeight="1">
      <c r="A13" s="3028"/>
      <c r="B13" s="3029"/>
      <c r="C13" s="3030"/>
      <c r="D13" s="3028"/>
      <c r="E13" s="3030"/>
      <c r="F13" s="3028"/>
      <c r="G13" s="3028"/>
      <c r="H13" s="3017"/>
      <c r="I13" s="3017"/>
      <c r="J13" s="3017"/>
      <c r="K13" s="3031"/>
      <c r="L13" s="3032" t="str">
        <f ca="1">"Page "&amp;_xlfn.SHEET()&amp;" sur "&amp;_xlfn.SHEETS()</f>
        <v>Page 28 sur 37</v>
      </c>
      <c r="M13" s="3017"/>
      <c r="N13" s="3024" t="s">
        <v>2997</v>
      </c>
      <c r="O13" s="2302"/>
      <c r="P13" s="2302"/>
      <c r="Q13" s="2302"/>
      <c r="R13" s="2302"/>
      <c r="S13" s="2302"/>
      <c r="T13" s="2302"/>
      <c r="U13" s="2302"/>
      <c r="V13" s="2302"/>
      <c r="W13" s="2302"/>
      <c r="X13" s="2302"/>
      <c r="Y13" s="2130"/>
      <c r="Z13" s="2302"/>
      <c r="AA13" s="2130"/>
    </row>
    <row r="14" spans="1:27" s="2128" customFormat="1" ht="40.5" customHeight="1">
      <c r="A14" s="2125"/>
      <c r="B14" s="2129"/>
      <c r="C14" s="3009"/>
      <c r="D14" s="2125"/>
      <c r="E14" s="3009"/>
      <c r="F14" s="3020" t="s">
        <v>2994</v>
      </c>
      <c r="G14" s="2125"/>
      <c r="H14" s="2125"/>
      <c r="I14" s="2125"/>
      <c r="J14" s="2125"/>
      <c r="K14" s="2125"/>
      <c r="L14" s="3017"/>
      <c r="M14" s="3017"/>
      <c r="N14" s="2126"/>
      <c r="O14" s="2126"/>
      <c r="P14" s="2126"/>
      <c r="Q14" s="2126"/>
      <c r="R14" s="2126"/>
      <c r="S14" s="2126"/>
      <c r="T14" s="2126"/>
      <c r="U14" s="2126"/>
      <c r="V14" s="2126"/>
      <c r="W14" s="2126"/>
      <c r="X14" s="2126"/>
      <c r="Y14" s="2126"/>
      <c r="Z14" s="2997"/>
      <c r="AA14" s="2997"/>
    </row>
    <row r="15" spans="1:27" s="2128" customFormat="1" ht="40.5" customHeight="1">
      <c r="A15" s="2125"/>
      <c r="B15" s="2129"/>
      <c r="C15" s="3034" t="s">
        <v>2998</v>
      </c>
      <c r="D15" s="3025"/>
      <c r="E15" s="3025"/>
      <c r="F15" s="3035" t="str">
        <f ca="1">CELL("nomfichier")</f>
        <v>D:\Données\Copie_ancien_DD\0-UPRT.fait\1-UPRT.FR-SITE-WEB\ff-fiches-fabrications\ff-fiches-fabrication-maj-08-2020\[ff-22-formats-formules-pourcentages.xlsx]Epurer.un.texte</v>
      </c>
      <c r="G15" s="3036"/>
      <c r="H15" s="3036"/>
      <c r="I15" s="3036"/>
      <c r="J15" s="3036"/>
      <c r="K15" s="3036"/>
      <c r="L15" s="3037"/>
      <c r="M15" s="3037"/>
      <c r="N15" s="3038"/>
      <c r="O15" s="3038"/>
      <c r="P15" s="3038"/>
      <c r="Q15" s="3038"/>
      <c r="R15" s="3038"/>
      <c r="S15" s="3038"/>
      <c r="T15" s="3038"/>
      <c r="U15" s="3038"/>
      <c r="V15" s="3038"/>
      <c r="W15" s="3038"/>
      <c r="X15" s="3038"/>
      <c r="Y15" s="2126"/>
      <c r="Z15" s="2126"/>
      <c r="AA15" s="2126"/>
    </row>
    <row r="16" spans="1:27" s="2128" customFormat="1" ht="40.5" customHeight="1">
      <c r="A16" s="2125"/>
      <c r="B16" s="2129"/>
      <c r="C16" s="2125"/>
      <c r="D16" s="2125"/>
      <c r="E16" s="2125"/>
      <c r="F16" s="3024" t="str">
        <f ca="1">_xlfn.FORMULATEXT(F15)</f>
        <v>=@CELLULE("nomfichier")</v>
      </c>
      <c r="G16" s="3024"/>
      <c r="H16" s="3024"/>
      <c r="I16" s="3024"/>
      <c r="J16" s="2125"/>
      <c r="K16" s="2125"/>
      <c r="L16" s="3017"/>
      <c r="M16" s="3017"/>
      <c r="N16" s="2126"/>
      <c r="O16" s="2126"/>
      <c r="P16" s="2126"/>
      <c r="Q16" s="2126"/>
      <c r="R16" s="2126"/>
      <c r="S16" s="2126"/>
      <c r="T16" s="2126"/>
      <c r="U16" s="2126"/>
      <c r="V16" s="2126"/>
      <c r="W16" s="2126"/>
      <c r="X16" s="2126"/>
      <c r="Y16" s="2126"/>
      <c r="Z16" s="2126"/>
      <c r="AA16" s="2126"/>
    </row>
    <row r="17" spans="1:27" s="3033" customFormat="1" ht="40.5" customHeight="1">
      <c r="A17" s="3028"/>
      <c r="B17" s="3029"/>
      <c r="C17" s="3030"/>
      <c r="D17" s="3028"/>
      <c r="E17" s="3030"/>
      <c r="F17" s="3039" t="s">
        <v>2995</v>
      </c>
      <c r="G17" s="3028"/>
      <c r="H17" s="3017"/>
      <c r="I17" s="3017"/>
      <c r="J17" s="3017"/>
      <c r="K17" s="3017"/>
      <c r="L17" s="3017"/>
      <c r="M17" s="3017"/>
      <c r="N17" s="2302"/>
      <c r="O17" s="2302"/>
      <c r="P17" s="2302"/>
      <c r="Q17" s="2302"/>
      <c r="R17" s="2302"/>
      <c r="S17" s="2302"/>
      <c r="T17" s="2302"/>
      <c r="U17" s="2302"/>
      <c r="V17" s="2302"/>
      <c r="W17" s="2302"/>
      <c r="X17" s="2302"/>
      <c r="Y17" s="2130"/>
      <c r="Z17" s="2302"/>
      <c r="AA17" s="2130"/>
    </row>
    <row r="18" spans="1:27" s="3033" customFormat="1" ht="40.5" customHeight="1">
      <c r="A18" s="3028"/>
      <c r="B18" s="3029"/>
      <c r="C18" s="3030"/>
      <c r="D18" s="3028"/>
      <c r="E18" s="3030"/>
      <c r="F18" s="3028"/>
      <c r="G18" s="3028"/>
      <c r="H18" s="3017"/>
      <c r="I18" s="3017"/>
      <c r="J18" s="3017"/>
      <c r="K18" s="3017"/>
      <c r="L18" s="3017"/>
      <c r="M18" s="3017"/>
      <c r="N18" s="2302"/>
      <c r="O18" s="2302"/>
      <c r="P18" s="2302"/>
      <c r="Q18" s="2302"/>
      <c r="R18" s="2302"/>
      <c r="S18" s="2302"/>
      <c r="T18" s="2302"/>
      <c r="U18" s="2302"/>
      <c r="V18" s="2302"/>
      <c r="W18" s="2302"/>
      <c r="X18" s="2302"/>
      <c r="Y18" s="2130"/>
      <c r="Z18" s="2302"/>
      <c r="AA18" s="2130"/>
    </row>
    <row r="19" spans="1:27" s="2127" customFormat="1" ht="53.25" customHeight="1">
      <c r="A19" s="3040"/>
      <c r="B19" s="3041"/>
      <c r="C19" s="3042"/>
      <c r="D19" s="3043"/>
      <c r="E19" s="3043"/>
      <c r="F19" s="3044"/>
      <c r="G19" s="3044"/>
      <c r="H19" s="3044"/>
      <c r="I19" s="3044"/>
      <c r="J19" s="3045"/>
      <c r="K19" s="3042"/>
      <c r="L19" s="3042"/>
      <c r="M19" s="3042"/>
      <c r="N19" s="3042"/>
      <c r="O19" s="3042"/>
      <c r="P19" s="3042"/>
      <c r="Q19" s="3042"/>
      <c r="R19" s="3042"/>
      <c r="S19" s="3042"/>
      <c r="T19" s="3042"/>
      <c r="U19" s="3042"/>
      <c r="V19" s="3042"/>
      <c r="W19" s="3042"/>
      <c r="X19" s="3042"/>
      <c r="Y19" s="3042"/>
      <c r="Z19" s="3042"/>
      <c r="AA19" s="3042"/>
    </row>
    <row r="20" spans="1:27" s="2127" customFormat="1" ht="24.95" customHeight="1">
      <c r="A20" s="2125"/>
      <c r="B20" s="6416" t="s">
        <v>2999</v>
      </c>
      <c r="C20" s="6416"/>
      <c r="D20" s="6416"/>
      <c r="E20" s="6416"/>
      <c r="F20" s="6416"/>
      <c r="G20" s="6416"/>
      <c r="H20" s="6416"/>
      <c r="I20" s="6416"/>
      <c r="J20" s="6416"/>
      <c r="K20" s="6416"/>
      <c r="L20" s="6416"/>
      <c r="M20" s="6416"/>
      <c r="N20" s="6416"/>
      <c r="O20" s="6416"/>
      <c r="P20" s="3046"/>
      <c r="Q20" s="2126"/>
      <c r="R20" s="2126"/>
      <c r="S20" s="2126"/>
      <c r="T20" s="2126"/>
      <c r="U20" s="2126"/>
      <c r="V20" s="2126"/>
      <c r="W20" s="2126"/>
      <c r="X20" s="2126"/>
      <c r="Y20" s="2126"/>
      <c r="Z20" s="2126"/>
      <c r="AA20" s="2126"/>
    </row>
    <row r="21" spans="1:27" s="2128" customFormat="1" ht="24.95" customHeight="1">
      <c r="A21" s="2125"/>
      <c r="B21" s="6416"/>
      <c r="C21" s="6416"/>
      <c r="D21" s="6416"/>
      <c r="E21" s="6416"/>
      <c r="F21" s="6416"/>
      <c r="G21" s="6416"/>
      <c r="H21" s="6416"/>
      <c r="I21" s="6416"/>
      <c r="J21" s="6416"/>
      <c r="K21" s="6416"/>
      <c r="L21" s="6416"/>
      <c r="M21" s="6416"/>
      <c r="N21" s="6416"/>
      <c r="O21" s="6416"/>
      <c r="P21" s="3046"/>
      <c r="Q21" s="2126"/>
      <c r="R21" s="2126"/>
      <c r="S21" s="2126"/>
      <c r="T21" s="2126"/>
      <c r="U21" s="2126"/>
      <c r="V21" s="2126"/>
      <c r="W21" s="2126"/>
      <c r="X21" s="2126"/>
      <c r="Y21" s="2126"/>
      <c r="Z21" s="2126"/>
      <c r="AA21" s="2126"/>
    </row>
    <row r="22" spans="1:27" s="2127" customFormat="1" ht="24.95" customHeight="1">
      <c r="A22" s="2299"/>
      <c r="B22" s="6416"/>
      <c r="C22" s="6416"/>
      <c r="D22" s="6416"/>
      <c r="E22" s="6416"/>
      <c r="F22" s="6416"/>
      <c r="G22" s="6416"/>
      <c r="H22" s="6416"/>
      <c r="I22" s="6416"/>
      <c r="J22" s="6416"/>
      <c r="K22" s="6416"/>
      <c r="L22" s="6416"/>
      <c r="M22" s="6416"/>
      <c r="N22" s="6416"/>
      <c r="O22" s="6416"/>
      <c r="P22" s="2300"/>
      <c r="Q22" s="2126"/>
      <c r="R22" s="2126"/>
      <c r="S22" s="2126"/>
      <c r="T22" s="2126"/>
      <c r="U22" s="2126"/>
      <c r="V22" s="2126"/>
      <c r="W22" s="2126"/>
      <c r="X22" s="2126"/>
      <c r="Y22" s="2126"/>
      <c r="Z22" s="2126"/>
      <c r="AA22" s="2126"/>
    </row>
    <row r="23" spans="1:27" s="2127" customFormat="1" ht="24.95" customHeight="1">
      <c r="A23" s="2299"/>
      <c r="B23" s="6416"/>
      <c r="C23" s="6416"/>
      <c r="D23" s="6416"/>
      <c r="E23" s="6416"/>
      <c r="F23" s="6416"/>
      <c r="G23" s="6416"/>
      <c r="H23" s="6416"/>
      <c r="I23" s="6416"/>
      <c r="J23" s="6416"/>
      <c r="K23" s="6416"/>
      <c r="L23" s="6416"/>
      <c r="M23" s="6416"/>
      <c r="N23" s="6416"/>
      <c r="O23" s="6416"/>
      <c r="P23" s="2300"/>
      <c r="Q23" s="2126"/>
      <c r="R23" s="2126"/>
      <c r="S23" s="2126"/>
      <c r="T23" s="2126"/>
      <c r="U23" s="2126"/>
      <c r="V23" s="2126"/>
      <c r="W23" s="2126"/>
      <c r="X23" s="2126"/>
      <c r="Y23" s="2126"/>
      <c r="Z23" s="2126"/>
      <c r="AA23" s="2126"/>
    </row>
    <row r="24" spans="1:27" s="2127" customFormat="1" ht="24.95" customHeight="1">
      <c r="A24" s="2299"/>
      <c r="B24" s="2300"/>
      <c r="C24" s="2300"/>
      <c r="D24" s="3047"/>
      <c r="E24" s="3048"/>
      <c r="F24" s="3047"/>
      <c r="G24" s="3047"/>
      <c r="H24" s="3047"/>
      <c r="I24" s="3047"/>
      <c r="J24" s="3049"/>
      <c r="K24" s="2300"/>
      <c r="L24" s="2300"/>
      <c r="M24" s="2300"/>
      <c r="N24" s="2300"/>
      <c r="O24" s="2300"/>
      <c r="P24" s="2300"/>
      <c r="Q24" s="2126"/>
      <c r="R24" s="2126"/>
      <c r="S24" s="2126"/>
      <c r="T24" s="2126"/>
      <c r="U24" s="2126"/>
      <c r="V24" s="2126"/>
      <c r="W24" s="2126"/>
      <c r="X24" s="2126"/>
      <c r="Y24" s="2126"/>
      <c r="Z24" s="2126"/>
      <c r="AA24" s="2126"/>
    </row>
    <row r="25" spans="1:27" s="2127" customFormat="1" ht="24.95" customHeight="1">
      <c r="A25" s="2299"/>
      <c r="B25" s="2300"/>
      <c r="C25" s="3050" t="s">
        <v>983</v>
      </c>
      <c r="D25" s="3047"/>
      <c r="E25" s="3048"/>
      <c r="F25" s="3047"/>
      <c r="G25" s="3047"/>
      <c r="H25" s="3047"/>
      <c r="I25" s="3047"/>
      <c r="J25" s="3049"/>
      <c r="K25" s="2300"/>
      <c r="L25" s="2300"/>
      <c r="M25" s="2300"/>
      <c r="N25" s="2300"/>
      <c r="O25" s="2300"/>
      <c r="P25" s="2300"/>
      <c r="Q25" s="2126"/>
      <c r="R25" s="2126"/>
      <c r="S25" s="2126"/>
      <c r="T25" s="2126"/>
      <c r="U25" s="2126"/>
      <c r="V25" s="2126"/>
      <c r="W25" s="2126"/>
      <c r="X25" s="2126"/>
      <c r="Y25" s="2126"/>
      <c r="Z25" s="2126"/>
      <c r="AA25" s="2126"/>
    </row>
    <row r="26" spans="1:27" s="2127" customFormat="1" ht="24.95" customHeight="1">
      <c r="A26" s="2299"/>
      <c r="B26" s="2300"/>
      <c r="C26" s="3051" t="s">
        <v>984</v>
      </c>
      <c r="D26" s="3047"/>
      <c r="E26" s="3048"/>
      <c r="F26" s="3047"/>
      <c r="G26" s="3047"/>
      <c r="H26" s="3047"/>
      <c r="I26" s="3047"/>
      <c r="J26" s="3049"/>
      <c r="K26" s="2300"/>
      <c r="L26" s="2300"/>
      <c r="M26" s="2300"/>
      <c r="N26" s="2300"/>
      <c r="O26" s="2300"/>
      <c r="P26" s="2300"/>
      <c r="Q26" s="2126"/>
      <c r="R26" s="2126"/>
      <c r="S26" s="2126"/>
      <c r="T26" s="2126"/>
      <c r="U26" s="2126"/>
      <c r="V26" s="2126"/>
      <c r="W26" s="2126"/>
      <c r="X26" s="2126"/>
      <c r="Y26" s="2126"/>
      <c r="Z26" s="2126"/>
      <c r="AA26" s="2126"/>
    </row>
    <row r="27" spans="1:27" s="2127" customFormat="1" ht="24.95" customHeight="1">
      <c r="A27" s="2299"/>
      <c r="B27" s="2300"/>
      <c r="C27" s="2300"/>
      <c r="D27" s="3047"/>
      <c r="E27" s="3048"/>
      <c r="F27" s="3047"/>
      <c r="G27" s="3047"/>
      <c r="H27" s="3047"/>
      <c r="I27" s="3047"/>
      <c r="J27" s="3049"/>
      <c r="K27" s="2300"/>
      <c r="L27" s="2300"/>
      <c r="M27" s="2300"/>
      <c r="N27" s="2300"/>
      <c r="O27" s="2300"/>
      <c r="P27" s="2300"/>
      <c r="Q27" s="2126"/>
      <c r="R27" s="2126"/>
      <c r="S27" s="2126"/>
      <c r="T27" s="2126"/>
      <c r="U27" s="2126"/>
      <c r="V27" s="2126"/>
      <c r="W27" s="2126"/>
      <c r="X27" s="2126"/>
      <c r="Y27" s="2126"/>
      <c r="Z27" s="2126"/>
      <c r="AA27" s="2126"/>
    </row>
    <row r="28" spans="1:27" s="2127" customFormat="1" ht="24.95" customHeight="1">
      <c r="A28" s="2299"/>
      <c r="B28" s="2300"/>
      <c r="C28" s="3052" t="s">
        <v>980</v>
      </c>
      <c r="D28" s="3053" t="s">
        <v>365</v>
      </c>
      <c r="E28" s="2297" t="s">
        <v>981</v>
      </c>
      <c r="F28" s="2298"/>
      <c r="G28" s="2298"/>
      <c r="H28" s="2298"/>
      <c r="I28" s="2298"/>
      <c r="J28" s="2298"/>
      <c r="K28" s="2298"/>
      <c r="L28" s="2300"/>
      <c r="M28" s="2300"/>
      <c r="N28" s="2300"/>
      <c r="O28" s="2300"/>
      <c r="P28" s="2300"/>
      <c r="Q28" s="2126"/>
      <c r="R28" s="3054"/>
      <c r="S28" s="2126"/>
      <c r="T28" s="2126"/>
      <c r="U28" s="2126"/>
      <c r="V28" s="2126"/>
      <c r="W28" s="2126"/>
      <c r="X28" s="2126"/>
      <c r="Y28" s="2126"/>
      <c r="Z28" s="2126"/>
      <c r="AA28" s="2126"/>
    </row>
    <row r="29" spans="1:27" s="2127" customFormat="1" ht="24.95" customHeight="1">
      <c r="A29" s="2299"/>
      <c r="B29" s="2300"/>
      <c r="C29" s="2299"/>
      <c r="D29" s="2299"/>
      <c r="E29" s="2299"/>
      <c r="F29" s="2299"/>
      <c r="G29" s="2299"/>
      <c r="H29" s="2299"/>
      <c r="I29" s="2299"/>
      <c r="J29" s="2299"/>
      <c r="K29" s="2299"/>
      <c r="L29" s="2299"/>
      <c r="M29" s="2299"/>
      <c r="N29" s="2299"/>
      <c r="O29" s="2300"/>
      <c r="P29" s="2300"/>
      <c r="Q29" s="2126"/>
      <c r="R29" s="3054"/>
      <c r="S29" s="2126"/>
      <c r="T29" s="2126"/>
      <c r="U29" s="2126"/>
      <c r="V29" s="2126"/>
      <c r="W29" s="2126"/>
      <c r="X29" s="2126"/>
      <c r="Y29" s="2126"/>
      <c r="Z29" s="2126"/>
      <c r="AA29" s="2126"/>
    </row>
    <row r="30" spans="1:27" s="2127" customFormat="1" ht="24.95" customHeight="1" thickBot="1">
      <c r="A30" s="2301"/>
      <c r="B30" s="2301"/>
      <c r="C30" s="2301"/>
      <c r="D30" s="2301"/>
      <c r="E30" s="2301"/>
      <c r="F30" s="2301"/>
      <c r="G30" s="2301"/>
      <c r="H30" s="2301"/>
      <c r="I30" s="2301"/>
      <c r="J30" s="2301"/>
      <c r="K30" s="2301"/>
      <c r="L30" s="2301"/>
      <c r="M30" s="2301"/>
      <c r="N30" s="2301"/>
      <c r="O30" s="2301"/>
      <c r="P30" s="2301"/>
      <c r="Q30" s="2301"/>
      <c r="R30" s="2301"/>
      <c r="S30" s="2301"/>
      <c r="T30" s="2301"/>
      <c r="U30" s="2301"/>
      <c r="V30" s="2301"/>
      <c r="W30" s="2301"/>
      <c r="X30" s="2301"/>
      <c r="Y30" s="2301"/>
      <c r="Z30" s="2301"/>
      <c r="AA30" s="2301"/>
    </row>
    <row r="31" spans="1:27" s="2127" customFormat="1" ht="24.95" customHeight="1">
      <c r="A31" s="2299"/>
      <c r="B31" s="3055"/>
      <c r="C31" s="3056"/>
      <c r="D31" s="3057"/>
      <c r="E31" s="3057"/>
      <c r="F31" s="3057"/>
      <c r="G31" s="3057"/>
      <c r="H31" s="3057"/>
      <c r="I31" s="3057"/>
      <c r="J31" s="3058"/>
      <c r="K31" s="3056"/>
      <c r="L31" s="3056"/>
      <c r="M31" s="3056"/>
      <c r="N31" s="3059"/>
      <c r="O31" s="2301"/>
      <c r="P31" s="2301"/>
      <c r="Q31" s="6417" t="s">
        <v>3000</v>
      </c>
      <c r="R31" s="6417"/>
      <c r="S31" s="6417"/>
      <c r="T31" s="6417"/>
      <c r="U31" s="6417"/>
      <c r="V31" s="6417"/>
      <c r="W31" s="6417"/>
      <c r="X31" s="6417"/>
      <c r="Y31" s="6417"/>
      <c r="Z31" s="6417"/>
      <c r="AA31" s="6417"/>
    </row>
    <row r="32" spans="1:27" s="2127" customFormat="1" ht="24.95" customHeight="1">
      <c r="A32" s="2299"/>
      <c r="B32" s="3060" t="s">
        <v>3001</v>
      </c>
      <c r="C32" s="3061" t="s">
        <v>3002</v>
      </c>
      <c r="D32" s="3062"/>
      <c r="E32" s="3062"/>
      <c r="F32" s="3062"/>
      <c r="G32" s="3062"/>
      <c r="H32" s="3062"/>
      <c r="I32" s="3062"/>
      <c r="J32" s="3063"/>
      <c r="K32" s="3064"/>
      <c r="L32" s="3064"/>
      <c r="M32" s="3064"/>
      <c r="N32" s="3065"/>
      <c r="O32" s="2301"/>
      <c r="P32" s="2301"/>
      <c r="Q32" s="6418"/>
      <c r="R32" s="6418"/>
      <c r="S32" s="6418"/>
      <c r="T32" s="6418"/>
      <c r="U32" s="6418"/>
      <c r="V32" s="6418"/>
      <c r="W32" s="6418"/>
      <c r="X32" s="6418"/>
      <c r="Y32" s="6418"/>
      <c r="Z32" s="6418"/>
      <c r="AA32" s="6418"/>
    </row>
    <row r="33" spans="1:27" s="2127" customFormat="1" ht="24.95" customHeight="1" thickBot="1">
      <c r="A33" s="2299"/>
      <c r="B33" s="3060"/>
      <c r="C33" s="3066" t="str">
        <f ca="1">MID(LEFT(CELL("filename",A1),FIND("[",CELL("filename",A1))-2),SEARCH("µ",SUBSTITUTE(LEFT(CELL("filename",A1),FIND("[",CELL("filename",A1))-2),"\","µ",LEN(LEFT(CELL("filename",A1),FIND("[",CELL("filename",A1))-2))-LEN(SUBSTITUTE(LEFT(CELL("filename",A1),FIND("[",CELL("filename",A1))-2),"\",""))))+1,100)</f>
        <v>ff-fiches-fabrication-maj-08-2020</v>
      </c>
      <c r="D33" s="3067"/>
      <c r="E33" s="3067"/>
      <c r="F33" s="3067"/>
      <c r="G33" s="3067"/>
      <c r="H33" s="3067"/>
      <c r="I33" s="3067"/>
      <c r="J33" s="3068"/>
      <c r="K33" s="3068"/>
      <c r="L33" s="2315"/>
      <c r="M33" s="2315"/>
      <c r="N33" s="3069"/>
      <c r="O33" s="2315"/>
      <c r="P33" s="2301"/>
      <c r="Q33" s="6419" t="s">
        <v>399</v>
      </c>
      <c r="R33" s="6420"/>
      <c r="S33" s="6420"/>
      <c r="T33" s="6420"/>
      <c r="U33" s="3070"/>
      <c r="V33" s="3071"/>
      <c r="W33" s="3071"/>
      <c r="X33" s="6421" t="s">
        <v>42</v>
      </c>
      <c r="Y33" s="6423" t="s">
        <v>402</v>
      </c>
      <c r="Z33" s="6423" t="s">
        <v>401</v>
      </c>
      <c r="AA33" s="6425" t="s">
        <v>282</v>
      </c>
    </row>
    <row r="34" spans="1:27" s="2127" customFormat="1" ht="24.95" customHeight="1">
      <c r="A34" s="2299"/>
      <c r="B34" s="3060">
        <f>ROW()</f>
        <v>34</v>
      </c>
      <c r="C34" s="3072"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3072"/>
      <c r="E34" s="3072"/>
      <c r="F34" s="3072"/>
      <c r="G34" s="3072"/>
      <c r="H34" s="3072"/>
      <c r="I34" s="3072"/>
      <c r="J34" s="3072"/>
      <c r="K34" s="3072"/>
      <c r="L34" s="3072"/>
      <c r="M34" s="3072"/>
      <c r="N34" s="3073"/>
      <c r="O34" s="3072" t="s">
        <v>230</v>
      </c>
      <c r="P34" s="2301"/>
      <c r="Q34" s="6427" t="s">
        <v>394</v>
      </c>
      <c r="R34" s="6429" t="s">
        <v>393</v>
      </c>
      <c r="S34" s="6429" t="s">
        <v>392</v>
      </c>
      <c r="T34" s="6429" t="s">
        <v>391</v>
      </c>
      <c r="U34" s="3074"/>
      <c r="V34" s="3075"/>
      <c r="W34" s="3075"/>
      <c r="X34" s="6422"/>
      <c r="Y34" s="6424"/>
      <c r="Z34" s="6424"/>
      <c r="AA34" s="6426"/>
    </row>
    <row r="35" spans="1:27" s="2127" customFormat="1" ht="24.95" customHeight="1" thickBot="1">
      <c r="A35" s="2299"/>
      <c r="B35" s="3076"/>
      <c r="C35" s="3077" t="s">
        <v>3003</v>
      </c>
      <c r="D35" s="3078"/>
      <c r="E35" s="3078"/>
      <c r="F35" s="3078"/>
      <c r="G35" s="3078"/>
      <c r="H35" s="3078"/>
      <c r="I35" s="3078"/>
      <c r="J35" s="3079"/>
      <c r="K35" s="3080"/>
      <c r="L35" s="3080"/>
      <c r="M35" s="3080"/>
      <c r="N35" s="3081"/>
      <c r="O35" s="2301"/>
      <c r="P35" s="2301"/>
      <c r="Q35" s="6428"/>
      <c r="R35" s="6430"/>
      <c r="S35" s="6430"/>
      <c r="T35" s="6430"/>
      <c r="U35" s="6441" t="s">
        <v>42</v>
      </c>
      <c r="V35" s="6442" t="s">
        <v>396</v>
      </c>
      <c r="W35" s="6442" t="s">
        <v>395</v>
      </c>
      <c r="X35" s="6443" t="s">
        <v>398</v>
      </c>
      <c r="Y35" s="6431" t="s">
        <v>397</v>
      </c>
      <c r="Z35" s="6431" t="s">
        <v>396</v>
      </c>
      <c r="AA35" s="6432" t="s">
        <v>395</v>
      </c>
    </row>
    <row r="36" spans="1:27" s="2127" customFormat="1" ht="24.95" customHeight="1" thickBot="1">
      <c r="A36" s="2299"/>
      <c r="B36" s="2300"/>
      <c r="C36" s="2301"/>
      <c r="D36" s="3082"/>
      <c r="E36" s="3082"/>
      <c r="F36" s="3083"/>
      <c r="G36" s="3083"/>
      <c r="H36" s="3083"/>
      <c r="I36" s="3083"/>
      <c r="J36" s="2310"/>
      <c r="K36" s="2301"/>
      <c r="L36" s="2301"/>
      <c r="M36" s="2301"/>
      <c r="N36" s="2301"/>
      <c r="O36" s="2301"/>
      <c r="P36" s="2301"/>
      <c r="Q36" s="6428"/>
      <c r="R36" s="6430"/>
      <c r="S36" s="6430"/>
      <c r="T36" s="6430"/>
      <c r="U36" s="6441"/>
      <c r="V36" s="6442"/>
      <c r="W36" s="6442"/>
      <c r="X36" s="6443"/>
      <c r="Y36" s="6431"/>
      <c r="Z36" s="6431"/>
      <c r="AA36" s="6432"/>
    </row>
    <row r="37" spans="1:27" s="2127" customFormat="1" ht="24.95" customHeight="1">
      <c r="A37" s="2299"/>
      <c r="B37" s="3084"/>
      <c r="C37" s="3085"/>
      <c r="D37" s="3086"/>
      <c r="E37" s="3086"/>
      <c r="F37" s="3087"/>
      <c r="G37" s="3087"/>
      <c r="H37" s="3087"/>
      <c r="I37" s="3087"/>
      <c r="J37" s="3088"/>
      <c r="K37" s="3085"/>
      <c r="L37" s="3089"/>
      <c r="M37" s="2301"/>
      <c r="N37" s="2301"/>
      <c r="O37" s="2301"/>
      <c r="P37" s="2301"/>
      <c r="Q37" s="6433" t="s">
        <v>390</v>
      </c>
      <c r="R37" s="6435" t="s">
        <v>389</v>
      </c>
      <c r="S37" s="6435" t="s">
        <v>388</v>
      </c>
      <c r="T37" s="6435" t="s">
        <v>387</v>
      </c>
      <c r="U37" s="6437" t="s">
        <v>2311</v>
      </c>
      <c r="V37" s="6435" t="s">
        <v>389</v>
      </c>
      <c r="W37" s="6435" t="s">
        <v>3004</v>
      </c>
      <c r="X37" s="6439">
        <v>1</v>
      </c>
      <c r="Y37" s="6444" t="s">
        <v>2963</v>
      </c>
      <c r="Z37" s="6444" t="s">
        <v>3005</v>
      </c>
      <c r="AA37" s="6446" t="s">
        <v>3005</v>
      </c>
    </row>
    <row r="38" spans="1:27" s="2127" customFormat="1" ht="24.95" customHeight="1">
      <c r="A38" s="2299"/>
      <c r="B38" s="3060" t="s">
        <v>3001</v>
      </c>
      <c r="C38" s="3090" t="s">
        <v>3006</v>
      </c>
      <c r="D38" s="3062"/>
      <c r="E38" s="3062"/>
      <c r="F38" s="3062"/>
      <c r="G38" s="3062"/>
      <c r="H38" s="3062"/>
      <c r="I38" s="3062"/>
      <c r="J38" s="3063"/>
      <c r="K38" s="3064"/>
      <c r="L38" s="3065"/>
      <c r="M38" s="2301"/>
      <c r="N38" s="2301"/>
      <c r="O38" s="2301"/>
      <c r="P38" s="2301"/>
      <c r="Q38" s="6434"/>
      <c r="R38" s="6436"/>
      <c r="S38" s="6436"/>
      <c r="T38" s="6436"/>
      <c r="U38" s="6438"/>
      <c r="V38" s="6436"/>
      <c r="W38" s="6436"/>
      <c r="X38" s="6440"/>
      <c r="Y38" s="6445"/>
      <c r="Z38" s="6445"/>
      <c r="AA38" s="6447"/>
    </row>
    <row r="39" spans="1:27" s="2127" customFormat="1" ht="24.95" customHeight="1">
      <c r="A39" s="2299"/>
      <c r="B39" s="3060"/>
      <c r="C39" s="3066" t="str">
        <f ca="1">RIGHT(CELL("filename",A1),LEN(CELL("filename",A1))-SEARCH("]",CELL("filename",A1)))</f>
        <v>Formats-Formules-Fonctions</v>
      </c>
      <c r="D39" s="3091"/>
      <c r="E39" s="3091"/>
      <c r="F39" s="3067"/>
      <c r="G39" s="3067"/>
      <c r="H39" s="3067"/>
      <c r="I39" s="3067"/>
      <c r="J39" s="3068"/>
      <c r="K39" s="3068"/>
      <c r="L39" s="3065"/>
      <c r="M39" s="2301"/>
      <c r="N39" s="2315"/>
      <c r="O39" s="2315"/>
      <c r="P39" s="2301"/>
      <c r="Q39" s="6433" t="s">
        <v>386</v>
      </c>
      <c r="R39" s="6435" t="s">
        <v>385</v>
      </c>
      <c r="S39" s="6435" t="s">
        <v>384</v>
      </c>
      <c r="T39" s="6435" t="s">
        <v>383</v>
      </c>
      <c r="U39" s="6450" t="s">
        <v>3007</v>
      </c>
      <c r="V39" s="6452" t="s">
        <v>3008</v>
      </c>
      <c r="W39" s="6452" t="s">
        <v>3009</v>
      </c>
      <c r="X39" s="6454" t="s">
        <v>3010</v>
      </c>
      <c r="Y39" s="6456" t="s">
        <v>2963</v>
      </c>
      <c r="Z39" s="6456" t="s">
        <v>3005</v>
      </c>
      <c r="AA39" s="6458" t="s">
        <v>3005</v>
      </c>
    </row>
    <row r="40" spans="1:27" s="2127" customFormat="1" ht="24.95" customHeight="1">
      <c r="A40" s="2299"/>
      <c r="B40" s="3060">
        <f>ROW()</f>
        <v>40</v>
      </c>
      <c r="C40" s="3072" t="str">
        <f ca="1">_xlfn.FORMULATEXT(C39)</f>
        <v>=DROITE(@CELLULE("filename";A1);NBCAR(@CELLULE("filename";A1))-CHERCHE("]";@CELLULE("filename";A1)))</v>
      </c>
      <c r="D40" s="3072"/>
      <c r="E40" s="3072"/>
      <c r="F40" s="3072"/>
      <c r="G40" s="3072"/>
      <c r="H40" s="3072"/>
      <c r="I40" s="3072"/>
      <c r="J40" s="3072"/>
      <c r="K40" s="3072"/>
      <c r="L40" s="3065"/>
      <c r="M40" s="2301"/>
      <c r="N40" s="3072"/>
      <c r="O40" s="3072"/>
      <c r="P40" s="2301"/>
      <c r="Q40" s="6448"/>
      <c r="R40" s="6449"/>
      <c r="S40" s="6449"/>
      <c r="T40" s="6449"/>
      <c r="U40" s="6451"/>
      <c r="V40" s="6453"/>
      <c r="W40" s="6453"/>
      <c r="X40" s="6455"/>
      <c r="Y40" s="6457"/>
      <c r="Z40" s="6457"/>
      <c r="AA40" s="6459"/>
    </row>
    <row r="41" spans="1:27" s="2127" customFormat="1" ht="24.95" customHeight="1" thickBot="1">
      <c r="A41" s="2299"/>
      <c r="B41" s="3092"/>
      <c r="C41" s="3077" t="s">
        <v>3003</v>
      </c>
      <c r="D41" s="3078"/>
      <c r="E41" s="3078"/>
      <c r="F41" s="3078"/>
      <c r="G41" s="3078"/>
      <c r="H41" s="3078"/>
      <c r="I41" s="3078"/>
      <c r="J41" s="3079"/>
      <c r="K41" s="3080"/>
      <c r="L41" s="3081"/>
      <c r="M41" s="2301"/>
      <c r="N41" s="2301"/>
      <c r="O41" s="2301"/>
      <c r="P41" s="2301"/>
      <c r="Q41" s="6433" t="s">
        <v>382</v>
      </c>
      <c r="R41" s="6435" t="s">
        <v>381</v>
      </c>
      <c r="S41" s="6435" t="s">
        <v>380</v>
      </c>
      <c r="T41" s="6435" t="s">
        <v>379</v>
      </c>
      <c r="U41" s="6450" t="s">
        <v>3011</v>
      </c>
      <c r="V41" s="6452" t="s">
        <v>3012</v>
      </c>
      <c r="W41" s="6452" t="s">
        <v>3013</v>
      </c>
      <c r="X41" s="6454" t="s">
        <v>3005</v>
      </c>
      <c r="Y41" s="6460" t="s">
        <v>3005</v>
      </c>
      <c r="Z41" s="6456">
        <v>5</v>
      </c>
      <c r="AA41" s="6458" t="s">
        <v>3005</v>
      </c>
    </row>
    <row r="42" spans="1:27" s="2127" customFormat="1" ht="24.95" customHeight="1" thickBot="1">
      <c r="A42" s="2299"/>
      <c r="B42" s="2300"/>
      <c r="C42" s="2301"/>
      <c r="D42" s="3082"/>
      <c r="E42" s="3082"/>
      <c r="F42" s="3083"/>
      <c r="G42" s="3083"/>
      <c r="H42" s="3083"/>
      <c r="I42" s="3083"/>
      <c r="J42" s="2310"/>
      <c r="K42" s="2301"/>
      <c r="L42" s="2301"/>
      <c r="M42" s="2301"/>
      <c r="N42" s="2301"/>
      <c r="O42" s="2301"/>
      <c r="P42" s="2301"/>
      <c r="Q42" s="6448"/>
      <c r="R42" s="6449"/>
      <c r="S42" s="6449"/>
      <c r="T42" s="6449"/>
      <c r="U42" s="6451"/>
      <c r="V42" s="6453"/>
      <c r="W42" s="6453"/>
      <c r="X42" s="6455"/>
      <c r="Y42" s="6461"/>
      <c r="Z42" s="6457"/>
      <c r="AA42" s="6459"/>
    </row>
    <row r="43" spans="1:27" s="2127" customFormat="1" ht="24.95" customHeight="1">
      <c r="A43" s="2299"/>
      <c r="B43" s="3055"/>
      <c r="C43" s="3056"/>
      <c r="D43" s="3057"/>
      <c r="E43" s="3057"/>
      <c r="F43" s="3057"/>
      <c r="G43" s="3057"/>
      <c r="H43" s="3057"/>
      <c r="I43" s="3057"/>
      <c r="J43" s="3058"/>
      <c r="K43" s="3056"/>
      <c r="L43" s="3056"/>
      <c r="M43" s="3056"/>
      <c r="N43" s="3059"/>
      <c r="O43" s="2301"/>
      <c r="P43" s="2301"/>
      <c r="Q43" s="6433" t="s">
        <v>377</v>
      </c>
      <c r="R43" s="6435" t="s">
        <v>376</v>
      </c>
      <c r="S43" s="6435" t="s">
        <v>375</v>
      </c>
      <c r="T43" s="6435" t="s">
        <v>374</v>
      </c>
      <c r="U43" s="6450" t="s">
        <v>3014</v>
      </c>
      <c r="V43" s="6452" t="s">
        <v>3015</v>
      </c>
      <c r="W43" s="6452" t="s">
        <v>3016</v>
      </c>
      <c r="X43" s="6454" t="s">
        <v>3005</v>
      </c>
      <c r="Y43" s="6460" t="s">
        <v>3005</v>
      </c>
      <c r="Z43" s="6460" t="s">
        <v>3005</v>
      </c>
      <c r="AA43" s="6458">
        <v>5</v>
      </c>
    </row>
    <row r="44" spans="1:27" s="2127" customFormat="1" ht="24.95" customHeight="1">
      <c r="A44" s="2299"/>
      <c r="B44" s="3060" t="s">
        <v>3001</v>
      </c>
      <c r="C44" s="3090" t="s">
        <v>3017</v>
      </c>
      <c r="D44" s="3062"/>
      <c r="E44" s="3062"/>
      <c r="F44" s="3062"/>
      <c r="G44" s="3062"/>
      <c r="H44" s="3062"/>
      <c r="I44" s="3062"/>
      <c r="J44" s="3063"/>
      <c r="K44" s="3064"/>
      <c r="L44" s="3064"/>
      <c r="M44" s="3064"/>
      <c r="N44" s="3065"/>
      <c r="O44" s="2301"/>
      <c r="P44" s="2301"/>
      <c r="Q44" s="6448"/>
      <c r="R44" s="6449"/>
      <c r="S44" s="6449"/>
      <c r="T44" s="6449"/>
      <c r="U44" s="6451"/>
      <c r="V44" s="6453"/>
      <c r="W44" s="6453"/>
      <c r="X44" s="6455"/>
      <c r="Y44" s="6461"/>
      <c r="Z44" s="6461"/>
      <c r="AA44" s="6459"/>
    </row>
    <row r="45" spans="1:27" s="2127" customFormat="1" ht="24.95" customHeight="1">
      <c r="A45" s="2299"/>
      <c r="B45" s="3060"/>
      <c r="C45" s="3066" t="str">
        <f t="array" aca="1" ref="C45" ca="1">MID(CELL("filename",A1),SEARCH("[",CELL("filename",A1))+1,SEARCH("]",CELL("filename",A1))-SEARCH("[",CELL("filename",A1))-1)</f>
        <v>ff-22-formats-formules-pourcentages.xlsx</v>
      </c>
      <c r="D45" s="3091"/>
      <c r="E45" s="3091"/>
      <c r="F45" s="3091"/>
      <c r="G45" s="3091"/>
      <c r="H45" s="3067"/>
      <c r="I45" s="3067"/>
      <c r="J45" s="3068"/>
      <c r="K45" s="3068"/>
      <c r="L45" s="2315"/>
      <c r="M45" s="2315"/>
      <c r="N45" s="3065"/>
      <c r="O45" s="2301"/>
      <c r="P45" s="2301"/>
      <c r="Q45" s="6463" t="s">
        <v>723</v>
      </c>
      <c r="R45" s="6465" t="s">
        <v>373</v>
      </c>
      <c r="S45" s="6465"/>
      <c r="T45" s="6465"/>
      <c r="U45" s="6465"/>
      <c r="V45" s="6465"/>
      <c r="W45" s="6465"/>
      <c r="X45" s="6465"/>
      <c r="Y45" s="6465"/>
      <c r="Z45" s="6465"/>
      <c r="AA45" s="6466"/>
    </row>
    <row r="46" spans="1:27" s="2127" customFormat="1" ht="24.95" customHeight="1">
      <c r="A46" s="2299"/>
      <c r="B46" s="3060">
        <f>ROW()</f>
        <v>46</v>
      </c>
      <c r="C46" s="3072" t="str">
        <f ca="1">_xlfn.FORMULATEXT(C45)</f>
        <v>{=STXT(CELLULE("filename";A1);CHERCHE("[";CELLULE("filename";A1))+1;CHERCHE("]";CELLULE("filename";A1))-CHERCHE("[";CELLULE("filename";A1))-1)}</v>
      </c>
      <c r="D46" s="3072"/>
      <c r="E46" s="3072"/>
      <c r="F46" s="3072"/>
      <c r="G46" s="3072"/>
      <c r="H46" s="3072"/>
      <c r="I46" s="3072"/>
      <c r="J46" s="3072"/>
      <c r="K46" s="3072"/>
      <c r="L46" s="3072"/>
      <c r="M46" s="3072"/>
      <c r="N46" s="3065"/>
      <c r="O46" s="2301" t="s">
        <v>230</v>
      </c>
      <c r="P46" s="2301"/>
      <c r="Q46" s="6464"/>
      <c r="R46" s="6467"/>
      <c r="S46" s="6467"/>
      <c r="T46" s="6467"/>
      <c r="U46" s="6467"/>
      <c r="V46" s="6467"/>
      <c r="W46" s="6467"/>
      <c r="X46" s="6467"/>
      <c r="Y46" s="6467"/>
      <c r="Z46" s="6467"/>
      <c r="AA46" s="6468"/>
    </row>
    <row r="47" spans="1:27" s="2127" customFormat="1" ht="24.95" customHeight="1" thickBot="1">
      <c r="A47" s="2299"/>
      <c r="B47" s="3076"/>
      <c r="C47" s="3077" t="s">
        <v>3003</v>
      </c>
      <c r="D47" s="3093"/>
      <c r="E47" s="3093"/>
      <c r="F47" s="3093"/>
      <c r="G47" s="3093"/>
      <c r="H47" s="3093"/>
      <c r="I47" s="3093"/>
      <c r="J47" s="3093"/>
      <c r="K47" s="3093"/>
      <c r="L47" s="3093"/>
      <c r="M47" s="3093"/>
      <c r="N47" s="3094"/>
      <c r="O47" s="2301"/>
      <c r="P47" s="2301"/>
      <c r="Q47" s="3095"/>
      <c r="R47" s="3096" t="s">
        <v>3018</v>
      </c>
      <c r="S47" s="3096"/>
      <c r="T47" s="3096"/>
      <c r="U47" s="3096"/>
      <c r="V47" s="3096"/>
      <c r="W47" s="3096"/>
      <c r="X47" s="3096"/>
      <c r="Y47" s="3096"/>
      <c r="Z47" s="3096"/>
      <c r="AA47" s="3097"/>
    </row>
    <row r="48" spans="1:27" s="2127" customFormat="1" ht="24.95" customHeight="1" thickBot="1">
      <c r="A48" s="2299"/>
      <c r="B48" s="2300"/>
      <c r="C48" s="2301"/>
      <c r="D48" s="3082"/>
      <c r="E48" s="3082"/>
      <c r="F48" s="3083"/>
      <c r="G48" s="3083"/>
      <c r="H48" s="3083"/>
      <c r="I48" s="3083"/>
      <c r="J48" s="2310"/>
      <c r="K48" s="2301"/>
      <c r="L48" s="2301"/>
      <c r="M48" s="2301"/>
      <c r="N48" s="2301"/>
      <c r="O48" s="2301"/>
      <c r="P48" s="2301"/>
      <c r="Q48" s="2301"/>
      <c r="R48" s="2301"/>
      <c r="S48" s="2301"/>
      <c r="T48" s="2301"/>
      <c r="U48" s="2301"/>
      <c r="V48" s="2301"/>
      <c r="W48" s="2301"/>
      <c r="X48" s="2301"/>
      <c r="Y48" s="2301"/>
      <c r="Z48" s="2301"/>
      <c r="AA48" s="2301"/>
    </row>
    <row r="49" spans="1:27" s="2127" customFormat="1" ht="24.95" customHeight="1">
      <c r="A49" s="2299"/>
      <c r="B49" s="3084"/>
      <c r="C49" s="3085"/>
      <c r="D49" s="3086"/>
      <c r="E49" s="3086"/>
      <c r="F49" s="3087"/>
      <c r="G49" s="3087"/>
      <c r="H49" s="3087"/>
      <c r="I49" s="3087"/>
      <c r="J49" s="3088"/>
      <c r="K49" s="3085"/>
      <c r="L49" s="3089"/>
      <c r="M49" s="2301"/>
      <c r="N49" s="2301"/>
      <c r="O49" s="2301"/>
      <c r="P49" s="2301"/>
      <c r="Q49" s="2301"/>
      <c r="R49" s="2301"/>
      <c r="S49" s="2301"/>
      <c r="T49" s="2301"/>
      <c r="U49" s="2301"/>
      <c r="V49" s="2301"/>
      <c r="W49" s="2301"/>
      <c r="X49" s="2301"/>
      <c r="Y49" s="2301"/>
      <c r="Z49" s="2301"/>
      <c r="AA49" s="2301"/>
    </row>
    <row r="50" spans="1:27" s="2127" customFormat="1" ht="24.95" customHeight="1">
      <c r="A50" s="2299"/>
      <c r="B50" s="3060" t="s">
        <v>3001</v>
      </c>
      <c r="C50" s="3090" t="s">
        <v>3019</v>
      </c>
      <c r="D50" s="3062"/>
      <c r="E50" s="3062"/>
      <c r="F50" s="3062"/>
      <c r="G50" s="3062"/>
      <c r="H50" s="3062"/>
      <c r="I50" s="3062"/>
      <c r="J50" s="3063"/>
      <c r="K50" s="3064"/>
      <c r="L50" s="3065"/>
      <c r="M50" s="2301"/>
      <c r="N50" s="2301"/>
      <c r="O50" s="2301"/>
      <c r="P50" s="2301"/>
      <c r="Q50" s="2301"/>
      <c r="R50" s="2301"/>
      <c r="S50" s="2301"/>
      <c r="T50" s="2301"/>
      <c r="U50" s="2301"/>
      <c r="V50" s="2301"/>
      <c r="W50" s="2301"/>
      <c r="X50" s="2301"/>
      <c r="Y50" s="2301"/>
      <c r="Z50" s="2301"/>
      <c r="AA50" s="2301"/>
    </row>
    <row r="51" spans="1:27" s="2127" customFormat="1" ht="24.95" customHeight="1">
      <c r="A51" s="2299"/>
      <c r="B51" s="3060"/>
      <c r="C51" s="3066" t="str">
        <f ca="1">RIGHT(CELL("filename",A1),LEN(CELL("filename",A1))-SEARCH("[",CELL("filename",A1))+1)</f>
        <v>[ff-22-formats-formules-pourcentages.xlsx]Formats-Formules-Fonctions</v>
      </c>
      <c r="D51" s="3091"/>
      <c r="E51" s="3091"/>
      <c r="F51" s="3091"/>
      <c r="G51" s="3091"/>
      <c r="H51" s="3091"/>
      <c r="I51" s="3091"/>
      <c r="J51" s="3068"/>
      <c r="K51" s="3068"/>
      <c r="L51" s="3065"/>
      <c r="M51" s="2301"/>
      <c r="N51" s="2315"/>
      <c r="O51" s="2315"/>
      <c r="P51" s="2301"/>
      <c r="Q51" s="2301"/>
      <c r="R51" s="2301"/>
      <c r="S51" s="2301"/>
      <c r="T51" s="2301"/>
      <c r="U51" s="2301"/>
      <c r="V51" s="2301"/>
      <c r="W51" s="2301"/>
      <c r="X51" s="2301"/>
      <c r="Y51" s="2301"/>
      <c r="Z51" s="2301"/>
      <c r="AA51" s="2301"/>
    </row>
    <row r="52" spans="1:27" s="2127" customFormat="1" ht="24.95" customHeight="1">
      <c r="A52" s="2299"/>
      <c r="B52" s="3060">
        <f>ROW()</f>
        <v>52</v>
      </c>
      <c r="C52" s="3072" t="str">
        <f ca="1">_xlfn.FORMULATEXT(C51)</f>
        <v>=DROITE(@CELLULE("filename";A1);NBCAR(@CELLULE("filename";A1))-CHERCHE("[";@CELLULE("filename";A1))+1)</v>
      </c>
      <c r="D52" s="3072"/>
      <c r="E52" s="3072"/>
      <c r="F52" s="3072"/>
      <c r="G52" s="3072"/>
      <c r="H52" s="3072"/>
      <c r="I52" s="3072"/>
      <c r="J52" s="3072"/>
      <c r="K52" s="3072"/>
      <c r="L52" s="3065"/>
      <c r="M52" s="2301"/>
      <c r="N52" s="3072"/>
      <c r="O52" s="3072"/>
      <c r="P52" s="2301"/>
      <c r="Q52" s="2301"/>
      <c r="R52" s="2301"/>
      <c r="S52" s="2301"/>
      <c r="T52" s="2301"/>
      <c r="U52" s="2301"/>
      <c r="V52" s="2301"/>
      <c r="W52" s="2301"/>
      <c r="X52" s="2301"/>
      <c r="Y52" s="2301"/>
      <c r="Z52" s="2301"/>
      <c r="AA52" s="2301"/>
    </row>
    <row r="53" spans="1:27" s="2127" customFormat="1" ht="24.95" customHeight="1" thickBot="1">
      <c r="A53" s="2299"/>
      <c r="B53" s="3092"/>
      <c r="C53" s="3077" t="s">
        <v>3003</v>
      </c>
      <c r="D53" s="3078"/>
      <c r="E53" s="3078"/>
      <c r="F53" s="3078"/>
      <c r="G53" s="3078"/>
      <c r="H53" s="3078"/>
      <c r="I53" s="3078"/>
      <c r="J53" s="3079"/>
      <c r="K53" s="3080"/>
      <c r="L53" s="3081"/>
      <c r="M53" s="2301"/>
      <c r="N53" s="2301"/>
      <c r="O53" s="2301"/>
      <c r="P53" s="2301"/>
      <c r="Q53" s="2301"/>
      <c r="R53" s="2301"/>
      <c r="S53" s="2301"/>
      <c r="T53" s="2301"/>
      <c r="U53" s="2301"/>
      <c r="V53" s="2301"/>
      <c r="W53" s="2301"/>
      <c r="X53" s="2301"/>
      <c r="Y53" s="2301"/>
      <c r="Z53" s="2301"/>
      <c r="AA53" s="2301"/>
    </row>
    <row r="54" spans="1:27" s="2127" customFormat="1" ht="24.95" customHeight="1" thickBot="1">
      <c r="A54" s="2299"/>
      <c r="B54" s="2301"/>
      <c r="C54" s="2301"/>
      <c r="D54" s="2301"/>
      <c r="E54" s="2301"/>
      <c r="F54" s="2301"/>
      <c r="G54" s="2301"/>
      <c r="H54" s="2301"/>
      <c r="I54" s="2301"/>
      <c r="J54" s="2301"/>
      <c r="K54" s="2301"/>
      <c r="L54" s="2301"/>
      <c r="M54" s="2301"/>
      <c r="N54" s="2301"/>
      <c r="O54" s="2301"/>
      <c r="P54" s="2301"/>
      <c r="Q54" s="2301"/>
      <c r="R54" s="2301"/>
      <c r="S54" s="2301"/>
      <c r="T54" s="2301"/>
      <c r="U54" s="2301"/>
      <c r="V54" s="2301"/>
      <c r="W54" s="2301"/>
      <c r="X54" s="2301"/>
      <c r="Y54" s="2301"/>
      <c r="Z54" s="2301"/>
      <c r="AA54" s="2301"/>
    </row>
    <row r="55" spans="1:27" s="2127" customFormat="1" ht="24.95" customHeight="1">
      <c r="A55" s="2299"/>
      <c r="B55" s="3084"/>
      <c r="C55" s="3056"/>
      <c r="D55" s="3057"/>
      <c r="E55" s="3057"/>
      <c r="F55" s="3057"/>
      <c r="G55" s="3057"/>
      <c r="H55" s="3057"/>
      <c r="I55" s="3057"/>
      <c r="J55" s="3098"/>
      <c r="K55" s="2301"/>
      <c r="L55" s="2301"/>
      <c r="M55" s="2301"/>
      <c r="N55" s="2301"/>
      <c r="O55" s="2301"/>
      <c r="P55" s="2301"/>
      <c r="Q55" s="2301"/>
      <c r="R55" s="2301"/>
      <c r="S55" s="2301"/>
      <c r="T55" s="2301"/>
      <c r="U55" s="2301"/>
      <c r="V55" s="2301"/>
      <c r="W55" s="2301"/>
      <c r="X55" s="2301"/>
      <c r="Y55" s="2301"/>
      <c r="Z55" s="2301"/>
      <c r="AA55" s="2301"/>
    </row>
    <row r="56" spans="1:27" s="2127" customFormat="1" ht="24.95" customHeight="1">
      <c r="A56" s="2299"/>
      <c r="B56" s="3060" t="s">
        <v>3001</v>
      </c>
      <c r="C56" s="3090" t="s">
        <v>977</v>
      </c>
      <c r="D56" s="3099"/>
      <c r="E56" s="3064"/>
      <c r="F56" s="3064"/>
      <c r="G56" s="3072"/>
      <c r="H56" s="3072"/>
      <c r="I56" s="3100"/>
      <c r="J56" s="3065"/>
      <c r="K56" s="2301"/>
      <c r="L56" s="2301"/>
      <c r="M56" s="2301"/>
      <c r="N56" s="2301"/>
      <c r="O56" s="2301"/>
      <c r="P56" s="2301"/>
      <c r="Q56" s="2301"/>
      <c r="R56" s="2301"/>
      <c r="S56" s="2301"/>
      <c r="T56" s="2301"/>
      <c r="U56" s="2301"/>
      <c r="V56" s="2301"/>
      <c r="W56" s="2301"/>
      <c r="X56" s="2301"/>
      <c r="Y56" s="2301"/>
      <c r="Z56" s="2301"/>
      <c r="AA56" s="2301"/>
    </row>
    <row r="57" spans="1:27" s="2127" customFormat="1" ht="24.95" customHeight="1">
      <c r="A57" s="2299"/>
      <c r="B57" s="3060"/>
      <c r="C57" s="3066" t="str">
        <f t="array" aca="1" ref="C57" ca="1">LEFT(CELL("filename",A1),SEARCH("[",CELL("filename",A1))-1)</f>
        <v>D:\Données\Copie_ancien_DD\0-UPRT.fait\1-UPRT.FR-SITE-WEB\ff-fiches-fabrications\ff-fiches-fabrication-maj-08-2020\</v>
      </c>
      <c r="D57" s="3091"/>
      <c r="E57" s="3091"/>
      <c r="F57" s="3091"/>
      <c r="G57" s="3091"/>
      <c r="H57" s="3091"/>
      <c r="I57" s="3067"/>
      <c r="J57" s="3065"/>
      <c r="K57" s="2301"/>
      <c r="L57" s="2315"/>
      <c r="M57" s="2315"/>
      <c r="N57" s="2315"/>
      <c r="O57" s="2315"/>
      <c r="P57" s="2301"/>
      <c r="Q57" s="2301"/>
      <c r="R57" s="2301"/>
      <c r="S57" s="2301"/>
      <c r="T57" s="2301"/>
      <c r="U57" s="2301"/>
      <c r="V57" s="2301"/>
      <c r="W57" s="2301"/>
      <c r="X57" s="2301"/>
      <c r="Y57" s="2301"/>
      <c r="Z57" s="2301"/>
      <c r="AA57" s="2301"/>
    </row>
    <row r="58" spans="1:27" s="2127" customFormat="1" ht="24.95" customHeight="1">
      <c r="A58" s="2299"/>
      <c r="B58" s="3060">
        <f>ROW()</f>
        <v>58</v>
      </c>
      <c r="C58" s="3072" t="str">
        <f ca="1">_xlfn.FORMULATEXT(C57)</f>
        <v>{=GAUCHE(CELLULE("filename";A1);CHERCHE("[";CELLULE("filename";A1))-1)}</v>
      </c>
      <c r="D58" s="3072"/>
      <c r="E58" s="3072"/>
      <c r="F58" s="3072"/>
      <c r="G58" s="3072"/>
      <c r="H58" s="3072"/>
      <c r="I58" s="3072"/>
      <c r="J58" s="3065"/>
      <c r="K58" s="2301"/>
      <c r="L58" s="3072"/>
      <c r="M58" s="3072"/>
      <c r="N58" s="3072"/>
      <c r="O58" s="2315"/>
      <c r="P58" s="2301"/>
      <c r="Q58" s="2301"/>
      <c r="R58" s="2301"/>
      <c r="S58" s="2301"/>
      <c r="T58" s="2301"/>
      <c r="U58" s="2301"/>
      <c r="V58" s="2301"/>
      <c r="W58" s="2301"/>
      <c r="X58" s="2301"/>
      <c r="Y58" s="2301"/>
      <c r="Z58" s="2301"/>
      <c r="AA58" s="2301"/>
    </row>
    <row r="59" spans="1:27" s="2127" customFormat="1" ht="24.95" customHeight="1" thickBot="1">
      <c r="A59" s="2299"/>
      <c r="B59" s="3092"/>
      <c r="C59" s="3077" t="s">
        <v>3003</v>
      </c>
      <c r="D59" s="3080"/>
      <c r="E59" s="3080"/>
      <c r="F59" s="3080"/>
      <c r="G59" s="3080"/>
      <c r="H59" s="3080"/>
      <c r="I59" s="3080"/>
      <c r="J59" s="3081"/>
      <c r="K59" s="2301"/>
      <c r="L59" s="2301"/>
      <c r="M59" s="2301"/>
      <c r="N59" s="2301"/>
      <c r="O59" s="2301"/>
      <c r="P59" s="2301"/>
      <c r="Q59" s="2301"/>
      <c r="R59" s="2301"/>
      <c r="S59" s="2301"/>
      <c r="T59" s="2301"/>
      <c r="U59" s="2301"/>
      <c r="V59" s="2301"/>
      <c r="W59" s="2301"/>
      <c r="X59" s="2301"/>
      <c r="Y59" s="2301"/>
      <c r="Z59" s="2301"/>
      <c r="AA59" s="2301"/>
    </row>
    <row r="60" spans="1:27" s="2127" customFormat="1" ht="24.95" customHeight="1" thickBot="1">
      <c r="A60" s="2299"/>
      <c r="B60" s="2300"/>
      <c r="C60" s="2301"/>
      <c r="D60" s="3082"/>
      <c r="E60" s="3082"/>
      <c r="F60" s="3083"/>
      <c r="G60" s="3083"/>
      <c r="H60" s="3083"/>
      <c r="I60" s="3083"/>
      <c r="J60" s="2310"/>
      <c r="K60" s="2301"/>
      <c r="L60" s="2301"/>
      <c r="M60" s="2301"/>
      <c r="N60" s="2301"/>
      <c r="O60" s="2301"/>
      <c r="P60" s="2301"/>
      <c r="Q60" s="2301"/>
      <c r="R60" s="2301"/>
      <c r="S60" s="2301"/>
      <c r="T60" s="2301"/>
      <c r="U60" s="2301"/>
      <c r="V60" s="2301"/>
      <c r="W60" s="2301"/>
      <c r="X60" s="2301"/>
      <c r="Y60" s="2301"/>
      <c r="Z60" s="2301"/>
      <c r="AA60" s="2301"/>
    </row>
    <row r="61" spans="1:27" s="2127" customFormat="1" ht="24.95" customHeight="1">
      <c r="A61" s="2299"/>
      <c r="B61" s="3055"/>
      <c r="C61" s="3056"/>
      <c r="D61" s="3057"/>
      <c r="E61" s="3057"/>
      <c r="F61" s="3057"/>
      <c r="G61" s="3057"/>
      <c r="H61" s="3057"/>
      <c r="I61" s="3057"/>
      <c r="J61" s="3058"/>
      <c r="K61" s="3056"/>
      <c r="L61" s="3059"/>
      <c r="M61" s="2301"/>
      <c r="N61" s="2301"/>
      <c r="O61" s="2301"/>
      <c r="P61" s="2301"/>
      <c r="Q61" s="2301"/>
      <c r="R61" s="2301"/>
      <c r="S61" s="2301"/>
      <c r="T61" s="2301"/>
      <c r="U61" s="2301"/>
      <c r="V61" s="2301"/>
      <c r="W61" s="2301"/>
      <c r="X61" s="2301"/>
      <c r="Y61" s="2301"/>
      <c r="Z61" s="2301"/>
      <c r="AA61" s="2301"/>
    </row>
    <row r="62" spans="1:27" s="2127" customFormat="1" ht="24.95" customHeight="1">
      <c r="A62" s="2299"/>
      <c r="B62" s="3060" t="s">
        <v>3001</v>
      </c>
      <c r="C62" s="3090" t="s">
        <v>978</v>
      </c>
      <c r="D62" s="3099"/>
      <c r="E62" s="3064"/>
      <c r="F62" s="3064"/>
      <c r="G62" s="3064"/>
      <c r="H62" s="3064"/>
      <c r="I62" s="3064"/>
      <c r="J62" s="3064"/>
      <c r="K62" s="3064"/>
      <c r="L62" s="3065"/>
      <c r="M62" s="2301"/>
      <c r="N62" s="2301"/>
      <c r="O62" s="2301"/>
      <c r="P62" s="2301"/>
      <c r="Q62" s="2301"/>
      <c r="R62" s="2301"/>
      <c r="S62" s="2301"/>
      <c r="T62" s="2301"/>
      <c r="U62" s="2301"/>
      <c r="V62" s="2301"/>
      <c r="W62" s="2301"/>
      <c r="X62" s="2301"/>
      <c r="Y62" s="2301"/>
      <c r="Z62" s="2301"/>
      <c r="AA62" s="2301"/>
    </row>
    <row r="63" spans="1:27" s="2127" customFormat="1" ht="24.95" customHeight="1">
      <c r="A63" s="2299"/>
      <c r="B63" s="3060"/>
      <c r="C63" s="3066" t="str">
        <f t="array" aca="1" ref="C63" ca="1">LEFT(CELL("filename",A1),SEARCH("]",CELL("filename",A1)))</f>
        <v>D:\Données\Copie_ancien_DD\0-UPRT.fait\1-UPRT.FR-SITE-WEB\ff-fiches-fabrications\ff-fiches-fabrication-maj-08-2020\[ff-22-formats-formules-pourcentages.xlsx]</v>
      </c>
      <c r="D63" s="3091"/>
      <c r="E63" s="3101"/>
      <c r="F63" s="3101"/>
      <c r="G63" s="3101"/>
      <c r="H63" s="3101"/>
      <c r="I63" s="3101"/>
      <c r="J63" s="3102"/>
      <c r="K63" s="3102"/>
      <c r="L63" s="3103"/>
      <c r="M63" s="2301"/>
      <c r="N63" s="2315"/>
      <c r="O63" s="2315"/>
      <c r="P63" s="2301"/>
      <c r="Q63" s="2301"/>
      <c r="R63" s="2301"/>
      <c r="S63" s="2301"/>
      <c r="T63" s="2301"/>
      <c r="U63" s="2301"/>
      <c r="V63" s="2301"/>
      <c r="W63" s="2301"/>
      <c r="X63" s="2301"/>
      <c r="Y63" s="2301"/>
      <c r="Z63" s="2301"/>
      <c r="AA63" s="2301"/>
    </row>
    <row r="64" spans="1:27" s="2127" customFormat="1" ht="24.95" customHeight="1">
      <c r="A64" s="2299"/>
      <c r="B64" s="3060">
        <f>ROW()</f>
        <v>64</v>
      </c>
      <c r="C64" s="3072" t="str">
        <f ca="1">_xlfn.FORMULATEXT(C63)</f>
        <v>{=GAUCHE(CELLULE("filename";A1);CHERCHE("]";CELLULE("filename";A1)))}</v>
      </c>
      <c r="D64" s="3072"/>
      <c r="E64" s="3072"/>
      <c r="F64" s="3072"/>
      <c r="G64" s="3072"/>
      <c r="H64" s="3072"/>
      <c r="I64" s="3072"/>
      <c r="J64" s="3072"/>
      <c r="K64" s="3072"/>
      <c r="L64" s="3065"/>
      <c r="M64" s="2301"/>
      <c r="N64" s="3072"/>
      <c r="O64" s="3072"/>
      <c r="P64" s="2301"/>
      <c r="Q64" s="2301"/>
      <c r="R64" s="2301"/>
      <c r="S64" s="2301"/>
      <c r="T64" s="2301"/>
      <c r="U64" s="2301"/>
      <c r="V64" s="2301"/>
      <c r="W64" s="2301"/>
      <c r="X64" s="2301"/>
      <c r="Y64" s="2301"/>
      <c r="Z64" s="2301"/>
      <c r="AA64" s="2301"/>
    </row>
    <row r="65" spans="1:27" s="2127" customFormat="1" ht="24.95" customHeight="1" thickBot="1">
      <c r="A65" s="2299"/>
      <c r="B65" s="3076"/>
      <c r="C65" s="3077" t="s">
        <v>3003</v>
      </c>
      <c r="D65" s="3080"/>
      <c r="E65" s="3080"/>
      <c r="F65" s="3080"/>
      <c r="G65" s="3080"/>
      <c r="H65" s="3080"/>
      <c r="I65" s="3080"/>
      <c r="J65" s="3080"/>
      <c r="K65" s="3080"/>
      <c r="L65" s="3081"/>
      <c r="M65" s="2301"/>
      <c r="N65" s="2301"/>
      <c r="O65" s="2301"/>
      <c r="P65" s="2301"/>
      <c r="Q65" s="2301"/>
      <c r="R65" s="2301"/>
      <c r="S65" s="2301"/>
      <c r="T65" s="2301"/>
      <c r="U65" s="2301"/>
      <c r="V65" s="2301"/>
      <c r="W65" s="2301"/>
      <c r="X65" s="2301"/>
      <c r="Y65" s="2301"/>
      <c r="Z65" s="2301"/>
      <c r="AA65" s="2301"/>
    </row>
    <row r="66" spans="1:27" s="2127" customFormat="1" ht="24.95" customHeight="1" thickBot="1">
      <c r="A66" s="2299"/>
      <c r="B66" s="2300"/>
      <c r="C66" s="2301"/>
      <c r="D66" s="3082"/>
      <c r="E66" s="3082"/>
      <c r="F66" s="3083"/>
      <c r="G66" s="3083"/>
      <c r="H66" s="3083"/>
      <c r="I66" s="3083"/>
      <c r="J66" s="2310"/>
      <c r="K66" s="2301"/>
      <c r="L66" s="2301"/>
      <c r="M66" s="2301"/>
      <c r="N66" s="2301"/>
      <c r="O66" s="2301"/>
      <c r="P66" s="2301"/>
      <c r="Q66" s="2301"/>
      <c r="R66" s="2301"/>
      <c r="S66" s="2301"/>
      <c r="T66" s="2301"/>
      <c r="U66" s="2301"/>
      <c r="V66" s="2301"/>
      <c r="W66" s="2301"/>
      <c r="X66" s="2301"/>
      <c r="Y66" s="2301"/>
      <c r="Z66" s="2301"/>
      <c r="AA66" s="2301"/>
    </row>
    <row r="67" spans="1:27" s="2127" customFormat="1" ht="24.95" customHeight="1">
      <c r="A67" s="2299"/>
      <c r="B67" s="3084"/>
      <c r="C67" s="3085"/>
      <c r="D67" s="3086"/>
      <c r="E67" s="3086"/>
      <c r="F67" s="3087"/>
      <c r="G67" s="3087"/>
      <c r="H67" s="3087"/>
      <c r="I67" s="3104"/>
      <c r="J67" s="2310"/>
      <c r="K67" s="2301"/>
      <c r="L67" s="2301"/>
      <c r="M67" s="2301"/>
      <c r="N67" s="2301"/>
      <c r="O67" s="2301"/>
      <c r="P67" s="2301"/>
      <c r="Q67" s="2301"/>
      <c r="R67" s="2301"/>
      <c r="S67" s="2301"/>
      <c r="T67" s="2301"/>
      <c r="U67" s="2301"/>
      <c r="V67" s="2301"/>
      <c r="W67" s="2301"/>
      <c r="X67" s="2301"/>
      <c r="Y67" s="2301"/>
      <c r="Z67" s="2301"/>
      <c r="AA67" s="2301"/>
    </row>
    <row r="68" spans="1:27" s="2127" customFormat="1" ht="24.95" customHeight="1">
      <c r="A68" s="2299"/>
      <c r="B68" s="3060" t="s">
        <v>3001</v>
      </c>
      <c r="C68" s="3090" t="s">
        <v>3020</v>
      </c>
      <c r="D68" s="2301"/>
      <c r="E68" s="3082"/>
      <c r="F68" s="3083"/>
      <c r="G68" s="3083"/>
      <c r="H68" s="3083"/>
      <c r="I68" s="3105"/>
      <c r="J68" s="2310"/>
      <c r="K68" s="2301"/>
      <c r="L68" s="2301"/>
      <c r="M68" s="2301"/>
      <c r="N68" s="2301"/>
      <c r="O68" s="2301"/>
      <c r="P68" s="2301"/>
      <c r="Q68" s="2301"/>
      <c r="R68" s="2301"/>
      <c r="S68" s="2301"/>
      <c r="T68" s="2301"/>
      <c r="U68" s="2301"/>
      <c r="V68" s="2301"/>
      <c r="W68" s="2301"/>
      <c r="X68" s="2301"/>
      <c r="Y68" s="2301"/>
      <c r="Z68" s="2301"/>
      <c r="AA68" s="2301"/>
    </row>
    <row r="69" spans="1:27" s="2127" customFormat="1" ht="24.95" customHeight="1">
      <c r="A69" s="2299"/>
      <c r="B69" s="3060">
        <f>ROW()</f>
        <v>69</v>
      </c>
      <c r="C69" s="3106" t="s">
        <v>3021</v>
      </c>
      <c r="D69" s="3107"/>
      <c r="E69" s="3082"/>
      <c r="F69" s="3083"/>
      <c r="G69" s="3083"/>
      <c r="H69" s="3083"/>
      <c r="I69" s="3105"/>
      <c r="J69" s="2310"/>
      <c r="K69" s="2301"/>
      <c r="L69" s="2301"/>
      <c r="M69" s="2301"/>
      <c r="N69" s="2301"/>
      <c r="O69" s="2301"/>
      <c r="P69" s="2301"/>
      <c r="Q69" s="2301"/>
      <c r="R69" s="2301"/>
      <c r="S69" s="2301"/>
      <c r="T69" s="2301"/>
      <c r="U69" s="2301"/>
      <c r="V69" s="2301"/>
      <c r="W69" s="2301"/>
      <c r="X69" s="2301"/>
      <c r="Y69" s="2301"/>
      <c r="Z69" s="2301"/>
      <c r="AA69" s="2301"/>
    </row>
    <row r="70" spans="1:27" s="2127" customFormat="1" ht="24.95" customHeight="1" thickBot="1">
      <c r="A70" s="2299"/>
      <c r="B70" s="3092"/>
      <c r="C70" s="3077" t="s">
        <v>3022</v>
      </c>
      <c r="D70" s="3108"/>
      <c r="E70" s="3109"/>
      <c r="F70" s="3110"/>
      <c r="G70" s="3110"/>
      <c r="H70" s="3110"/>
      <c r="I70" s="3111"/>
      <c r="J70" s="2310"/>
      <c r="K70" s="2301"/>
      <c r="L70" s="2301"/>
      <c r="M70" s="2301"/>
      <c r="N70" s="2301"/>
      <c r="O70" s="2301"/>
      <c r="P70" s="2301"/>
      <c r="Q70" s="2301"/>
      <c r="R70" s="2301"/>
      <c r="S70" s="2301"/>
      <c r="T70" s="2301"/>
      <c r="U70" s="2301"/>
      <c r="V70" s="2301"/>
      <c r="W70" s="2301"/>
      <c r="X70" s="2301"/>
      <c r="Y70" s="2301"/>
      <c r="Z70" s="2301"/>
      <c r="AA70" s="2301"/>
    </row>
    <row r="71" spans="1:27" s="2127" customFormat="1" ht="24.95" customHeight="1">
      <c r="A71" s="2299"/>
      <c r="B71" s="2300"/>
      <c r="C71" s="2301"/>
      <c r="D71" s="3082"/>
      <c r="E71" s="3082"/>
      <c r="F71" s="3083"/>
      <c r="G71" s="3083"/>
      <c r="H71" s="3083"/>
      <c r="I71" s="3083"/>
      <c r="J71" s="2310"/>
      <c r="K71" s="2301"/>
      <c r="L71" s="2301"/>
      <c r="M71" s="2301"/>
      <c r="N71" s="2301"/>
      <c r="O71" s="2301"/>
      <c r="P71" s="2301"/>
      <c r="Q71" s="2301"/>
      <c r="R71" s="2301"/>
      <c r="S71" s="2301"/>
      <c r="T71" s="2301"/>
      <c r="U71" s="2301"/>
      <c r="V71" s="2301"/>
      <c r="W71" s="2301"/>
      <c r="X71" s="2301"/>
      <c r="Y71" s="2301"/>
      <c r="Z71" s="2301"/>
      <c r="AA71" s="2301"/>
    </row>
    <row r="72" spans="1:27" s="2127" customFormat="1" ht="24.95" customHeight="1">
      <c r="A72" s="3040"/>
      <c r="B72" s="3041"/>
      <c r="C72" s="3042"/>
      <c r="D72" s="3043"/>
      <c r="E72" s="3043"/>
      <c r="F72" s="3044"/>
      <c r="G72" s="3044"/>
      <c r="H72" s="3044"/>
      <c r="I72" s="3044"/>
      <c r="J72" s="3045"/>
      <c r="K72" s="3042"/>
      <c r="L72" s="3042"/>
      <c r="M72" s="3042"/>
      <c r="N72" s="3042"/>
      <c r="O72" s="3042"/>
      <c r="P72" s="3042"/>
      <c r="Q72" s="3042"/>
      <c r="R72" s="3042"/>
      <c r="S72" s="3042"/>
      <c r="T72" s="3042"/>
      <c r="U72" s="3042"/>
      <c r="V72" s="3042"/>
      <c r="W72" s="3042"/>
      <c r="X72" s="3042"/>
      <c r="Y72" s="3042"/>
      <c r="Z72" s="3042"/>
      <c r="AA72" s="3042"/>
    </row>
    <row r="73" spans="1:27" s="2127" customFormat="1" ht="24.95" customHeight="1">
      <c r="A73" s="2299"/>
      <c r="B73" s="2300"/>
      <c r="C73" s="2301"/>
      <c r="D73" s="3082"/>
      <c r="E73" s="3082"/>
      <c r="F73" s="3083"/>
      <c r="G73" s="3083"/>
      <c r="H73" s="3083"/>
      <c r="I73" s="3083"/>
      <c r="J73" s="2310"/>
      <c r="K73" s="2301"/>
      <c r="L73" s="2301"/>
      <c r="M73" s="2301"/>
      <c r="N73" s="2301"/>
      <c r="O73" s="2301"/>
      <c r="P73" s="2301"/>
      <c r="Q73" s="2301"/>
      <c r="R73" s="2301"/>
      <c r="S73" s="2301"/>
      <c r="T73" s="2301"/>
      <c r="U73" s="2301"/>
      <c r="V73" s="2301"/>
      <c r="W73" s="2301"/>
      <c r="X73" s="2301"/>
      <c r="Y73" s="2301"/>
      <c r="Z73" s="2301"/>
      <c r="AA73" s="2301"/>
    </row>
    <row r="74" spans="1:27" s="2127" customFormat="1" ht="24.95" customHeight="1" thickBot="1">
      <c r="A74" s="2299"/>
      <c r="B74" s="2300"/>
      <c r="C74" s="2301"/>
      <c r="D74" s="3082"/>
      <c r="E74" s="3082"/>
      <c r="F74" s="3083"/>
      <c r="G74" s="3083"/>
      <c r="H74" s="3083"/>
      <c r="I74" s="3083"/>
      <c r="J74" s="2310"/>
      <c r="K74" s="2301"/>
      <c r="L74" s="2301"/>
      <c r="M74" s="2301"/>
      <c r="N74" s="2301"/>
      <c r="O74" s="2301"/>
      <c r="P74" s="2301"/>
      <c r="Q74" s="2301"/>
      <c r="R74" s="2301"/>
      <c r="S74" s="2301"/>
      <c r="T74" s="2301"/>
      <c r="U74" s="2301"/>
      <c r="V74" s="2301"/>
      <c r="W74" s="2301"/>
      <c r="X74" s="2301"/>
      <c r="Y74" s="2301"/>
      <c r="Z74" s="2301"/>
      <c r="AA74" s="2301"/>
    </row>
    <row r="75" spans="1:27" s="2127" customFormat="1" ht="24.95" customHeight="1">
      <c r="A75" s="2299"/>
      <c r="B75" s="3055"/>
      <c r="C75" s="3056"/>
      <c r="D75" s="3057"/>
      <c r="E75" s="3057"/>
      <c r="F75" s="3057"/>
      <c r="G75" s="3057"/>
      <c r="H75" s="3057"/>
      <c r="I75" s="3057"/>
      <c r="J75" s="3058"/>
      <c r="K75" s="3056"/>
      <c r="L75" s="3056"/>
      <c r="M75" s="3059"/>
      <c r="N75" s="2301"/>
      <c r="O75" s="2301"/>
      <c r="P75" s="2301"/>
      <c r="Q75" s="2301"/>
      <c r="R75" s="2301"/>
      <c r="S75" s="2301"/>
      <c r="T75" s="2301"/>
      <c r="U75" s="2301"/>
      <c r="V75" s="2301"/>
      <c r="W75" s="2301"/>
      <c r="X75" s="2301"/>
      <c r="Y75" s="2301"/>
      <c r="Z75" s="2301"/>
      <c r="AA75" s="2301"/>
    </row>
    <row r="76" spans="1:27" s="2127" customFormat="1" ht="24.95" customHeight="1">
      <c r="A76" s="2299"/>
      <c r="B76" s="3060" t="s">
        <v>3001</v>
      </c>
      <c r="C76" s="3090" t="s">
        <v>973</v>
      </c>
      <c r="D76" s="3062"/>
      <c r="E76" s="3062"/>
      <c r="F76" s="3062"/>
      <c r="G76" s="3062"/>
      <c r="H76" s="3062"/>
      <c r="I76" s="3062"/>
      <c r="J76" s="3063"/>
      <c r="K76" s="3064"/>
      <c r="L76" s="3064"/>
      <c r="M76" s="3065"/>
      <c r="N76" s="2301"/>
      <c r="O76" s="2301"/>
      <c r="P76" s="2301"/>
      <c r="Q76" s="2301"/>
      <c r="R76" s="2301"/>
      <c r="S76" s="2301"/>
      <c r="T76" s="2301"/>
      <c r="U76" s="2301"/>
      <c r="V76" s="2301"/>
      <c r="W76" s="2301"/>
      <c r="X76" s="2301"/>
      <c r="Y76" s="2301"/>
      <c r="Z76" s="2301"/>
      <c r="AA76" s="2301"/>
    </row>
    <row r="77" spans="1:27" s="2127" customFormat="1" ht="24.95" customHeight="1">
      <c r="A77" s="2299"/>
      <c r="B77" s="3060">
        <f>ROW()</f>
        <v>77</v>
      </c>
      <c r="C77" s="3066" t="str">
        <f ca="1">CELL("nomfichier")</f>
        <v>D:\Données\Copie_ancien_DD\0-UPRT.fait\1-UPRT.FR-SITE-WEB\ff-fiches-fabrications\ff-fiches-fabrication-maj-08-2020\[ff-22-formats-formules-pourcentages.xlsx]Epurer.un.texte</v>
      </c>
      <c r="D77" s="3091"/>
      <c r="E77" s="3091"/>
      <c r="F77" s="3091"/>
      <c r="G77" s="3091"/>
      <c r="H77" s="3091"/>
      <c r="I77" s="3091"/>
      <c r="J77" s="3112"/>
      <c r="K77" s="3112"/>
      <c r="L77" s="3113"/>
      <c r="M77" s="3114"/>
      <c r="N77" s="2301" t="s">
        <v>230</v>
      </c>
      <c r="O77" s="2315"/>
      <c r="P77" s="2301"/>
      <c r="Q77" s="2301"/>
      <c r="R77" s="2301"/>
      <c r="S77" s="2301"/>
      <c r="T77" s="2301"/>
      <c r="U77" s="2301"/>
      <c r="V77" s="2301"/>
      <c r="W77" s="2301"/>
      <c r="X77" s="2301"/>
      <c r="Y77" s="2301"/>
      <c r="Z77" s="2301"/>
      <c r="AA77" s="2301"/>
    </row>
    <row r="78" spans="1:27" s="2127" customFormat="1" ht="24.95" customHeight="1">
      <c r="A78" s="2299"/>
      <c r="B78" s="3115"/>
      <c r="C78" s="3072" t="str">
        <f ca="1">_xlfn.FORMULATEXT(C77)</f>
        <v>=@CELLULE("nomfichier")</v>
      </c>
      <c r="D78" s="3072"/>
      <c r="E78" s="3072"/>
      <c r="F78" s="3072"/>
      <c r="G78" s="3072"/>
      <c r="H78" s="3072"/>
      <c r="I78" s="3072"/>
      <c r="J78" s="3072"/>
      <c r="K78" s="3072"/>
      <c r="L78" s="3072"/>
      <c r="M78" s="3065"/>
      <c r="N78" s="2301"/>
      <c r="O78" s="3072"/>
      <c r="P78" s="2301"/>
      <c r="Q78" s="2301"/>
      <c r="R78" s="2301"/>
      <c r="S78" s="2301"/>
      <c r="T78" s="2301"/>
      <c r="U78" s="2301"/>
      <c r="V78" s="2301"/>
      <c r="W78" s="2301"/>
      <c r="X78" s="2301"/>
      <c r="Y78" s="2301"/>
      <c r="Z78" s="2301"/>
      <c r="AA78" s="2301"/>
    </row>
    <row r="79" spans="1:27" s="2127" customFormat="1" ht="24.95" customHeight="1" thickBot="1">
      <c r="A79" s="2299"/>
      <c r="B79" s="3076"/>
      <c r="C79" s="3116" t="s">
        <v>3023</v>
      </c>
      <c r="D79" s="3078"/>
      <c r="E79" s="3078"/>
      <c r="F79" s="3078"/>
      <c r="G79" s="3078"/>
      <c r="H79" s="3078"/>
      <c r="I79" s="3078"/>
      <c r="J79" s="3079"/>
      <c r="K79" s="3080"/>
      <c r="L79" s="3080"/>
      <c r="M79" s="3081"/>
      <c r="N79" s="2301"/>
      <c r="O79" s="2301"/>
      <c r="P79" s="2301"/>
      <c r="Q79" s="2301"/>
      <c r="R79" s="2301"/>
      <c r="S79" s="2301"/>
      <c r="T79" s="2301"/>
      <c r="U79" s="2301"/>
      <c r="V79" s="2301"/>
      <c r="W79" s="2301"/>
      <c r="X79" s="2301"/>
      <c r="Y79" s="2301"/>
      <c r="Z79" s="2301"/>
      <c r="AA79" s="2301"/>
    </row>
    <row r="80" spans="1:27" s="2127" customFormat="1" ht="24.95" customHeight="1" thickBot="1">
      <c r="A80" s="2299"/>
      <c r="B80" s="2300"/>
      <c r="C80" s="2301"/>
      <c r="D80" s="3082"/>
      <c r="E80" s="3082"/>
      <c r="F80" s="3083"/>
      <c r="G80" s="3083"/>
      <c r="H80" s="3083"/>
      <c r="I80" s="3083"/>
      <c r="J80" s="2310"/>
      <c r="K80" s="2301"/>
      <c r="L80" s="2301"/>
      <c r="M80" s="2301"/>
      <c r="N80" s="2301"/>
      <c r="O80" s="2301"/>
      <c r="P80" s="2301"/>
      <c r="Q80" s="2301"/>
      <c r="R80" s="2301"/>
      <c r="S80" s="2301"/>
      <c r="T80" s="2301"/>
      <c r="U80" s="2301"/>
      <c r="V80" s="2301"/>
      <c r="W80" s="2301"/>
      <c r="X80" s="2301"/>
      <c r="Y80" s="2301"/>
      <c r="Z80" s="2301"/>
      <c r="AA80" s="2301"/>
    </row>
    <row r="81" spans="1:27" s="2127" customFormat="1" ht="24.95" customHeight="1">
      <c r="A81" s="2299"/>
      <c r="B81" s="3055"/>
      <c r="C81" s="3056"/>
      <c r="D81" s="3057"/>
      <c r="E81" s="3057"/>
      <c r="F81" s="3057"/>
      <c r="G81" s="3057"/>
      <c r="H81" s="3057"/>
      <c r="I81" s="3057"/>
      <c r="J81" s="3058"/>
      <c r="K81" s="3059"/>
      <c r="L81" s="2301"/>
      <c r="M81" s="2301"/>
      <c r="N81" s="2301"/>
      <c r="O81" s="2301"/>
      <c r="P81" s="2301"/>
      <c r="Q81" s="2301"/>
      <c r="R81" s="2301"/>
      <c r="S81" s="2301"/>
      <c r="T81" s="2301"/>
      <c r="U81" s="2301"/>
      <c r="V81" s="2301"/>
      <c r="W81" s="2301"/>
      <c r="X81" s="2301"/>
      <c r="Y81" s="2301"/>
      <c r="Z81" s="2301"/>
      <c r="AA81" s="2301"/>
    </row>
    <row r="82" spans="1:27" s="2127" customFormat="1" ht="24.95" customHeight="1">
      <c r="A82" s="2299"/>
      <c r="B82" s="3060" t="s">
        <v>3001</v>
      </c>
      <c r="C82" s="3090" t="s">
        <v>982</v>
      </c>
      <c r="D82" s="3062"/>
      <c r="E82" s="3062"/>
      <c r="F82" s="3062"/>
      <c r="G82" s="3062"/>
      <c r="H82" s="3062"/>
      <c r="I82" s="3062"/>
      <c r="J82" s="3063"/>
      <c r="K82" s="3065"/>
      <c r="L82" s="2301"/>
      <c r="M82" s="2301"/>
      <c r="N82" s="2301"/>
      <c r="O82" s="2301"/>
      <c r="P82" s="2301"/>
      <c r="Q82" s="2301"/>
      <c r="R82" s="2301"/>
      <c r="S82" s="2301"/>
      <c r="T82" s="2301"/>
      <c r="U82" s="2301"/>
      <c r="V82" s="2301"/>
      <c r="W82" s="2301"/>
      <c r="X82" s="2301"/>
      <c r="Y82" s="2301"/>
      <c r="Z82" s="2301"/>
      <c r="AA82" s="2301"/>
    </row>
    <row r="83" spans="1:27" s="2127" customFormat="1" ht="24.95" customHeight="1">
      <c r="A83" s="2299"/>
      <c r="B83" s="3060">
        <f>ROW()</f>
        <v>83</v>
      </c>
      <c r="C83" s="3117" t="s">
        <v>3024</v>
      </c>
      <c r="D83" s="3118"/>
      <c r="E83" s="3118"/>
      <c r="F83" s="3118"/>
      <c r="G83" s="3118"/>
      <c r="H83" s="3118"/>
      <c r="I83" s="3118"/>
      <c r="J83" s="3118"/>
      <c r="K83" s="3065"/>
      <c r="L83" s="2301"/>
      <c r="M83" s="2301"/>
      <c r="N83" s="2301"/>
      <c r="O83" s="2301"/>
      <c r="P83" s="2301"/>
      <c r="Q83" s="2301"/>
      <c r="R83" s="2301"/>
      <c r="S83" s="2301"/>
      <c r="T83" s="2301"/>
      <c r="U83" s="2301"/>
      <c r="V83" s="2301"/>
      <c r="W83" s="2301"/>
      <c r="X83" s="2301"/>
      <c r="Y83" s="2301"/>
      <c r="Z83" s="2301"/>
      <c r="AA83" s="2301"/>
    </row>
    <row r="84" spans="1:27" s="2127" customFormat="1" ht="24.95" customHeight="1" thickBot="1">
      <c r="A84" s="2299"/>
      <c r="B84" s="3076"/>
      <c r="C84" s="3116" t="s">
        <v>3025</v>
      </c>
      <c r="D84" s="3078"/>
      <c r="E84" s="3078"/>
      <c r="F84" s="3078"/>
      <c r="G84" s="3078"/>
      <c r="H84" s="3078"/>
      <c r="I84" s="3078"/>
      <c r="J84" s="3079"/>
      <c r="K84" s="3081"/>
      <c r="L84" s="2301"/>
      <c r="M84" s="2301"/>
      <c r="N84" s="2301"/>
      <c r="O84" s="2301"/>
      <c r="P84" s="2301"/>
      <c r="Q84" s="2301"/>
      <c r="R84" s="2301"/>
      <c r="S84" s="2301"/>
      <c r="T84" s="2301"/>
      <c r="U84" s="2301"/>
      <c r="V84" s="2301"/>
      <c r="W84" s="2301"/>
      <c r="X84" s="2301"/>
      <c r="Y84" s="2301"/>
      <c r="Z84" s="2301"/>
      <c r="AA84" s="2301"/>
    </row>
    <row r="85" spans="1:27" s="2127" customFormat="1" ht="24.95" customHeight="1" thickBot="1">
      <c r="A85" s="2299"/>
      <c r="B85" s="2300"/>
      <c r="C85" s="2301"/>
      <c r="D85" s="3082"/>
      <c r="E85" s="3082"/>
      <c r="F85" s="3083"/>
      <c r="G85" s="3083"/>
      <c r="H85" s="3083"/>
      <c r="I85" s="3083"/>
      <c r="J85" s="2310"/>
      <c r="K85" s="2301"/>
      <c r="L85" s="2301"/>
      <c r="M85" s="2301"/>
      <c r="N85" s="2301"/>
      <c r="O85" s="2301"/>
      <c r="P85" s="2301"/>
      <c r="Q85" s="2301"/>
      <c r="R85" s="2301"/>
      <c r="S85" s="2301"/>
      <c r="T85" s="2301"/>
      <c r="U85" s="2301"/>
      <c r="V85" s="2301"/>
      <c r="W85" s="2301"/>
      <c r="X85" s="2301"/>
      <c r="Y85" s="2301"/>
      <c r="Z85" s="2301"/>
      <c r="AA85" s="2301"/>
    </row>
    <row r="86" spans="1:27" s="2127" customFormat="1" ht="24.95" customHeight="1">
      <c r="A86" s="2299"/>
      <c r="B86" s="3055"/>
      <c r="C86" s="3056"/>
      <c r="D86" s="3057"/>
      <c r="E86" s="3057"/>
      <c r="F86" s="3057"/>
      <c r="G86" s="3057"/>
      <c r="H86" s="3057"/>
      <c r="I86" s="3057"/>
      <c r="J86" s="3058"/>
      <c r="K86" s="3056"/>
      <c r="L86" s="3056"/>
      <c r="M86" s="3056"/>
      <c r="N86" s="3056"/>
      <c r="O86" s="3056"/>
      <c r="P86" s="3059"/>
      <c r="Q86" s="2301"/>
      <c r="R86" s="2301"/>
      <c r="S86" s="2301"/>
      <c r="T86" s="2301"/>
      <c r="U86" s="2301"/>
      <c r="V86" s="2301"/>
      <c r="W86" s="2301"/>
      <c r="X86" s="2301"/>
      <c r="Y86" s="2301"/>
      <c r="Z86" s="2301"/>
      <c r="AA86" s="2301"/>
    </row>
    <row r="87" spans="1:27" s="2127" customFormat="1" ht="24.95" customHeight="1">
      <c r="A87" s="2299"/>
      <c r="B87" s="3060" t="s">
        <v>3001</v>
      </c>
      <c r="C87" s="3090" t="s">
        <v>976</v>
      </c>
      <c r="D87" s="3099"/>
      <c r="E87" s="3064"/>
      <c r="F87" s="3064"/>
      <c r="G87" s="3064"/>
      <c r="H87" s="3064"/>
      <c r="I87" s="3064"/>
      <c r="J87" s="3064"/>
      <c r="K87" s="3064"/>
      <c r="L87" s="3064"/>
      <c r="M87" s="3064"/>
      <c r="N87" s="3064"/>
      <c r="O87" s="3064"/>
      <c r="P87" s="3065"/>
      <c r="Q87" s="2316"/>
      <c r="R87" s="2301"/>
      <c r="S87" s="2301"/>
      <c r="T87" s="2301"/>
      <c r="U87" s="2301"/>
      <c r="V87" s="2301"/>
      <c r="W87" s="2301"/>
      <c r="X87" s="2301"/>
      <c r="Y87" s="2301"/>
      <c r="Z87" s="2301"/>
      <c r="AA87" s="2301"/>
    </row>
    <row r="88" spans="1:27" s="2127" customFormat="1" ht="24.95" customHeight="1">
      <c r="A88" s="2299"/>
      <c r="B88" s="3060"/>
      <c r="C88" s="3066" t="str">
        <f ca="1">SUBSTITUTE(SUBSTITUTE(RIGHT(CELL("filename",A1),LEN(CELL("filename",A1))-SEARCH("[",CELL("filename",A1))+1),"[",""),"]"," ")</f>
        <v>ff-22-formats-formules-pourcentages.xlsx Formats-Formules-Fonctions</v>
      </c>
      <c r="D88" s="3091"/>
      <c r="E88" s="3091"/>
      <c r="F88" s="3091"/>
      <c r="G88" s="3091"/>
      <c r="H88" s="3091"/>
      <c r="I88" s="3091"/>
      <c r="J88" s="3068"/>
      <c r="K88" s="3068"/>
      <c r="L88" s="2315"/>
      <c r="M88" s="2315"/>
      <c r="N88" s="2315"/>
      <c r="O88" s="2315"/>
      <c r="P88" s="3119"/>
      <c r="Q88" s="2316"/>
      <c r="R88" s="2301"/>
      <c r="S88" s="2301"/>
      <c r="T88" s="2301"/>
      <c r="U88" s="2301"/>
      <c r="V88" s="2301"/>
      <c r="W88" s="2301"/>
      <c r="X88" s="2301"/>
      <c r="Y88" s="2301"/>
      <c r="Z88" s="2301"/>
      <c r="AA88" s="2301"/>
    </row>
    <row r="89" spans="1:27" s="2127" customFormat="1" ht="24.95" customHeight="1">
      <c r="A89" s="2299"/>
      <c r="B89" s="3060">
        <f>ROW()</f>
        <v>89</v>
      </c>
      <c r="C89" s="3072" t="str">
        <f ca="1">_xlfn.FORMULATEXT(C88)</f>
        <v>=SUBSTITUE(SUBSTITUE(DROITE(@CELLULE("filename";A1);NBCAR(@CELLULE("filename";A1))-CHERCHE("[";@CELLULE("filename";A1))+1);"[";"");"]";" ")</v>
      </c>
      <c r="D89" s="3072"/>
      <c r="E89" s="3072"/>
      <c r="F89" s="3072"/>
      <c r="G89" s="3072"/>
      <c r="H89" s="3072"/>
      <c r="I89" s="3072"/>
      <c r="J89" s="3072"/>
      <c r="K89" s="3072"/>
      <c r="L89" s="3072"/>
      <c r="M89" s="3072"/>
      <c r="N89" s="3072"/>
      <c r="O89" s="3072"/>
      <c r="P89" s="3120"/>
      <c r="Q89" s="2316"/>
      <c r="R89" s="2301"/>
      <c r="S89" s="2301"/>
      <c r="T89" s="2301"/>
      <c r="U89" s="2301"/>
      <c r="V89" s="2301"/>
      <c r="W89" s="2301"/>
      <c r="X89" s="2301"/>
      <c r="Y89" s="2301"/>
      <c r="Z89" s="2301"/>
      <c r="AA89" s="2301"/>
    </row>
    <row r="90" spans="1:27" s="2127" customFormat="1" ht="24.95" customHeight="1" thickBot="1">
      <c r="A90" s="2299"/>
      <c r="B90" s="3076"/>
      <c r="C90" s="3077" t="s">
        <v>3003</v>
      </c>
      <c r="D90" s="3121"/>
      <c r="E90" s="3078"/>
      <c r="F90" s="3078"/>
      <c r="G90" s="3078"/>
      <c r="H90" s="3078"/>
      <c r="I90" s="3078"/>
      <c r="J90" s="3080"/>
      <c r="K90" s="3080"/>
      <c r="L90" s="3080"/>
      <c r="M90" s="3080"/>
      <c r="N90" s="3080"/>
      <c r="O90" s="3080"/>
      <c r="P90" s="3081"/>
      <c r="Q90" s="2316"/>
      <c r="R90" s="2301"/>
      <c r="S90" s="2301"/>
      <c r="T90" s="2301"/>
      <c r="U90" s="2301"/>
      <c r="V90" s="2301"/>
      <c r="W90" s="2301"/>
      <c r="X90" s="2301"/>
      <c r="Y90" s="2301"/>
      <c r="Z90" s="2301"/>
      <c r="AA90" s="2301"/>
    </row>
    <row r="91" spans="1:27" s="2127" customFormat="1" ht="24.95" customHeight="1" thickBot="1">
      <c r="A91" s="2299"/>
      <c r="B91" s="2300"/>
      <c r="C91" s="2301"/>
      <c r="D91" s="3082"/>
      <c r="E91" s="3082"/>
      <c r="F91" s="3083"/>
      <c r="G91" s="3083"/>
      <c r="H91" s="3083"/>
      <c r="I91" s="3083"/>
      <c r="J91" s="2310"/>
      <c r="K91" s="2301"/>
      <c r="L91" s="2301"/>
      <c r="M91" s="2301"/>
      <c r="N91" s="2301"/>
      <c r="O91" s="2301"/>
      <c r="P91" s="2301"/>
      <c r="Q91" s="2301"/>
      <c r="R91" s="2301"/>
      <c r="S91" s="2301"/>
      <c r="T91" s="2301"/>
      <c r="U91" s="2301"/>
      <c r="V91" s="2301"/>
      <c r="W91" s="2301"/>
      <c r="X91" s="2301"/>
      <c r="Y91" s="2301"/>
      <c r="Z91" s="2301"/>
      <c r="AA91" s="2301"/>
    </row>
    <row r="92" spans="1:27" s="2127" customFormat="1" ht="24.95" customHeight="1">
      <c r="A92" s="2299"/>
      <c r="B92" s="3084"/>
      <c r="C92" s="3085"/>
      <c r="D92" s="3086"/>
      <c r="E92" s="3086"/>
      <c r="F92" s="3087"/>
      <c r="G92" s="3087"/>
      <c r="H92" s="3087"/>
      <c r="I92" s="3087"/>
      <c r="J92" s="3088"/>
      <c r="K92" s="3085"/>
      <c r="L92" s="3085"/>
      <c r="M92" s="3089"/>
      <c r="N92" s="2301"/>
      <c r="O92" s="2301"/>
      <c r="P92" s="2301"/>
      <c r="Q92" s="2301"/>
      <c r="R92" s="2301"/>
      <c r="S92" s="2301"/>
      <c r="T92" s="2301"/>
      <c r="U92" s="2301"/>
      <c r="V92" s="2301"/>
      <c r="W92" s="2301"/>
      <c r="X92" s="2301"/>
      <c r="Y92" s="2301"/>
      <c r="Z92" s="2301"/>
      <c r="AA92" s="2301"/>
    </row>
    <row r="93" spans="1:27" s="2127" customFormat="1" ht="24.95" customHeight="1">
      <c r="A93" s="2299"/>
      <c r="B93" s="3060" t="s">
        <v>3001</v>
      </c>
      <c r="C93" s="3090" t="s">
        <v>979</v>
      </c>
      <c r="D93" s="2304"/>
      <c r="E93" s="2301"/>
      <c r="F93" s="2301"/>
      <c r="G93" s="2301"/>
      <c r="H93" s="2301"/>
      <c r="I93" s="2301"/>
      <c r="J93" s="2301"/>
      <c r="K93" s="2301"/>
      <c r="L93" s="2301"/>
      <c r="M93" s="3065"/>
      <c r="N93" s="2301"/>
      <c r="O93" s="2301"/>
      <c r="P93" s="2301"/>
      <c r="Q93" s="2301"/>
      <c r="R93" s="2301"/>
      <c r="S93" s="2301"/>
      <c r="T93" s="2301"/>
      <c r="U93" s="2301"/>
      <c r="V93" s="2301"/>
      <c r="W93" s="2301"/>
      <c r="X93" s="2301"/>
      <c r="Y93" s="2301"/>
      <c r="Z93" s="2301"/>
      <c r="AA93" s="2301"/>
    </row>
    <row r="94" spans="1:27" s="2127" customFormat="1" ht="24.95" customHeight="1">
      <c r="A94" s="2299"/>
      <c r="B94" s="3060"/>
      <c r="C94" s="3066" t="str">
        <f ca="1">SUBSTITUTE(SUBSTITUTE(LEFT(CELL("filename",A1),SEARCH("]",CELL("filename",A1))),"[",""),"]","")</f>
        <v>D:\Données\Copie_ancien_DD\0-UPRT.fait\1-UPRT.FR-SITE-WEB\ff-fiches-fabrications\ff-fiches-fabrication-maj-08-2020\ff-22-formats-formules-pourcentages.xlsx</v>
      </c>
      <c r="D94" s="3091"/>
      <c r="E94" s="3091"/>
      <c r="F94" s="3091"/>
      <c r="G94" s="3091"/>
      <c r="H94" s="3091"/>
      <c r="I94" s="3091"/>
      <c r="J94" s="3091"/>
      <c r="K94" s="3091"/>
      <c r="L94" s="3091"/>
      <c r="M94" s="3065"/>
      <c r="N94" s="2301"/>
      <c r="O94" s="2315"/>
      <c r="P94" s="2301"/>
      <c r="Q94" s="2301"/>
      <c r="R94" s="2301"/>
      <c r="S94" s="2301"/>
      <c r="T94" s="2301"/>
      <c r="U94" s="2301"/>
      <c r="V94" s="2301"/>
      <c r="W94" s="2301"/>
      <c r="X94" s="2301"/>
      <c r="Y94" s="2301"/>
      <c r="Z94" s="2301"/>
      <c r="AA94" s="2301"/>
    </row>
    <row r="95" spans="1:27" s="2127" customFormat="1" ht="24.95" customHeight="1">
      <c r="A95" s="2299"/>
      <c r="B95" s="3060">
        <f>ROW()</f>
        <v>95</v>
      </c>
      <c r="C95" s="3072" t="str">
        <f ca="1">_xlfn.FORMULATEXT(C94)</f>
        <v>=SUBSTITUE(SUBSTITUE(GAUCHE(@CELLULE("filename";A1);CHERCHE("]";@CELLULE("filename";A1)));"[";"");"]";"")</v>
      </c>
      <c r="D95" s="3072"/>
      <c r="E95" s="3072"/>
      <c r="F95" s="3072"/>
      <c r="G95" s="3072"/>
      <c r="H95" s="3072"/>
      <c r="I95" s="3072"/>
      <c r="J95" s="3072"/>
      <c r="K95" s="3072"/>
      <c r="L95" s="3072"/>
      <c r="M95" s="3065"/>
      <c r="N95" s="2301"/>
      <c r="O95" s="3072"/>
      <c r="P95" s="2301"/>
      <c r="Q95" s="2301"/>
      <c r="R95" s="2301"/>
      <c r="S95" s="2301"/>
      <c r="T95" s="2301"/>
      <c r="U95" s="2301"/>
      <c r="V95" s="2301"/>
      <c r="W95" s="2301"/>
      <c r="X95" s="2301"/>
      <c r="Y95" s="2301"/>
      <c r="Z95" s="2301"/>
      <c r="AA95" s="2301"/>
    </row>
    <row r="96" spans="1:27" s="2127" customFormat="1" ht="24.95" customHeight="1" thickBot="1">
      <c r="A96" s="2299"/>
      <c r="B96" s="3092"/>
      <c r="C96" s="3077" t="s">
        <v>3003</v>
      </c>
      <c r="D96" s="3121"/>
      <c r="E96" s="3078"/>
      <c r="F96" s="3078"/>
      <c r="G96" s="3078"/>
      <c r="H96" s="3078"/>
      <c r="I96" s="3078"/>
      <c r="J96" s="3122"/>
      <c r="K96" s="3108"/>
      <c r="L96" s="3108"/>
      <c r="M96" s="3123"/>
      <c r="N96" s="2301"/>
      <c r="O96" s="2301"/>
      <c r="P96" s="2301"/>
      <c r="Q96" s="2301"/>
      <c r="R96" s="2301"/>
      <c r="S96" s="2301"/>
      <c r="T96" s="2301"/>
      <c r="U96" s="2301"/>
      <c r="V96" s="2301"/>
      <c r="W96" s="2301"/>
      <c r="X96" s="2301"/>
      <c r="Y96" s="2301"/>
      <c r="Z96" s="2301"/>
      <c r="AA96" s="2301"/>
    </row>
    <row r="97" spans="1:27" s="2127" customFormat="1" ht="24.95" customHeight="1" thickBot="1">
      <c r="A97" s="2299"/>
      <c r="B97" s="2300"/>
      <c r="C97" s="2301"/>
      <c r="D97" s="3082"/>
      <c r="E97" s="3082"/>
      <c r="F97" s="3083"/>
      <c r="G97" s="3083"/>
      <c r="H97" s="3083"/>
      <c r="I97" s="3083"/>
      <c r="J97" s="2310"/>
      <c r="K97" s="2301"/>
      <c r="L97" s="2301"/>
      <c r="M97" s="2301"/>
      <c r="N97" s="2301"/>
      <c r="O97" s="2301"/>
      <c r="P97" s="2301"/>
      <c r="Q97" s="2301"/>
      <c r="R97" s="2301"/>
      <c r="S97" s="2301"/>
      <c r="T97" s="2301"/>
      <c r="U97" s="2301"/>
      <c r="V97" s="2301"/>
      <c r="W97" s="2301"/>
      <c r="X97" s="2301"/>
      <c r="Y97" s="2301"/>
      <c r="Z97" s="2301"/>
      <c r="AA97" s="2301"/>
    </row>
    <row r="98" spans="1:27" s="2127" customFormat="1" ht="24.95" customHeight="1">
      <c r="A98" s="2299"/>
      <c r="B98" s="3124"/>
      <c r="C98" s="3125"/>
      <c r="D98" s="3126"/>
      <c r="E98" s="3126"/>
      <c r="F98" s="3127"/>
      <c r="G98" s="3127"/>
      <c r="H98" s="3127"/>
      <c r="I98" s="3127"/>
      <c r="J98" s="3128"/>
      <c r="K98" s="3125"/>
      <c r="L98" s="3125"/>
      <c r="M98" s="3125"/>
      <c r="N98" s="3125"/>
      <c r="O98" s="3125"/>
      <c r="P98" s="3129"/>
      <c r="Q98" s="2301"/>
      <c r="R98" s="2301"/>
      <c r="S98" s="2301"/>
      <c r="T98" s="2301"/>
      <c r="U98" s="2301"/>
      <c r="V98" s="2301"/>
      <c r="W98" s="2301"/>
      <c r="X98" s="2301"/>
      <c r="Y98" s="2301"/>
      <c r="Z98" s="2301"/>
      <c r="AA98" s="2301"/>
    </row>
    <row r="99" spans="1:27" s="2127" customFormat="1" ht="24.95" customHeight="1">
      <c r="A99" s="2299"/>
      <c r="B99" s="3060" t="s">
        <v>3001</v>
      </c>
      <c r="C99" s="3090" t="s">
        <v>3026</v>
      </c>
      <c r="D99" s="3062"/>
      <c r="E99" s="3062"/>
      <c r="F99" s="3130"/>
      <c r="G99" s="3130"/>
      <c r="H99" s="3130"/>
      <c r="I99" s="3130"/>
      <c r="J99" s="3131"/>
      <c r="K99" s="2315"/>
      <c r="L99" s="2315"/>
      <c r="M99" s="2315"/>
      <c r="N99" s="2315"/>
      <c r="O99" s="2315"/>
      <c r="P99" s="3119"/>
      <c r="Q99" s="2301"/>
      <c r="R99" s="2301"/>
      <c r="S99" s="2301"/>
      <c r="T99" s="2301"/>
      <c r="U99" s="2301"/>
      <c r="V99" s="2301"/>
      <c r="W99" s="2301"/>
      <c r="X99" s="2301"/>
      <c r="Y99" s="2301"/>
      <c r="Z99" s="2301"/>
      <c r="AA99" s="2301"/>
    </row>
    <row r="100" spans="1:27" s="2127" customFormat="1" ht="24.95" customHeight="1">
      <c r="A100" s="2299"/>
      <c r="B100" s="3060"/>
      <c r="C100" s="3066" t="str">
        <f ca="1">IF(CELL("nomfichier",C55)="\\rcg006bur\usei_cartographie\[ff-29-formats-formules-pourcentages.xlsx]sites","","ff-29-formats-formules-pourcentages COPIE")</f>
        <v>ff-29-formats-formules-pourcentages COPIE</v>
      </c>
      <c r="D100" s="3091"/>
      <c r="E100" s="3091"/>
      <c r="F100" s="3091"/>
      <c r="G100" s="3067"/>
      <c r="H100" s="3067"/>
      <c r="I100" s="3067"/>
      <c r="J100" s="3068"/>
      <c r="K100" s="3068"/>
      <c r="L100" s="2315"/>
      <c r="M100" s="2315"/>
      <c r="N100" s="2315"/>
      <c r="O100" s="2315"/>
      <c r="P100" s="3119"/>
      <c r="Q100" s="2301"/>
      <c r="R100" s="2301"/>
      <c r="S100" s="2301"/>
      <c r="T100" s="2301"/>
      <c r="U100" s="2301"/>
      <c r="V100" s="2301"/>
      <c r="W100" s="2301"/>
      <c r="X100" s="2301"/>
      <c r="Y100" s="2301"/>
      <c r="Z100" s="2301"/>
      <c r="AA100" s="2301"/>
    </row>
    <row r="101" spans="1:27" s="2127" customFormat="1" ht="24.95" customHeight="1">
      <c r="A101" s="2299"/>
      <c r="B101" s="3060">
        <f>ROW()</f>
        <v>101</v>
      </c>
      <c r="C101" s="3072" t="str">
        <f ca="1">_xlfn.FORMULATEXT(C100)</f>
        <v>=SI(@CELLULE("nomfichier";C55)="\\rcg006bur\usei_cartographie\[ff-29-formats-formules-pourcentages.xlsx]sites";"";"ff-29-formats-formules-pourcentages COPIE")</v>
      </c>
      <c r="D101" s="3072"/>
      <c r="E101" s="3072"/>
      <c r="F101" s="3072"/>
      <c r="G101" s="3072"/>
      <c r="H101" s="3072"/>
      <c r="I101" s="3072"/>
      <c r="J101" s="3072"/>
      <c r="K101" s="3072"/>
      <c r="L101" s="3072"/>
      <c r="M101" s="3072"/>
      <c r="N101" s="3072"/>
      <c r="O101" s="3072"/>
      <c r="P101" s="3120"/>
      <c r="Q101" s="2301"/>
      <c r="R101" s="2301"/>
      <c r="S101" s="2301"/>
      <c r="T101" s="2301"/>
      <c r="U101" s="2301"/>
      <c r="V101" s="2301"/>
      <c r="W101" s="2301"/>
      <c r="X101" s="2301"/>
      <c r="Y101" s="2301"/>
      <c r="Z101" s="2301"/>
      <c r="AA101" s="2301"/>
    </row>
    <row r="102" spans="1:27" s="2127" customFormat="1" ht="24.95" customHeight="1" thickBot="1">
      <c r="A102" s="2299"/>
      <c r="B102" s="3132"/>
      <c r="C102" s="3133" t="s">
        <v>3027</v>
      </c>
      <c r="D102" s="3134"/>
      <c r="E102" s="3134"/>
      <c r="F102" s="3135"/>
      <c r="G102" s="3135"/>
      <c r="H102" s="3135"/>
      <c r="I102" s="3135"/>
      <c r="J102" s="3136"/>
      <c r="K102" s="3136"/>
      <c r="L102" s="3136"/>
      <c r="M102" s="3136"/>
      <c r="N102" s="3136"/>
      <c r="O102" s="3136"/>
      <c r="P102" s="3137"/>
      <c r="Q102" s="2301"/>
      <c r="R102" s="2301"/>
      <c r="S102" s="2301"/>
      <c r="T102" s="2301"/>
      <c r="U102" s="2301"/>
      <c r="V102" s="2301"/>
      <c r="W102" s="2301"/>
      <c r="X102" s="2301"/>
      <c r="Y102" s="2301"/>
      <c r="Z102" s="2301"/>
      <c r="AA102" s="2301"/>
    </row>
    <row r="103" spans="1:27" s="2127" customFormat="1" ht="24.95" customHeight="1" thickBot="1">
      <c r="A103" s="2299"/>
      <c r="B103" s="2300"/>
      <c r="C103" s="2301"/>
      <c r="D103" s="3082"/>
      <c r="E103" s="3082"/>
      <c r="F103" s="3083"/>
      <c r="G103" s="3083"/>
      <c r="H103" s="3083"/>
      <c r="I103" s="3083"/>
      <c r="J103" s="2310"/>
      <c r="K103" s="2301"/>
      <c r="L103" s="2301"/>
      <c r="M103" s="2301"/>
      <c r="N103" s="2301"/>
      <c r="O103" s="2301"/>
      <c r="P103" s="2301"/>
      <c r="Q103" s="2301"/>
      <c r="R103" s="2301"/>
      <c r="S103" s="2301"/>
      <c r="T103" s="2301"/>
      <c r="U103" s="2301"/>
      <c r="V103" s="2301"/>
      <c r="W103" s="2301"/>
      <c r="X103" s="2301"/>
      <c r="Y103" s="2301"/>
      <c r="Z103" s="2301"/>
      <c r="AA103" s="2301"/>
    </row>
    <row r="104" spans="1:27" s="2127" customFormat="1" ht="24.95" customHeight="1">
      <c r="A104" s="2299"/>
      <c r="B104" s="3055"/>
      <c r="C104" s="3056"/>
      <c r="D104" s="3057"/>
      <c r="E104" s="3057"/>
      <c r="F104" s="3057"/>
      <c r="G104" s="3057"/>
      <c r="H104" s="3057"/>
      <c r="I104" s="3057"/>
      <c r="J104" s="3058"/>
      <c r="K104" s="3056"/>
      <c r="L104" s="3059"/>
      <c r="M104" s="2301"/>
      <c r="N104" s="2301"/>
      <c r="O104" s="2301"/>
      <c r="P104" s="2301"/>
      <c r="Q104" s="2301"/>
      <c r="R104" s="2301"/>
      <c r="S104" s="2301"/>
      <c r="T104" s="2301"/>
      <c r="U104" s="2301"/>
      <c r="V104" s="2301"/>
      <c r="W104" s="2301"/>
      <c r="X104" s="2301"/>
      <c r="Y104" s="2301"/>
      <c r="Z104" s="2301"/>
      <c r="AA104" s="2301"/>
    </row>
    <row r="105" spans="1:27" s="2127" customFormat="1" ht="24.95" customHeight="1">
      <c r="A105" s="2299"/>
      <c r="B105" s="3115"/>
      <c r="C105" s="3090" t="s">
        <v>2226</v>
      </c>
      <c r="D105" s="3138"/>
      <c r="E105" s="3139"/>
      <c r="F105" s="3062"/>
      <c r="G105" s="3062"/>
      <c r="H105" s="3062"/>
      <c r="I105" s="3062"/>
      <c r="J105" s="3063"/>
      <c r="K105" s="3064"/>
      <c r="L105" s="3065"/>
      <c r="M105" s="2301"/>
      <c r="N105" s="2301"/>
      <c r="O105" s="2301"/>
      <c r="P105" s="2301"/>
      <c r="Q105" s="2301"/>
      <c r="R105" s="2301"/>
      <c r="S105" s="2301"/>
      <c r="T105" s="2301"/>
      <c r="U105" s="2301"/>
      <c r="V105" s="2301"/>
      <c r="W105" s="2301"/>
      <c r="X105" s="2301"/>
      <c r="Y105" s="2301"/>
      <c r="Z105" s="2301"/>
      <c r="AA105" s="2301"/>
    </row>
    <row r="106" spans="1:27" s="2127" customFormat="1" ht="24.95" customHeight="1" thickBot="1">
      <c r="A106" s="2299"/>
      <c r="B106" s="3060" t="s">
        <v>3001</v>
      </c>
      <c r="C106" s="3140" t="s">
        <v>2227</v>
      </c>
      <c r="D106" s="3138"/>
      <c r="E106" s="3139"/>
      <c r="F106" s="3062"/>
      <c r="G106" s="3062"/>
      <c r="H106" s="3062"/>
      <c r="I106" s="3062"/>
      <c r="J106" s="3063"/>
      <c r="K106" s="3064"/>
      <c r="L106" s="3065"/>
      <c r="M106" s="2301"/>
      <c r="N106" s="2301"/>
      <c r="O106" s="2301"/>
      <c r="P106" s="2301"/>
      <c r="Q106" s="2301"/>
      <c r="R106" s="2301"/>
      <c r="S106" s="2301"/>
      <c r="T106" s="2301"/>
      <c r="U106" s="2301"/>
      <c r="V106" s="2301"/>
      <c r="W106" s="2301"/>
      <c r="X106" s="2301"/>
      <c r="Y106" s="2301"/>
      <c r="Z106" s="2301"/>
      <c r="AA106" s="2301"/>
    </row>
    <row r="107" spans="1:27" s="2127" customFormat="1" ht="24.95" customHeight="1" thickBot="1">
      <c r="A107" s="2299"/>
      <c r="B107" s="3060">
        <f>ROW()</f>
        <v>107</v>
      </c>
      <c r="C107" s="3141" t="s">
        <v>2228</v>
      </c>
      <c r="D107" s="3142"/>
      <c r="E107" s="3143" t="str">
        <f>RIGHT(C107,LEN(C107)-SEARCH(" ",C107))&amp;" "&amp;LEFT(C107,SEARCH(" ",C107))</f>
        <v xml:space="preserve">paul  legendre </v>
      </c>
      <c r="F107" s="3144"/>
      <c r="G107" s="3067"/>
      <c r="H107" s="3067"/>
      <c r="I107" s="3067"/>
      <c r="J107" s="3067"/>
      <c r="K107" s="3067"/>
      <c r="L107" s="3065"/>
      <c r="M107" s="2301"/>
      <c r="N107" s="2315"/>
      <c r="O107" s="2315"/>
      <c r="P107" s="2315"/>
      <c r="Q107" s="2315"/>
      <c r="R107" s="2301"/>
      <c r="S107" s="2301"/>
      <c r="T107" s="2301"/>
      <c r="U107" s="2301"/>
      <c r="V107" s="2301"/>
      <c r="W107" s="2301"/>
      <c r="X107" s="2301"/>
      <c r="Y107" s="2301"/>
      <c r="Z107" s="2301"/>
      <c r="AA107" s="2301"/>
    </row>
    <row r="108" spans="1:27" s="2127" customFormat="1" ht="24.95" customHeight="1">
      <c r="A108" s="2299"/>
      <c r="B108" s="3115"/>
      <c r="C108" s="3064"/>
      <c r="D108" s="3062"/>
      <c r="E108" s="3072" t="str">
        <f ca="1">_xlfn.FORMULATEXT(E107)</f>
        <v>=DROITE(C107;NBCAR(C107)-CHERCHE(" ";C107))&amp;" "&amp;GAUCHE(C107;CHERCHE(" ";C107))</v>
      </c>
      <c r="F108" s="3072"/>
      <c r="G108" s="3072"/>
      <c r="H108" s="3072"/>
      <c r="I108" s="3072"/>
      <c r="J108" s="3072"/>
      <c r="K108" s="3072"/>
      <c r="L108" s="3065"/>
      <c r="M108" s="2301"/>
      <c r="N108" s="3072"/>
      <c r="O108" s="3072"/>
      <c r="P108" s="3072"/>
      <c r="Q108" s="3072"/>
      <c r="R108" s="2301"/>
      <c r="S108" s="2301"/>
      <c r="T108" s="2301"/>
      <c r="U108" s="2301"/>
      <c r="V108" s="2301"/>
      <c r="W108" s="2301"/>
      <c r="X108" s="2301"/>
      <c r="Y108" s="2301"/>
      <c r="Z108" s="2301"/>
      <c r="AA108" s="2301"/>
    </row>
    <row r="109" spans="1:27" s="2127" customFormat="1" ht="24.95" customHeight="1" thickBot="1">
      <c r="A109" s="2299"/>
      <c r="B109" s="3076"/>
      <c r="C109" s="3080"/>
      <c r="D109" s="3078"/>
      <c r="E109" s="3077" t="s">
        <v>3028</v>
      </c>
      <c r="F109" s="3078"/>
      <c r="G109" s="3078"/>
      <c r="H109" s="3078"/>
      <c r="I109" s="3078"/>
      <c r="J109" s="3079"/>
      <c r="K109" s="3080"/>
      <c r="L109" s="3081"/>
      <c r="M109" s="2301"/>
      <c r="N109" s="2301"/>
      <c r="O109" s="2301"/>
      <c r="P109" s="2301"/>
      <c r="Q109" s="2301"/>
      <c r="R109" s="2301"/>
      <c r="S109" s="2301"/>
      <c r="T109" s="2301"/>
      <c r="U109" s="2301"/>
      <c r="V109" s="2301"/>
      <c r="W109" s="2301"/>
      <c r="X109" s="2301"/>
      <c r="Y109" s="2301"/>
      <c r="Z109" s="2301"/>
      <c r="AA109" s="2301"/>
    </row>
    <row r="110" spans="1:27" s="2127" customFormat="1" ht="24.95" customHeight="1" thickBot="1">
      <c r="A110" s="2299"/>
      <c r="B110" s="2300"/>
      <c r="C110" s="2301"/>
      <c r="D110" s="3082"/>
      <c r="E110" s="3082"/>
      <c r="F110" s="3083"/>
      <c r="G110" s="3083"/>
      <c r="H110" s="3083"/>
      <c r="I110" s="3083"/>
      <c r="J110" s="2310"/>
      <c r="K110" s="2301"/>
      <c r="L110" s="2301"/>
      <c r="M110" s="2301"/>
      <c r="N110" s="2301"/>
      <c r="O110" s="2301"/>
      <c r="P110" s="2301"/>
      <c r="Q110" s="2301"/>
      <c r="R110" s="2301"/>
      <c r="S110" s="2301"/>
      <c r="T110" s="2301"/>
      <c r="U110" s="2301"/>
      <c r="V110" s="2301"/>
      <c r="W110" s="2301"/>
      <c r="X110" s="2301"/>
      <c r="Y110" s="2301"/>
      <c r="Z110" s="2301"/>
      <c r="AA110" s="2301"/>
    </row>
    <row r="111" spans="1:27" s="2127" customFormat="1" ht="24.95" customHeight="1">
      <c r="A111" s="2299"/>
      <c r="B111" s="3055"/>
      <c r="C111" s="3056"/>
      <c r="D111" s="3057"/>
      <c r="E111" s="3057"/>
      <c r="F111" s="3057"/>
      <c r="G111" s="3057"/>
      <c r="H111" s="3057"/>
      <c r="I111" s="3057"/>
      <c r="J111" s="3088"/>
      <c r="K111" s="3089"/>
      <c r="L111" s="2301"/>
      <c r="M111" s="2301"/>
      <c r="N111" s="2301"/>
      <c r="O111" s="2301"/>
      <c r="P111" s="2301"/>
      <c r="Q111" s="2301"/>
      <c r="R111" s="2301"/>
      <c r="S111" s="2301"/>
      <c r="T111" s="2301"/>
      <c r="U111" s="2301"/>
      <c r="V111" s="2301"/>
      <c r="W111" s="2301"/>
      <c r="X111" s="2301"/>
      <c r="Y111" s="2301"/>
      <c r="Z111" s="2301"/>
      <c r="AA111" s="2301"/>
    </row>
    <row r="112" spans="1:27" s="2127" customFormat="1" ht="24.95" customHeight="1">
      <c r="A112" s="2299"/>
      <c r="B112" s="3115"/>
      <c r="C112" s="3090" t="s">
        <v>3029</v>
      </c>
      <c r="D112" s="3062"/>
      <c r="E112" s="3062"/>
      <c r="F112" s="3062"/>
      <c r="G112" s="3062"/>
      <c r="H112" s="3062"/>
      <c r="I112" s="3062"/>
      <c r="J112" s="2310"/>
      <c r="K112" s="3145"/>
      <c r="L112" s="2301"/>
      <c r="M112" s="2301"/>
      <c r="N112" s="2301"/>
      <c r="O112" s="2301"/>
      <c r="P112" s="2301"/>
      <c r="Q112" s="2301"/>
      <c r="R112" s="2301"/>
      <c r="S112" s="2301"/>
      <c r="T112" s="2301"/>
      <c r="U112" s="2301"/>
      <c r="V112" s="2301"/>
      <c r="W112" s="2301"/>
      <c r="X112" s="2301"/>
      <c r="Y112" s="2301"/>
      <c r="Z112" s="2301"/>
      <c r="AA112" s="2301"/>
    </row>
    <row r="113" spans="1:27" s="2127" customFormat="1" ht="24.95" customHeight="1">
      <c r="A113" s="2299"/>
      <c r="B113" s="3060" t="s">
        <v>3001</v>
      </c>
      <c r="C113" s="3062"/>
      <c r="D113" s="3062"/>
      <c r="E113" s="3062"/>
      <c r="F113" s="3062"/>
      <c r="G113" s="3062"/>
      <c r="H113" s="3062"/>
      <c r="I113" s="3062"/>
      <c r="J113" s="2310"/>
      <c r="K113" s="3145"/>
      <c r="L113" s="2301"/>
      <c r="M113" s="2301"/>
      <c r="N113" s="2301"/>
      <c r="O113" s="2301"/>
      <c r="P113" s="2301"/>
      <c r="Q113" s="2301"/>
      <c r="R113" s="2301"/>
      <c r="S113" s="2301"/>
      <c r="T113" s="2301"/>
      <c r="U113" s="2301"/>
      <c r="V113" s="2301"/>
      <c r="W113" s="2301"/>
      <c r="X113" s="2301"/>
      <c r="Y113" s="2301"/>
      <c r="Z113" s="2301"/>
      <c r="AA113" s="2301"/>
    </row>
    <row r="114" spans="1:27" s="2127" customFormat="1" ht="24.95" customHeight="1">
      <c r="A114" s="2299"/>
      <c r="B114" s="3060">
        <f>ROW()</f>
        <v>114</v>
      </c>
      <c r="C114" s="3146">
        <v>5</v>
      </c>
      <c r="D114" s="3147">
        <f>RANK(C114,C114:C118,0)</f>
        <v>3</v>
      </c>
      <c r="E114" s="3072" t="str">
        <f ca="1">_xlfn.FORMULATEXT(D114)</f>
        <v>=RANG(C114;C114:C118;0)</v>
      </c>
      <c r="F114" s="3139"/>
      <c r="G114" s="3062"/>
      <c r="H114" s="3082"/>
      <c r="I114" s="3062"/>
      <c r="J114" s="2310"/>
      <c r="K114" s="3145"/>
      <c r="L114" s="2301"/>
      <c r="M114" s="2301"/>
      <c r="N114" s="2301"/>
      <c r="O114" s="2301"/>
      <c r="P114" s="2301"/>
      <c r="Q114" s="2301"/>
      <c r="R114" s="2301"/>
      <c r="S114" s="2301"/>
      <c r="T114" s="2301"/>
      <c r="U114" s="2301"/>
      <c r="V114" s="2301"/>
      <c r="W114" s="2301"/>
      <c r="X114" s="2301"/>
      <c r="Y114" s="2301"/>
      <c r="Z114" s="2301"/>
      <c r="AA114" s="2301"/>
    </row>
    <row r="115" spans="1:27" s="2127" customFormat="1" ht="24.95" customHeight="1">
      <c r="A115" s="2299"/>
      <c r="B115" s="3115"/>
      <c r="C115" s="3146">
        <v>8</v>
      </c>
      <c r="D115" s="3147">
        <f>RANK(C115,C114:C118,0)</f>
        <v>1</v>
      </c>
      <c r="E115" s="3148" t="s">
        <v>2240</v>
      </c>
      <c r="F115" s="3139"/>
      <c r="G115" s="3062"/>
      <c r="H115" s="3062"/>
      <c r="I115" s="3062"/>
      <c r="J115" s="2310"/>
      <c r="K115" s="3145"/>
      <c r="L115" s="2301"/>
      <c r="M115" s="2301"/>
      <c r="N115" s="2301"/>
      <c r="O115" s="2301"/>
      <c r="P115" s="2301"/>
      <c r="Q115" s="2301"/>
      <c r="R115" s="2301"/>
      <c r="S115" s="2301"/>
      <c r="T115" s="2301"/>
      <c r="U115" s="2301"/>
      <c r="V115" s="2301"/>
      <c r="W115" s="2301"/>
      <c r="X115" s="2301"/>
      <c r="Y115" s="2301"/>
      <c r="Z115" s="2301"/>
      <c r="AA115" s="2301"/>
    </row>
    <row r="116" spans="1:27" s="2127" customFormat="1" ht="24.95" customHeight="1">
      <c r="A116" s="2299"/>
      <c r="B116" s="3115"/>
      <c r="C116" s="3146">
        <v>4</v>
      </c>
      <c r="D116" s="3147">
        <f>RANK(C116,C114:C118,0)</f>
        <v>4</v>
      </c>
      <c r="E116" s="3138"/>
      <c r="F116" s="3139"/>
      <c r="G116" s="3062"/>
      <c r="H116" s="3062"/>
      <c r="I116" s="3062"/>
      <c r="J116" s="2310"/>
      <c r="K116" s="3145"/>
      <c r="L116" s="2301"/>
      <c r="M116" s="2301"/>
      <c r="N116" s="2301"/>
      <c r="O116" s="2301"/>
      <c r="P116" s="2301"/>
      <c r="Q116" s="2301"/>
      <c r="R116" s="2301"/>
      <c r="S116" s="2301"/>
      <c r="T116" s="2301"/>
      <c r="U116" s="2301"/>
      <c r="V116" s="2301"/>
      <c r="W116" s="2301"/>
      <c r="X116" s="2301"/>
      <c r="Y116" s="2301"/>
      <c r="Z116" s="2301"/>
      <c r="AA116" s="2301"/>
    </row>
    <row r="117" spans="1:27" s="2127" customFormat="1" ht="24.95" customHeight="1">
      <c r="A117" s="2299"/>
      <c r="B117" s="3115"/>
      <c r="C117" s="3146">
        <v>1</v>
      </c>
      <c r="D117" s="3147">
        <f>RANK(C117,C114:C118,0)</f>
        <v>5</v>
      </c>
      <c r="E117" s="3138"/>
      <c r="F117" s="3139"/>
      <c r="G117" s="3062"/>
      <c r="H117" s="3062"/>
      <c r="I117" s="3062"/>
      <c r="J117" s="2310"/>
      <c r="K117" s="3145"/>
      <c r="L117" s="2301"/>
      <c r="M117" s="2301"/>
      <c r="N117" s="2301"/>
      <c r="O117" s="2301"/>
      <c r="P117" s="2301"/>
      <c r="Q117" s="2301"/>
      <c r="R117" s="2301"/>
      <c r="S117" s="2301"/>
      <c r="T117" s="2301"/>
      <c r="U117" s="2301"/>
      <c r="V117" s="2301"/>
      <c r="W117" s="2301"/>
      <c r="X117" s="2301"/>
      <c r="Y117" s="2301"/>
      <c r="Z117" s="2301"/>
      <c r="AA117" s="2301"/>
    </row>
    <row r="118" spans="1:27" s="2127" customFormat="1" ht="24.95" customHeight="1">
      <c r="A118" s="2299"/>
      <c r="B118" s="3115"/>
      <c r="C118" s="3146">
        <v>7</v>
      </c>
      <c r="D118" s="3147">
        <f>RANK(C118,C114:C118,0)</f>
        <v>2</v>
      </c>
      <c r="E118" s="3138"/>
      <c r="F118" s="3139"/>
      <c r="G118" s="3062"/>
      <c r="H118" s="3062"/>
      <c r="I118" s="3062"/>
      <c r="J118" s="2310"/>
      <c r="K118" s="3145"/>
      <c r="L118" s="2301"/>
      <c r="M118" s="2301"/>
      <c r="N118" s="2301"/>
      <c r="O118" s="2301"/>
      <c r="P118" s="2301"/>
      <c r="Q118" s="2301"/>
      <c r="R118" s="2301"/>
      <c r="S118" s="2301"/>
      <c r="T118" s="2301"/>
      <c r="U118" s="2301"/>
      <c r="V118" s="2301"/>
      <c r="W118" s="2301"/>
      <c r="X118" s="2301"/>
      <c r="Y118" s="2301"/>
      <c r="Z118" s="2301"/>
      <c r="AA118" s="2301"/>
    </row>
    <row r="119" spans="1:27" s="2127" customFormat="1" ht="24.95" customHeight="1" thickBot="1">
      <c r="A119" s="2299"/>
      <c r="B119" s="3149" t="s">
        <v>3030</v>
      </c>
      <c r="C119" s="3080"/>
      <c r="D119" s="3078"/>
      <c r="E119" s="3078"/>
      <c r="F119" s="3078"/>
      <c r="G119" s="3078"/>
      <c r="H119" s="3078"/>
      <c r="I119" s="3078"/>
      <c r="J119" s="3122"/>
      <c r="K119" s="3123"/>
      <c r="L119" s="2301"/>
      <c r="M119" s="2301"/>
      <c r="N119" s="2301"/>
      <c r="O119" s="2301"/>
      <c r="P119" s="2301"/>
      <c r="Q119" s="2301"/>
      <c r="R119" s="2301"/>
      <c r="S119" s="2301"/>
      <c r="T119" s="2301"/>
      <c r="U119" s="2301"/>
      <c r="V119" s="2301"/>
      <c r="W119" s="2301"/>
      <c r="X119" s="2301"/>
      <c r="Y119" s="2301"/>
      <c r="Z119" s="2301"/>
      <c r="AA119" s="2301"/>
    </row>
    <row r="120" spans="1:27" s="2127" customFormat="1" ht="24.95" customHeight="1" thickBot="1">
      <c r="A120" s="2299"/>
      <c r="B120" s="2300"/>
      <c r="C120" s="2301"/>
      <c r="D120" s="3082"/>
      <c r="E120" s="3082"/>
      <c r="F120" s="3083"/>
      <c r="G120" s="3083"/>
      <c r="H120" s="3083"/>
      <c r="I120" s="3083"/>
      <c r="J120" s="2310"/>
      <c r="K120" s="2301"/>
      <c r="L120" s="2301"/>
      <c r="M120" s="2301"/>
      <c r="N120" s="2301"/>
      <c r="O120" s="2301"/>
      <c r="P120" s="2301"/>
      <c r="Q120" s="2301"/>
      <c r="R120" s="2301"/>
      <c r="S120" s="2301"/>
      <c r="T120" s="2301"/>
      <c r="U120" s="2301"/>
      <c r="V120" s="2301"/>
      <c r="W120" s="2301"/>
      <c r="X120" s="2301"/>
      <c r="Y120" s="2301"/>
      <c r="Z120" s="2301"/>
      <c r="AA120" s="2301"/>
    </row>
    <row r="121" spans="1:27" s="2127" customFormat="1" ht="24.95" customHeight="1">
      <c r="A121" s="2299"/>
      <c r="B121" s="3055"/>
      <c r="C121" s="3056"/>
      <c r="D121" s="3057"/>
      <c r="E121" s="3057"/>
      <c r="F121" s="3057"/>
      <c r="G121" s="3057"/>
      <c r="H121" s="3057"/>
      <c r="I121" s="3057"/>
      <c r="J121" s="3058"/>
      <c r="K121" s="3059"/>
      <c r="L121" s="2301"/>
      <c r="M121" s="2301"/>
      <c r="N121" s="2301"/>
      <c r="O121" s="2301"/>
      <c r="P121" s="2301"/>
      <c r="Q121" s="2301"/>
      <c r="R121" s="2301"/>
      <c r="S121" s="2301"/>
      <c r="T121" s="2301"/>
      <c r="U121" s="2301"/>
      <c r="V121" s="2301"/>
      <c r="W121" s="2301"/>
      <c r="X121" s="2301"/>
      <c r="Y121" s="2301"/>
      <c r="Z121" s="2301"/>
      <c r="AA121" s="2301"/>
    </row>
    <row r="122" spans="1:27" s="2127" customFormat="1" ht="24.95" customHeight="1">
      <c r="A122" s="2299"/>
      <c r="B122" s="3115"/>
      <c r="C122" s="3090" t="s">
        <v>2229</v>
      </c>
      <c r="D122" s="3150"/>
      <c r="E122" s="3138"/>
      <c r="F122" s="3139"/>
      <c r="G122" s="3062"/>
      <c r="H122" s="3062"/>
      <c r="I122" s="3062"/>
      <c r="J122" s="3063"/>
      <c r="K122" s="3065"/>
      <c r="L122" s="2301"/>
      <c r="M122" s="2301"/>
      <c r="N122" s="2301"/>
      <c r="O122" s="2301"/>
      <c r="P122" s="2301"/>
      <c r="Q122" s="2301"/>
      <c r="R122" s="2301"/>
      <c r="S122" s="2301"/>
      <c r="T122" s="2301"/>
      <c r="U122" s="2301"/>
      <c r="V122" s="2301"/>
      <c r="W122" s="2301"/>
      <c r="X122" s="2301"/>
      <c r="Y122" s="2301"/>
      <c r="Z122" s="2301"/>
      <c r="AA122" s="2301"/>
    </row>
    <row r="123" spans="1:27" s="2127" customFormat="1" ht="24.95" customHeight="1">
      <c r="A123" s="2299"/>
      <c r="B123" s="3115"/>
      <c r="C123" s="3140" t="s">
        <v>2230</v>
      </c>
      <c r="D123" s="3064"/>
      <c r="E123" s="3138"/>
      <c r="F123" s="3139"/>
      <c r="G123" s="3062"/>
      <c r="H123" s="3062"/>
      <c r="I123" s="3062"/>
      <c r="J123" s="3063"/>
      <c r="K123" s="3065"/>
      <c r="L123" s="2301"/>
      <c r="M123" s="2301"/>
      <c r="N123" s="2301"/>
      <c r="O123" s="2301"/>
      <c r="P123" s="2301"/>
      <c r="Q123" s="2301"/>
      <c r="R123" s="2301"/>
      <c r="S123" s="2301"/>
      <c r="T123" s="2301"/>
      <c r="U123" s="2301"/>
      <c r="V123" s="2301"/>
      <c r="W123" s="2301"/>
      <c r="X123" s="2301"/>
      <c r="Y123" s="2301"/>
      <c r="Z123" s="2301"/>
      <c r="AA123" s="2301"/>
    </row>
    <row r="124" spans="1:27" s="2127" customFormat="1" ht="24.95" customHeight="1">
      <c r="A124" s="2299"/>
      <c r="B124" s="3115"/>
      <c r="C124" s="3140" t="s">
        <v>2231</v>
      </c>
      <c r="D124" s="3064"/>
      <c r="E124" s="3138"/>
      <c r="F124" s="3139"/>
      <c r="G124" s="3062"/>
      <c r="H124" s="3062"/>
      <c r="I124" s="3062"/>
      <c r="J124" s="3063"/>
      <c r="K124" s="3065"/>
      <c r="L124" s="2301"/>
      <c r="M124" s="2301"/>
      <c r="N124" s="2301"/>
      <c r="O124" s="2301"/>
      <c r="P124" s="2301"/>
      <c r="Q124" s="2301"/>
      <c r="R124" s="2301"/>
      <c r="S124" s="2301"/>
      <c r="T124" s="2301"/>
      <c r="U124" s="2301"/>
      <c r="V124" s="2301"/>
      <c r="W124" s="2301"/>
      <c r="X124" s="2301"/>
      <c r="Y124" s="2301"/>
      <c r="Z124" s="2301"/>
      <c r="AA124" s="2301"/>
    </row>
    <row r="125" spans="1:27" s="2127" customFormat="1" ht="24.95" customHeight="1">
      <c r="A125" s="2299"/>
      <c r="B125" s="3115"/>
      <c r="C125" s="3150" t="s">
        <v>3031</v>
      </c>
      <c r="D125" s="3064"/>
      <c r="E125" s="3138"/>
      <c r="F125" s="3139"/>
      <c r="G125" s="3062"/>
      <c r="H125" s="3062"/>
      <c r="I125" s="3062"/>
      <c r="J125" s="3063"/>
      <c r="K125" s="3065"/>
      <c r="L125" s="2301"/>
      <c r="M125" s="2301"/>
      <c r="N125" s="2301"/>
      <c r="O125" s="2301"/>
      <c r="P125" s="2301"/>
      <c r="Q125" s="2301"/>
      <c r="R125" s="2301"/>
      <c r="S125" s="2301"/>
      <c r="T125" s="2301"/>
      <c r="U125" s="2301"/>
      <c r="V125" s="2301"/>
      <c r="W125" s="2301"/>
      <c r="X125" s="2301"/>
      <c r="Y125" s="2301"/>
      <c r="Z125" s="2301"/>
      <c r="AA125" s="2301"/>
    </row>
    <row r="126" spans="1:27" s="2127" customFormat="1" ht="24.95" customHeight="1">
      <c r="A126" s="2299"/>
      <c r="B126" s="3060" t="s">
        <v>3001</v>
      </c>
      <c r="C126" s="3062"/>
      <c r="D126" s="3062"/>
      <c r="E126" s="3062"/>
      <c r="F126" s="3062"/>
      <c r="G126" s="3062"/>
      <c r="H126" s="3062"/>
      <c r="I126" s="3062"/>
      <c r="J126" s="3063"/>
      <c r="K126" s="3065"/>
      <c r="L126" s="2301"/>
      <c r="M126" s="2301"/>
      <c r="N126" s="2301"/>
      <c r="O126" s="2301"/>
      <c r="P126" s="2301"/>
      <c r="Q126" s="2301"/>
      <c r="R126" s="2301"/>
      <c r="S126" s="2301"/>
      <c r="T126" s="2301"/>
      <c r="U126" s="2301"/>
      <c r="V126" s="2301"/>
      <c r="W126" s="2301"/>
      <c r="X126" s="2301"/>
      <c r="Y126" s="2301"/>
      <c r="Z126" s="2301"/>
      <c r="AA126" s="2301"/>
    </row>
    <row r="127" spans="1:27" s="2127" customFormat="1" ht="24.95" customHeight="1">
      <c r="A127" s="2299"/>
      <c r="B127" s="3060">
        <f>ROW()</f>
        <v>127</v>
      </c>
      <c r="C127" s="3146">
        <v>5</v>
      </c>
      <c r="D127" s="3151" t="str">
        <f>REPT(CHAR(7),RANK(C127,C127:C131,1))</f>
        <v>_x0007__x0007__x0007_</v>
      </c>
      <c r="E127" s="3072" t="str">
        <f ca="1">_xlfn.FORMULATEXT(D127)</f>
        <v>=REPT(CAR(7);RANG(C127;C127:C131;1))</v>
      </c>
      <c r="F127" s="3139"/>
      <c r="G127" s="3139"/>
      <c r="H127" s="3139"/>
      <c r="I127" s="3062"/>
      <c r="J127" s="3063"/>
      <c r="K127" s="3065"/>
      <c r="L127" s="2301"/>
      <c r="M127" s="2301"/>
      <c r="N127" s="2301"/>
      <c r="O127" s="2301"/>
      <c r="P127" s="2301"/>
      <c r="Q127" s="2301"/>
      <c r="R127" s="2301"/>
      <c r="S127" s="2301"/>
      <c r="T127" s="2301"/>
      <c r="U127" s="2301"/>
      <c r="V127" s="2301"/>
      <c r="W127" s="2301"/>
      <c r="X127" s="2301"/>
      <c r="Y127" s="2301"/>
      <c r="Z127" s="2301"/>
      <c r="AA127" s="2301"/>
    </row>
    <row r="128" spans="1:27" s="2127" customFormat="1" ht="24.95" customHeight="1">
      <c r="A128" s="2299"/>
      <c r="B128" s="3115"/>
      <c r="C128" s="3146">
        <v>8</v>
      </c>
      <c r="D128" s="3151" t="str">
        <f>REPT(CHAR(7),RANK(C128,C127:C131,1))</f>
        <v>_x0007__x0007__x0007__x0007__x0007_</v>
      </c>
      <c r="E128" s="3138"/>
      <c r="F128" s="3139"/>
      <c r="G128" s="3062"/>
      <c r="H128" s="3062"/>
      <c r="I128" s="3062"/>
      <c r="J128" s="3063"/>
      <c r="K128" s="3065"/>
      <c r="L128" s="2301"/>
      <c r="M128" s="2301"/>
      <c r="N128" s="2301"/>
      <c r="O128" s="2301"/>
      <c r="P128" s="2301"/>
      <c r="Q128" s="2301"/>
      <c r="R128" s="2301"/>
      <c r="S128" s="2301"/>
      <c r="T128" s="2301"/>
      <c r="U128" s="2301"/>
      <c r="V128" s="2301"/>
      <c r="W128" s="2301"/>
      <c r="X128" s="2301"/>
      <c r="Y128" s="2301"/>
      <c r="Z128" s="2301"/>
      <c r="AA128" s="2301"/>
    </row>
    <row r="129" spans="1:27" s="2127" customFormat="1" ht="24.95" customHeight="1">
      <c r="A129" s="2299"/>
      <c r="B129" s="3115"/>
      <c r="C129" s="3146">
        <v>4</v>
      </c>
      <c r="D129" s="3151" t="str">
        <f>REPT(CHAR(7),RANK(C129,C127:C131,1))</f>
        <v>_x0007__x0007_</v>
      </c>
      <c r="E129" s="3138"/>
      <c r="F129" s="3139"/>
      <c r="G129" s="3062"/>
      <c r="H129" s="3062"/>
      <c r="I129" s="3062"/>
      <c r="J129" s="3063"/>
      <c r="K129" s="3065"/>
      <c r="L129" s="2301"/>
      <c r="M129" s="2301"/>
      <c r="N129" s="2301"/>
      <c r="O129" s="2301"/>
      <c r="P129" s="2301"/>
      <c r="Q129" s="2301"/>
      <c r="R129" s="2301"/>
      <c r="S129" s="2301"/>
      <c r="T129" s="2301"/>
      <c r="U129" s="2301"/>
      <c r="V129" s="2301"/>
      <c r="W129" s="2301"/>
      <c r="X129" s="2301"/>
      <c r="Y129" s="2301"/>
      <c r="Z129" s="2301"/>
      <c r="AA129" s="2301"/>
    </row>
    <row r="130" spans="1:27" s="2127" customFormat="1" ht="24.95" customHeight="1">
      <c r="A130" s="2299"/>
      <c r="B130" s="3115"/>
      <c r="C130" s="3146">
        <v>1</v>
      </c>
      <c r="D130" s="3151" t="str">
        <f>REPT(CHAR(7),RANK(C130,C127:C131,1))</f>
        <v>_x0007_</v>
      </c>
      <c r="E130" s="3138"/>
      <c r="F130" s="3139"/>
      <c r="G130" s="3062"/>
      <c r="H130" s="3062"/>
      <c r="I130" s="3062"/>
      <c r="J130" s="3063"/>
      <c r="K130" s="3065"/>
      <c r="L130" s="2301"/>
      <c r="M130" s="2301"/>
      <c r="N130" s="2301"/>
      <c r="O130" s="2301"/>
      <c r="P130" s="2301"/>
      <c r="Q130" s="2301"/>
      <c r="R130" s="2301"/>
      <c r="S130" s="2301"/>
      <c r="T130" s="2301"/>
      <c r="U130" s="2301"/>
      <c r="V130" s="2301"/>
      <c r="W130" s="2301"/>
      <c r="X130" s="2301"/>
      <c r="Y130" s="2301"/>
      <c r="Z130" s="2301"/>
      <c r="AA130" s="2301"/>
    </row>
    <row r="131" spans="1:27" s="2127" customFormat="1" ht="24.95" customHeight="1">
      <c r="A131" s="2299"/>
      <c r="B131" s="3115"/>
      <c r="C131" s="3146">
        <v>7</v>
      </c>
      <c r="D131" s="3151" t="str">
        <f>REPT(CHAR(7),RANK(C131,C127:C131,1))</f>
        <v>_x0007__x0007__x0007__x0007_</v>
      </c>
      <c r="E131" s="3138"/>
      <c r="F131" s="3139"/>
      <c r="G131" s="3062"/>
      <c r="H131" s="3062"/>
      <c r="I131" s="3062"/>
      <c r="J131" s="3063"/>
      <c r="K131" s="3065"/>
      <c r="L131" s="2301"/>
      <c r="M131" s="2301"/>
      <c r="N131" s="2301"/>
      <c r="O131" s="2301"/>
      <c r="P131" s="2301"/>
      <c r="Q131" s="2301"/>
      <c r="R131" s="2301"/>
      <c r="S131" s="2301"/>
      <c r="T131" s="2301"/>
      <c r="U131" s="2301"/>
      <c r="V131" s="2301"/>
      <c r="W131" s="2301"/>
      <c r="X131" s="2301"/>
      <c r="Y131" s="2301"/>
      <c r="Z131" s="2301"/>
      <c r="AA131" s="2301"/>
    </row>
    <row r="132" spans="1:27" s="2127" customFormat="1" ht="24.95" customHeight="1" thickBot="1">
      <c r="A132" s="2299"/>
      <c r="B132" s="3149" t="s">
        <v>3030</v>
      </c>
      <c r="C132" s="3080"/>
      <c r="D132" s="3152"/>
      <c r="E132" s="3152"/>
      <c r="F132" s="3152"/>
      <c r="G132" s="3078"/>
      <c r="H132" s="3078"/>
      <c r="I132" s="3078"/>
      <c r="J132" s="3079"/>
      <c r="K132" s="3081"/>
      <c r="L132" s="2301"/>
      <c r="M132" s="2301"/>
      <c r="N132" s="2301"/>
      <c r="O132" s="2301"/>
      <c r="P132" s="2301"/>
      <c r="Q132" s="2301"/>
      <c r="R132" s="2301"/>
      <c r="S132" s="2301"/>
      <c r="T132" s="2301"/>
      <c r="U132" s="2301"/>
      <c r="V132" s="2301"/>
      <c r="W132" s="2301"/>
      <c r="X132" s="2301"/>
      <c r="Y132" s="2301"/>
      <c r="Z132" s="2301"/>
      <c r="AA132" s="2301"/>
    </row>
    <row r="133" spans="1:27" s="2127" customFormat="1" ht="24.95" customHeight="1" thickBot="1">
      <c r="A133" s="2299"/>
      <c r="B133" s="2300"/>
      <c r="C133" s="2301"/>
      <c r="D133" s="3082"/>
      <c r="E133" s="3082"/>
      <c r="F133" s="3083"/>
      <c r="G133" s="3083"/>
      <c r="H133" s="3083"/>
      <c r="I133" s="3083"/>
      <c r="J133" s="2310"/>
      <c r="K133" s="2301"/>
      <c r="L133" s="2301"/>
      <c r="M133" s="2301"/>
      <c r="N133" s="2301"/>
      <c r="O133" s="2301"/>
      <c r="P133" s="2301"/>
      <c r="Q133" s="2301"/>
      <c r="R133" s="2301"/>
      <c r="S133" s="2301"/>
      <c r="T133" s="2301"/>
      <c r="U133" s="2301"/>
      <c r="V133" s="2301"/>
      <c r="W133" s="2301"/>
      <c r="X133" s="2301"/>
      <c r="Y133" s="2301"/>
      <c r="Z133" s="2301"/>
      <c r="AA133" s="2301"/>
    </row>
    <row r="134" spans="1:27" s="2127" customFormat="1" ht="24.95" customHeight="1">
      <c r="A134" s="3153"/>
      <c r="B134" s="3154"/>
      <c r="C134" s="3155"/>
      <c r="D134" s="3126"/>
      <c r="E134" s="3126"/>
      <c r="F134" s="3126"/>
      <c r="G134" s="3126"/>
      <c r="H134" s="3126"/>
      <c r="I134" s="3156"/>
      <c r="J134" s="3063"/>
      <c r="K134" s="3064"/>
      <c r="L134" s="3064"/>
      <c r="M134" s="2301"/>
      <c r="N134" s="2301"/>
      <c r="O134" s="2301"/>
      <c r="P134" s="2301"/>
      <c r="Q134" s="2301"/>
      <c r="R134" s="2301"/>
      <c r="S134" s="2301"/>
      <c r="T134" s="2301"/>
      <c r="U134" s="2301"/>
      <c r="V134" s="2301"/>
      <c r="W134" s="2301"/>
      <c r="X134" s="2301"/>
      <c r="Y134" s="2301"/>
      <c r="Z134" s="2301"/>
      <c r="AA134" s="2301"/>
    </row>
    <row r="135" spans="1:27" s="2127" customFormat="1" ht="24.95" customHeight="1">
      <c r="A135" s="3153"/>
      <c r="B135" s="3157"/>
      <c r="C135" s="3090" t="s">
        <v>721</v>
      </c>
      <c r="D135" s="3062"/>
      <c r="E135" s="3062"/>
      <c r="F135" s="3062"/>
      <c r="G135" s="3062"/>
      <c r="H135" s="3062"/>
      <c r="I135" s="3158"/>
      <c r="J135" s="3063"/>
      <c r="K135" s="3064"/>
      <c r="L135" s="3064"/>
      <c r="M135" s="2301"/>
      <c r="N135" s="2301"/>
      <c r="O135" s="2301"/>
      <c r="P135" s="2301"/>
      <c r="Q135" s="2301"/>
      <c r="R135" s="2301"/>
      <c r="S135" s="2301"/>
      <c r="T135" s="2301"/>
      <c r="U135" s="2301"/>
      <c r="V135" s="2301"/>
      <c r="W135" s="2301"/>
      <c r="X135" s="2301"/>
      <c r="Y135" s="2301"/>
      <c r="Z135" s="2301"/>
      <c r="AA135" s="2301"/>
    </row>
    <row r="136" spans="1:27" s="2127" customFormat="1" ht="24.95" customHeight="1">
      <c r="A136" s="3153"/>
      <c r="B136" s="3060" t="s">
        <v>2225</v>
      </c>
      <c r="C136" s="3064"/>
      <c r="D136" s="3064"/>
      <c r="E136" s="3062"/>
      <c r="F136" s="3062"/>
      <c r="G136" s="3159"/>
      <c r="H136" s="3064"/>
      <c r="I136" s="3160"/>
      <c r="J136" s="3064"/>
      <c r="K136" s="3064"/>
      <c r="L136" s="3064"/>
      <c r="M136" s="2301"/>
      <c r="N136" s="2301"/>
      <c r="O136" s="2301"/>
      <c r="P136" s="2301"/>
      <c r="Q136" s="2301"/>
      <c r="R136" s="2301"/>
      <c r="S136" s="2301"/>
      <c r="T136" s="2301"/>
      <c r="U136" s="2301"/>
      <c r="V136" s="2301"/>
      <c r="W136" s="2301"/>
      <c r="X136" s="2301"/>
      <c r="Y136" s="2301"/>
      <c r="Z136" s="2301"/>
      <c r="AA136" s="2301"/>
    </row>
    <row r="137" spans="1:27" s="2127" customFormat="1" ht="24.95" customHeight="1">
      <c r="A137" s="3153"/>
      <c r="B137" s="3161">
        <f>ROW()</f>
        <v>137</v>
      </c>
      <c r="C137" s="6469">
        <f ca="1">TODAY()</f>
        <v>45075</v>
      </c>
      <c r="D137" s="6469"/>
      <c r="E137" s="6469"/>
      <c r="F137" s="3148"/>
      <c r="G137" s="3072" t="str">
        <f ca="1">_xlfn.FORMULATEXT(C137)</f>
        <v>=AUJOURDHUI()</v>
      </c>
      <c r="H137" s="3064"/>
      <c r="I137" s="3160"/>
      <c r="J137" s="3064"/>
      <c r="K137" s="3064"/>
      <c r="L137" s="3064"/>
      <c r="M137" s="2301"/>
      <c r="N137" s="2301"/>
      <c r="O137" s="2301"/>
      <c r="P137" s="2301"/>
      <c r="Q137" s="2301"/>
      <c r="R137" s="2301"/>
      <c r="S137" s="2301"/>
      <c r="T137" s="2301"/>
      <c r="U137" s="2301"/>
      <c r="V137" s="2301"/>
      <c r="W137" s="2301"/>
      <c r="X137" s="2301"/>
      <c r="Y137" s="2301"/>
      <c r="Z137" s="2301"/>
      <c r="AA137" s="2301"/>
    </row>
    <row r="138" spans="1:27" s="2127" customFormat="1" ht="24.95" customHeight="1">
      <c r="A138" s="3153"/>
      <c r="B138" s="3157"/>
      <c r="C138" s="3148" t="s">
        <v>725</v>
      </c>
      <c r="D138" s="3139"/>
      <c r="E138" s="3139"/>
      <c r="F138" s="3139"/>
      <c r="G138" s="3139"/>
      <c r="H138" s="3064"/>
      <c r="I138" s="3160"/>
      <c r="J138" s="3064"/>
      <c r="K138" s="3064"/>
      <c r="L138" s="3064"/>
      <c r="M138" s="2301"/>
      <c r="N138" s="2301"/>
      <c r="O138" s="2301"/>
      <c r="P138" s="2301"/>
      <c r="Q138" s="2301"/>
      <c r="R138" s="2301"/>
      <c r="S138" s="2301"/>
      <c r="T138" s="2301"/>
      <c r="U138" s="2301"/>
      <c r="V138" s="2301"/>
      <c r="W138" s="2301"/>
      <c r="X138" s="2301"/>
      <c r="Y138" s="2301"/>
      <c r="Z138" s="2301"/>
      <c r="AA138" s="2301"/>
    </row>
    <row r="139" spans="1:27" s="2127" customFormat="1" ht="24.95" customHeight="1">
      <c r="A139" s="3153"/>
      <c r="B139" s="3157"/>
      <c r="C139" s="3148"/>
      <c r="D139" s="3139"/>
      <c r="E139" s="3139"/>
      <c r="F139" s="3139"/>
      <c r="G139" s="3139"/>
      <c r="H139" s="3064"/>
      <c r="I139" s="3160"/>
      <c r="J139" s="3064"/>
      <c r="K139" s="3064"/>
      <c r="L139" s="3064"/>
      <c r="M139" s="2301"/>
      <c r="N139" s="2301"/>
      <c r="O139" s="2301"/>
      <c r="P139" s="2301"/>
      <c r="Q139" s="2301"/>
      <c r="R139" s="2301"/>
      <c r="S139" s="2301"/>
      <c r="T139" s="2301"/>
      <c r="U139" s="2301"/>
      <c r="V139" s="2301"/>
      <c r="W139" s="2301"/>
      <c r="X139" s="2301"/>
      <c r="Y139" s="2301"/>
      <c r="Z139" s="2301"/>
      <c r="AA139" s="2301"/>
    </row>
    <row r="140" spans="1:27" s="2127" customFormat="1" ht="24.95" customHeight="1">
      <c r="A140" s="3153"/>
      <c r="B140" s="3161">
        <f>ROW()</f>
        <v>140</v>
      </c>
      <c r="C140" s="6469">
        <f ca="1">NOW()</f>
        <v>45075.412900000003</v>
      </c>
      <c r="D140" s="6469"/>
      <c r="E140" s="6469"/>
      <c r="F140" s="3148"/>
      <c r="G140" s="3072" t="str">
        <f ca="1">_xlfn.FORMULATEXT(C140)</f>
        <v>=MAINTENANT()</v>
      </c>
      <c r="H140" s="3064"/>
      <c r="I140" s="3160"/>
      <c r="J140" s="3064"/>
      <c r="K140" s="3064"/>
      <c r="L140" s="3064"/>
      <c r="M140" s="2301"/>
      <c r="N140" s="2301"/>
      <c r="O140" s="2301"/>
      <c r="P140" s="2301"/>
      <c r="Q140" s="2301"/>
      <c r="R140" s="2301"/>
      <c r="S140" s="2301"/>
      <c r="T140" s="2301"/>
      <c r="U140" s="2301"/>
      <c r="V140" s="2301"/>
      <c r="W140" s="2301"/>
      <c r="X140" s="2301"/>
      <c r="Y140" s="2301"/>
      <c r="Z140" s="2301"/>
      <c r="AA140" s="2301"/>
    </row>
    <row r="141" spans="1:27" s="2127" customFormat="1" ht="24.95" customHeight="1">
      <c r="A141" s="3153"/>
      <c r="B141" s="3157"/>
      <c r="C141" s="3148" t="s">
        <v>725</v>
      </c>
      <c r="D141" s="3139"/>
      <c r="E141" s="3139"/>
      <c r="F141" s="3139"/>
      <c r="G141" s="3139"/>
      <c r="H141" s="3064"/>
      <c r="I141" s="3160"/>
      <c r="J141" s="3064"/>
      <c r="K141" s="3064"/>
      <c r="L141" s="3064"/>
      <c r="M141" s="2301"/>
      <c r="N141" s="2301"/>
      <c r="O141" s="2301"/>
      <c r="P141" s="2301"/>
      <c r="Q141" s="2301"/>
      <c r="R141" s="2301"/>
      <c r="S141" s="2301"/>
      <c r="T141" s="2301"/>
      <c r="U141" s="2301"/>
      <c r="V141" s="2301"/>
      <c r="W141" s="2301"/>
      <c r="X141" s="2301"/>
      <c r="Y141" s="2301"/>
      <c r="Z141" s="2301"/>
      <c r="AA141" s="2301"/>
    </row>
    <row r="142" spans="1:27" s="2127" customFormat="1" ht="24.95" customHeight="1">
      <c r="A142" s="3153"/>
      <c r="B142" s="3157"/>
      <c r="C142" s="3139"/>
      <c r="D142" s="3139"/>
      <c r="E142" s="3139"/>
      <c r="F142" s="3139"/>
      <c r="G142" s="3139"/>
      <c r="H142" s="3064"/>
      <c r="I142" s="3160"/>
      <c r="J142" s="3064"/>
      <c r="K142" s="3064"/>
      <c r="L142" s="3064"/>
      <c r="M142" s="2301"/>
      <c r="N142" s="2301"/>
      <c r="O142" s="2301"/>
      <c r="P142" s="2301"/>
      <c r="Q142" s="2301"/>
      <c r="R142" s="2301"/>
      <c r="S142" s="2301"/>
      <c r="T142" s="2301"/>
      <c r="U142" s="2301"/>
      <c r="V142" s="2301"/>
      <c r="W142" s="2301"/>
      <c r="X142" s="2301"/>
      <c r="Y142" s="2301"/>
      <c r="Z142" s="2301"/>
      <c r="AA142" s="2301"/>
    </row>
    <row r="143" spans="1:27" s="2127" customFormat="1" ht="24.95" customHeight="1">
      <c r="A143" s="3153"/>
      <c r="B143" s="3161">
        <f>ROW()</f>
        <v>143</v>
      </c>
      <c r="C143" s="6470">
        <f ca="1">NOW()</f>
        <v>45075.412900000003</v>
      </c>
      <c r="D143" s="6470"/>
      <c r="E143" s="6470"/>
      <c r="F143" s="3148"/>
      <c r="G143" s="3072" t="str">
        <f ca="1">_xlfn.FORMULATEXT(C143)</f>
        <v>=MAINTENANT()</v>
      </c>
      <c r="H143" s="3064"/>
      <c r="I143" s="3160"/>
      <c r="J143" s="3064"/>
      <c r="K143" s="3064"/>
      <c r="L143" s="3064"/>
      <c r="M143" s="2301"/>
      <c r="N143" s="2301"/>
      <c r="O143" s="2301"/>
      <c r="P143" s="2301"/>
      <c r="Q143" s="2301"/>
      <c r="R143" s="2301"/>
      <c r="S143" s="2301"/>
      <c r="T143" s="2301"/>
      <c r="U143" s="2301"/>
      <c r="V143" s="2301"/>
      <c r="W143" s="2301"/>
      <c r="X143" s="2301"/>
      <c r="Y143" s="2301"/>
      <c r="Z143" s="2301"/>
      <c r="AA143" s="2301"/>
    </row>
    <row r="144" spans="1:27" s="2127" customFormat="1" ht="24.95" customHeight="1">
      <c r="A144" s="3153"/>
      <c r="B144" s="3157"/>
      <c r="C144" s="3148"/>
      <c r="D144" s="3162" t="s">
        <v>727</v>
      </c>
      <c r="E144" s="3163" t="s">
        <v>726</v>
      </c>
      <c r="F144" s="3139"/>
      <c r="G144" s="3139"/>
      <c r="H144" s="3064"/>
      <c r="I144" s="3160"/>
      <c r="J144" s="3064"/>
      <c r="K144" s="3064"/>
      <c r="L144" s="3064"/>
      <c r="M144" s="2301"/>
      <c r="N144" s="2301"/>
      <c r="O144" s="2301"/>
      <c r="P144" s="2301"/>
      <c r="Q144" s="2301"/>
      <c r="R144" s="2301"/>
      <c r="S144" s="2301"/>
      <c r="T144" s="2301"/>
      <c r="U144" s="2301"/>
      <c r="V144" s="2301"/>
      <c r="W144" s="2301"/>
      <c r="X144" s="2301"/>
      <c r="Y144" s="2301"/>
      <c r="Z144" s="2301"/>
      <c r="AA144" s="2301"/>
    </row>
    <row r="145" spans="1:27" s="2127" customFormat="1" ht="24.95" customHeight="1">
      <c r="A145" s="3153"/>
      <c r="B145" s="3157"/>
      <c r="C145" s="3148"/>
      <c r="D145" s="3139"/>
      <c r="E145" s="3139"/>
      <c r="F145" s="3139"/>
      <c r="G145" s="3139"/>
      <c r="H145" s="3064"/>
      <c r="I145" s="3160"/>
      <c r="J145" s="3064"/>
      <c r="K145" s="3064"/>
      <c r="L145" s="3064"/>
      <c r="M145" s="2301"/>
      <c r="N145" s="2301"/>
      <c r="O145" s="2301"/>
      <c r="P145" s="2301"/>
      <c r="Q145" s="2301"/>
      <c r="R145" s="2301"/>
      <c r="S145" s="2301"/>
      <c r="T145" s="2301"/>
      <c r="U145" s="2301"/>
      <c r="V145" s="2301"/>
      <c r="W145" s="2301"/>
      <c r="X145" s="2301"/>
      <c r="Y145" s="2301"/>
      <c r="Z145" s="2301"/>
      <c r="AA145" s="2301"/>
    </row>
    <row r="146" spans="1:27" s="2127" customFormat="1" ht="24.95" customHeight="1">
      <c r="A146" s="3153"/>
      <c r="B146" s="3161">
        <f>ROW()</f>
        <v>146</v>
      </c>
      <c r="C146" s="3164">
        <f ca="1">NOW()</f>
        <v>45075.412900000003</v>
      </c>
      <c r="D146" s="3138"/>
      <c r="E146" s="3064"/>
      <c r="F146" s="3148"/>
      <c r="G146" s="3072" t="str">
        <f ca="1">_xlfn.FORMULATEXT(C146)</f>
        <v>=MAINTENANT()</v>
      </c>
      <c r="H146" s="3064"/>
      <c r="I146" s="3160"/>
      <c r="J146" s="3064"/>
      <c r="K146" s="3064"/>
      <c r="L146" s="3064"/>
      <c r="M146" s="2301"/>
      <c r="N146" s="2301"/>
      <c r="O146" s="2301"/>
      <c r="P146" s="2301"/>
      <c r="Q146" s="2301"/>
      <c r="R146" s="2301"/>
      <c r="S146" s="2301"/>
      <c r="T146" s="2301"/>
      <c r="U146" s="2301"/>
      <c r="V146" s="2301"/>
      <c r="W146" s="2301"/>
      <c r="X146" s="2301"/>
      <c r="Y146" s="2301"/>
      <c r="Z146" s="2301"/>
      <c r="AA146" s="2301"/>
    </row>
    <row r="147" spans="1:27" s="2127" customFormat="1" ht="24.95" customHeight="1">
      <c r="A147" s="3153"/>
      <c r="B147" s="3157"/>
      <c r="C147" s="3148" t="s">
        <v>724</v>
      </c>
      <c r="D147" s="3138"/>
      <c r="E147" s="3139"/>
      <c r="F147" s="3165"/>
      <c r="G147" s="3165"/>
      <c r="H147" s="3064"/>
      <c r="I147" s="3160"/>
      <c r="J147" s="3064"/>
      <c r="K147" s="3064"/>
      <c r="L147" s="3064"/>
      <c r="M147" s="2301"/>
      <c r="N147" s="2301"/>
      <c r="O147" s="2301"/>
      <c r="P147" s="2301"/>
      <c r="Q147" s="2301"/>
      <c r="R147" s="2301"/>
      <c r="S147" s="2301"/>
      <c r="T147" s="2301"/>
      <c r="U147" s="2301"/>
      <c r="V147" s="2301"/>
      <c r="W147" s="2301"/>
      <c r="X147" s="2301"/>
      <c r="Y147" s="2301"/>
      <c r="Z147" s="2301"/>
      <c r="AA147" s="2301"/>
    </row>
    <row r="148" spans="1:27" s="2127" customFormat="1" ht="24.95" customHeight="1">
      <c r="A148" s="3153"/>
      <c r="B148" s="3157"/>
      <c r="C148" s="3153"/>
      <c r="D148" s="3153"/>
      <c r="E148" s="3153"/>
      <c r="F148" s="3153"/>
      <c r="G148" s="3153"/>
      <c r="H148" s="3153"/>
      <c r="I148" s="3166"/>
      <c r="J148" s="3153"/>
      <c r="K148" s="3153"/>
      <c r="L148" s="3153"/>
      <c r="M148" s="2299"/>
      <c r="N148" s="2299"/>
      <c r="O148" s="2299"/>
      <c r="P148" s="2299"/>
      <c r="Q148" s="2299"/>
      <c r="R148" s="2301"/>
      <c r="S148" s="2301"/>
      <c r="T148" s="2301"/>
      <c r="U148" s="2301"/>
      <c r="V148" s="2301"/>
      <c r="W148" s="2301"/>
      <c r="X148" s="2301"/>
      <c r="Y148" s="2301"/>
      <c r="Z148" s="2301"/>
      <c r="AA148" s="2301"/>
    </row>
    <row r="149" spans="1:27" s="2127" customFormat="1" ht="24.95" customHeight="1">
      <c r="A149" s="3153"/>
      <c r="B149" s="3161">
        <f>ROW()</f>
        <v>149</v>
      </c>
      <c r="C149" s="6462">
        <f ca="1">TODAY()</f>
        <v>45075</v>
      </c>
      <c r="D149" s="6462"/>
      <c r="E149" s="3153"/>
      <c r="F149" s="3153"/>
      <c r="G149" s="3072" t="str">
        <f ca="1">_xlfn.FORMULATEXT(C149)</f>
        <v>=AUJOURDHUI()</v>
      </c>
      <c r="H149" s="3064"/>
      <c r="I149" s="3160"/>
      <c r="J149" s="3064"/>
      <c r="K149" s="3064"/>
      <c r="L149" s="3064"/>
      <c r="M149" s="2301"/>
      <c r="N149" s="2316"/>
      <c r="O149" s="2316"/>
      <c r="P149" s="2316"/>
      <c r="Q149" s="2316"/>
      <c r="R149" s="2301"/>
      <c r="S149" s="2301"/>
      <c r="T149" s="2301"/>
      <c r="U149" s="2301"/>
      <c r="V149" s="2301"/>
      <c r="W149" s="2301"/>
      <c r="X149" s="2301"/>
      <c r="Y149" s="2301"/>
      <c r="Z149" s="2301"/>
      <c r="AA149" s="2301"/>
    </row>
    <row r="150" spans="1:27" s="2127" customFormat="1" ht="24.95" customHeight="1">
      <c r="A150" s="3153"/>
      <c r="B150" s="3157"/>
      <c r="C150" s="3148" t="s">
        <v>725</v>
      </c>
      <c r="D150" s="3063"/>
      <c r="E150" s="3148"/>
      <c r="F150" s="3063"/>
      <c r="G150" s="3063"/>
      <c r="H150" s="3063"/>
      <c r="I150" s="3167"/>
      <c r="J150" s="3064"/>
      <c r="K150" s="3064"/>
      <c r="L150" s="3064"/>
      <c r="M150" s="2301"/>
      <c r="N150" s="2316"/>
      <c r="O150" s="2316"/>
      <c r="P150" s="2316"/>
      <c r="Q150" s="2316"/>
      <c r="R150" s="2301"/>
      <c r="S150" s="2301"/>
      <c r="T150" s="2301"/>
      <c r="U150" s="2301"/>
      <c r="V150" s="2301"/>
      <c r="W150" s="2301"/>
      <c r="X150" s="2301"/>
      <c r="Y150" s="2301"/>
      <c r="Z150" s="2301"/>
      <c r="AA150" s="2301"/>
    </row>
    <row r="151" spans="1:27" s="2127" customFormat="1" ht="24.95" customHeight="1" thickBot="1">
      <c r="A151" s="3153"/>
      <c r="B151" s="3168"/>
      <c r="C151" s="3169"/>
      <c r="D151" s="3170"/>
      <c r="E151" s="3169"/>
      <c r="F151" s="3170"/>
      <c r="G151" s="3170"/>
      <c r="H151" s="3170"/>
      <c r="I151" s="3171"/>
      <c r="J151" s="3064"/>
      <c r="K151" s="3064"/>
      <c r="L151" s="3064"/>
      <c r="M151" s="2301"/>
      <c r="N151" s="2316"/>
      <c r="O151" s="2316"/>
      <c r="P151" s="2316"/>
      <c r="Q151" s="2316"/>
      <c r="R151" s="2301"/>
      <c r="S151" s="2301"/>
      <c r="T151" s="2301"/>
      <c r="U151" s="2301"/>
      <c r="V151" s="2301"/>
      <c r="W151" s="2301"/>
      <c r="X151" s="2301"/>
      <c r="Y151" s="2301"/>
      <c r="Z151" s="2301"/>
      <c r="AA151" s="2301"/>
    </row>
    <row r="152" spans="1:27" s="2127" customFormat="1" ht="24.95" customHeight="1" thickBot="1">
      <c r="A152" s="3153"/>
      <c r="B152" s="3153"/>
      <c r="C152" s="3148"/>
      <c r="D152" s="3063"/>
      <c r="E152" s="3148"/>
      <c r="F152" s="3063"/>
      <c r="G152" s="3063"/>
      <c r="H152" s="3063"/>
      <c r="I152" s="3063"/>
      <c r="J152" s="3064"/>
      <c r="K152" s="3064"/>
      <c r="L152" s="3064"/>
      <c r="M152" s="2301"/>
      <c r="N152" s="2316"/>
      <c r="O152" s="2316"/>
      <c r="P152" s="2316"/>
      <c r="Q152" s="2316"/>
      <c r="R152" s="2301"/>
      <c r="S152" s="2301"/>
      <c r="T152" s="2301"/>
      <c r="U152" s="2301"/>
      <c r="V152" s="2301"/>
      <c r="W152" s="2301"/>
      <c r="X152" s="2301"/>
      <c r="Y152" s="2301"/>
      <c r="Z152" s="2301"/>
      <c r="AA152" s="2301"/>
    </row>
    <row r="153" spans="1:27" s="2127" customFormat="1" ht="24.95" customHeight="1">
      <c r="A153" s="3153"/>
      <c r="B153" s="3055"/>
      <c r="C153" s="3056"/>
      <c r="D153" s="3058"/>
      <c r="E153" s="3058"/>
      <c r="F153" s="3058"/>
      <c r="G153" s="3058"/>
      <c r="H153" s="3058"/>
      <c r="I153" s="3058"/>
      <c r="J153" s="3056"/>
      <c r="K153" s="3056"/>
      <c r="L153" s="3059"/>
      <c r="M153" s="2301"/>
      <c r="N153" s="2316"/>
      <c r="O153" s="2316"/>
      <c r="P153" s="2316"/>
      <c r="Q153" s="2316"/>
      <c r="R153" s="2301"/>
      <c r="S153" s="2301"/>
      <c r="T153" s="2301"/>
      <c r="U153" s="2301"/>
      <c r="V153" s="2301"/>
      <c r="W153" s="2301"/>
      <c r="X153" s="2301"/>
      <c r="Y153" s="2301"/>
      <c r="Z153" s="2301"/>
      <c r="AA153" s="2301"/>
    </row>
    <row r="154" spans="1:27" s="2127" customFormat="1" ht="24.95" customHeight="1">
      <c r="A154" s="3153"/>
      <c r="B154" s="3115"/>
      <c r="C154" s="3090" t="s">
        <v>3032</v>
      </c>
      <c r="D154" s="3172"/>
      <c r="E154" s="3062"/>
      <c r="F154" s="3062"/>
      <c r="G154" s="3062"/>
      <c r="H154" s="3062"/>
      <c r="I154" s="3062"/>
      <c r="J154" s="3064"/>
      <c r="K154" s="3064"/>
      <c r="L154" s="3065"/>
      <c r="M154" s="2301"/>
      <c r="N154" s="2316"/>
      <c r="O154" s="2316"/>
      <c r="P154" s="2316"/>
      <c r="Q154" s="2316"/>
      <c r="R154" s="2301"/>
      <c r="S154" s="2301"/>
      <c r="T154" s="2301"/>
      <c r="U154" s="2301"/>
      <c r="V154" s="2301"/>
      <c r="W154" s="2301"/>
      <c r="X154" s="2301"/>
      <c r="Y154" s="2301"/>
      <c r="Z154" s="2301"/>
      <c r="AA154" s="2301"/>
    </row>
    <row r="155" spans="1:27" s="2127" customFormat="1" ht="24.95" customHeight="1">
      <c r="A155" s="3153"/>
      <c r="B155" s="3060" t="s">
        <v>2225</v>
      </c>
      <c r="C155" s="3173" t="s">
        <v>3033</v>
      </c>
      <c r="D155" s="3172"/>
      <c r="E155" s="3062"/>
      <c r="F155" s="3062"/>
      <c r="G155" s="3062"/>
      <c r="H155" s="3062"/>
      <c r="I155" s="3062"/>
      <c r="J155" s="3064"/>
      <c r="K155" s="3064"/>
      <c r="L155" s="3065"/>
      <c r="M155" s="2301"/>
      <c r="N155" s="2316"/>
      <c r="O155" s="2316"/>
      <c r="P155" s="2316"/>
      <c r="Q155" s="2316"/>
      <c r="R155" s="2301"/>
      <c r="S155" s="2301"/>
      <c r="T155" s="2301"/>
      <c r="U155" s="2301"/>
      <c r="V155" s="2301"/>
      <c r="W155" s="2301"/>
      <c r="X155" s="2301"/>
      <c r="Y155" s="2301"/>
      <c r="Z155" s="2301"/>
      <c r="AA155" s="2301"/>
    </row>
    <row r="156" spans="1:27" s="2127" customFormat="1" ht="24.95" customHeight="1">
      <c r="A156" s="3153"/>
      <c r="B156" s="3060">
        <f>ROW()</f>
        <v>156</v>
      </c>
      <c r="C156" s="3174">
        <f ca="1">INT((C149-(DATE(YEAR(C149-WEEKDAY(C149-1)+4),1,3)-WEEKDAY(DATE(YEAR(C149 -WEEKDAY(C149-1)+4),1,3)))+5)/7)</f>
        <v>22</v>
      </c>
      <c r="D156" s="3175"/>
      <c r="E156" s="3062"/>
      <c r="F156" s="3062"/>
      <c r="G156" s="3062"/>
      <c r="H156" s="3062"/>
      <c r="I156" s="3062"/>
      <c r="J156" s="3064"/>
      <c r="K156" s="3064"/>
      <c r="L156" s="3065"/>
      <c r="M156" s="2301"/>
      <c r="N156" s="2316"/>
      <c r="O156" s="2316"/>
      <c r="P156" s="2316"/>
      <c r="Q156" s="2316"/>
      <c r="R156" s="2301"/>
      <c r="S156" s="2301"/>
      <c r="T156" s="2301"/>
      <c r="U156" s="2301"/>
      <c r="V156" s="2301"/>
      <c r="W156" s="2301"/>
      <c r="X156" s="2301"/>
      <c r="Y156" s="2301"/>
      <c r="Z156" s="2301"/>
      <c r="AA156" s="2301"/>
    </row>
    <row r="157" spans="1:27" s="2127" customFormat="1" ht="24.95" customHeight="1">
      <c r="A157" s="3153"/>
      <c r="B157" s="3115"/>
      <c r="C157" s="3072" t="str">
        <f ca="1">_xlfn.FORMULATEXT(C156)</f>
        <v>=ENT((C149-(DATE(ANNEE(C149-JOURSEM(C149-1)+4);1;3)-JOURSEM(DATE(ANNEE(C149 -JOURSEM(C149-1)+4);1;3)))+5)/7)</v>
      </c>
      <c r="D157" s="3062"/>
      <c r="E157" s="3062"/>
      <c r="F157" s="3062"/>
      <c r="G157" s="3062"/>
      <c r="H157" s="3062"/>
      <c r="I157" s="3062"/>
      <c r="J157" s="3064"/>
      <c r="K157" s="3064"/>
      <c r="L157" s="3065"/>
      <c r="M157" s="2301"/>
      <c r="N157" s="2316"/>
      <c r="O157" s="2316"/>
      <c r="P157" s="2316"/>
      <c r="Q157" s="2316"/>
      <c r="R157" s="2301"/>
      <c r="S157" s="2301"/>
      <c r="T157" s="2301"/>
      <c r="U157" s="2301"/>
      <c r="V157" s="2301"/>
      <c r="W157" s="2301"/>
      <c r="X157" s="2301"/>
      <c r="Y157" s="2301"/>
      <c r="Z157" s="2301"/>
      <c r="AA157" s="2301"/>
    </row>
    <row r="158" spans="1:27" s="2127" customFormat="1" ht="24.95" customHeight="1">
      <c r="A158" s="3153"/>
      <c r="B158" s="3115"/>
      <c r="C158" s="3153"/>
      <c r="D158" s="3153"/>
      <c r="E158" s="3062"/>
      <c r="F158" s="3062"/>
      <c r="G158" s="3062"/>
      <c r="H158" s="3062"/>
      <c r="I158" s="3062"/>
      <c r="J158" s="3064"/>
      <c r="K158" s="3064"/>
      <c r="L158" s="3065"/>
      <c r="M158" s="2301"/>
      <c r="N158" s="2301"/>
      <c r="O158" s="2301"/>
      <c r="P158" s="2301"/>
      <c r="Q158" s="2301"/>
      <c r="R158" s="2301"/>
      <c r="S158" s="2301"/>
      <c r="T158" s="2301"/>
      <c r="U158" s="2301"/>
      <c r="V158" s="2301"/>
      <c r="W158" s="2301"/>
      <c r="X158" s="2301"/>
      <c r="Y158" s="2301"/>
      <c r="Z158" s="2301"/>
      <c r="AA158" s="2301"/>
    </row>
    <row r="159" spans="1:27" s="2127" customFormat="1" ht="24.95" customHeight="1">
      <c r="A159" s="3153"/>
      <c r="B159" s="3060">
        <f>ROW()</f>
        <v>159</v>
      </c>
      <c r="C159" s="6472">
        <f ca="1">C156</f>
        <v>22</v>
      </c>
      <c r="D159" s="6472"/>
      <c r="E159" s="3062"/>
      <c r="F159" s="3062"/>
      <c r="G159" s="3062"/>
      <c r="H159" s="3062"/>
      <c r="I159" s="3062"/>
      <c r="J159" s="3063"/>
      <c r="K159" s="3064"/>
      <c r="L159" s="3065"/>
      <c r="M159" s="2301"/>
      <c r="N159" s="2301"/>
      <c r="O159" s="2301"/>
      <c r="P159" s="2301"/>
      <c r="Q159" s="2301"/>
      <c r="R159" s="2301"/>
      <c r="S159" s="2301"/>
      <c r="T159" s="2301"/>
      <c r="U159" s="2301"/>
      <c r="V159" s="2301"/>
      <c r="W159" s="2301"/>
      <c r="X159" s="2301"/>
      <c r="Y159" s="2301"/>
      <c r="Z159" s="2301"/>
      <c r="AA159" s="2301"/>
    </row>
    <row r="160" spans="1:27" s="2127" customFormat="1" ht="24.95" customHeight="1">
      <c r="A160" s="3153"/>
      <c r="B160" s="3115"/>
      <c r="C160" s="3072" t="str">
        <f ca="1">_xlfn.FORMULATEXT(C159)</f>
        <v>=C156</v>
      </c>
      <c r="D160" s="3148" t="s">
        <v>728</v>
      </c>
      <c r="E160" s="3062"/>
      <c r="F160" s="3062"/>
      <c r="G160" s="3062"/>
      <c r="H160" s="3062"/>
      <c r="I160" s="3062"/>
      <c r="J160" s="3063"/>
      <c r="K160" s="3064"/>
      <c r="L160" s="3065"/>
      <c r="M160" s="2301"/>
      <c r="N160" s="2301"/>
      <c r="O160" s="2301"/>
      <c r="P160" s="2301"/>
      <c r="Q160" s="2301"/>
      <c r="R160" s="2301"/>
      <c r="S160" s="2301"/>
      <c r="T160" s="2301"/>
      <c r="U160" s="2301"/>
      <c r="V160" s="2301"/>
      <c r="W160" s="2301"/>
      <c r="X160" s="2301"/>
      <c r="Y160" s="2301"/>
      <c r="Z160" s="2301"/>
      <c r="AA160" s="2301"/>
    </row>
    <row r="161" spans="1:27" s="2127" customFormat="1" ht="24.95" customHeight="1" thickBot="1">
      <c r="A161" s="3153"/>
      <c r="B161" s="3076"/>
      <c r="C161" s="3080"/>
      <c r="D161" s="3078"/>
      <c r="E161" s="3078"/>
      <c r="F161" s="3078"/>
      <c r="G161" s="3078"/>
      <c r="H161" s="3078"/>
      <c r="I161" s="3078"/>
      <c r="J161" s="3079"/>
      <c r="K161" s="3080"/>
      <c r="L161" s="3081"/>
      <c r="M161" s="2301"/>
      <c r="N161" s="2301"/>
      <c r="O161" s="2301"/>
      <c r="P161" s="2301"/>
      <c r="Q161" s="2301"/>
      <c r="R161" s="2301"/>
      <c r="S161" s="2301"/>
      <c r="T161" s="2301"/>
      <c r="U161" s="2301"/>
      <c r="V161" s="2301"/>
      <c r="W161" s="2301"/>
      <c r="X161" s="2301"/>
      <c r="Y161" s="2301"/>
      <c r="Z161" s="2301"/>
      <c r="AA161" s="2301"/>
    </row>
    <row r="162" spans="1:27" s="2127" customFormat="1" ht="24.95" customHeight="1" thickBot="1">
      <c r="A162" s="3153"/>
      <c r="B162" s="3153"/>
      <c r="C162" s="3064"/>
      <c r="D162" s="3062"/>
      <c r="E162" s="3062"/>
      <c r="F162" s="3062"/>
      <c r="G162" s="3062"/>
      <c r="H162" s="3062"/>
      <c r="I162" s="3062"/>
      <c r="J162" s="3063"/>
      <c r="K162" s="3064"/>
      <c r="L162" s="3064"/>
      <c r="M162" s="2301"/>
      <c r="N162" s="2301"/>
      <c r="O162" s="2301"/>
      <c r="P162" s="2301"/>
      <c r="Q162" s="2301"/>
      <c r="R162" s="2301"/>
      <c r="S162" s="2301"/>
      <c r="T162" s="2301"/>
      <c r="U162" s="2301"/>
      <c r="V162" s="2301"/>
      <c r="W162" s="2301"/>
      <c r="X162" s="2301"/>
      <c r="Y162" s="2301"/>
      <c r="Z162" s="2301"/>
      <c r="AA162" s="2301"/>
    </row>
    <row r="163" spans="1:27" s="2127" customFormat="1" ht="24.95" customHeight="1">
      <c r="A163" s="3153"/>
      <c r="B163" s="3055"/>
      <c r="C163" s="3056"/>
      <c r="D163" s="3057"/>
      <c r="E163" s="3057"/>
      <c r="F163" s="3057"/>
      <c r="G163" s="3057"/>
      <c r="H163" s="3057"/>
      <c r="I163" s="3057"/>
      <c r="J163" s="3098"/>
      <c r="K163" s="3064"/>
      <c r="L163" s="3064"/>
      <c r="M163" s="2301"/>
      <c r="N163" s="2301"/>
      <c r="O163" s="2301"/>
      <c r="P163" s="2301"/>
      <c r="Q163" s="2301"/>
      <c r="R163" s="2301"/>
      <c r="S163" s="2301"/>
      <c r="T163" s="2301"/>
      <c r="U163" s="2301"/>
      <c r="V163" s="2301"/>
      <c r="W163" s="2301"/>
      <c r="X163" s="2301"/>
      <c r="Y163" s="2301"/>
      <c r="Z163" s="2301"/>
      <c r="AA163" s="2301"/>
    </row>
    <row r="164" spans="1:27" s="2127" customFormat="1" ht="24.95" customHeight="1">
      <c r="A164" s="3153"/>
      <c r="B164" s="3115"/>
      <c r="C164" s="3090" t="s">
        <v>3034</v>
      </c>
      <c r="D164" s="3064"/>
      <c r="E164" s="3064"/>
      <c r="F164" s="3064"/>
      <c r="G164" s="3064"/>
      <c r="H164" s="3064"/>
      <c r="I164" s="3064"/>
      <c r="J164" s="3065"/>
      <c r="K164" s="3064"/>
      <c r="L164" s="3064"/>
      <c r="M164" s="2301"/>
      <c r="N164" s="2301"/>
      <c r="O164" s="2301"/>
      <c r="P164" s="2301"/>
      <c r="Q164" s="2301"/>
      <c r="R164" s="2301"/>
      <c r="S164" s="2301"/>
      <c r="T164" s="2301"/>
      <c r="U164" s="2301"/>
      <c r="V164" s="2301"/>
      <c r="W164" s="2301"/>
      <c r="X164" s="2301"/>
      <c r="Y164" s="2301"/>
      <c r="Z164" s="2301"/>
      <c r="AA164" s="2301"/>
    </row>
    <row r="165" spans="1:27" s="2127" customFormat="1" ht="24.95" customHeight="1">
      <c r="A165" s="3153"/>
      <c r="B165" s="3060" t="s">
        <v>2225</v>
      </c>
      <c r="C165" s="3173" t="s">
        <v>3033</v>
      </c>
      <c r="D165" s="3062"/>
      <c r="E165" s="3064"/>
      <c r="F165" s="3064"/>
      <c r="G165" s="3064"/>
      <c r="H165" s="3064"/>
      <c r="I165" s="3064"/>
      <c r="J165" s="3065"/>
      <c r="K165" s="3064"/>
      <c r="L165" s="3064"/>
      <c r="M165" s="2301"/>
      <c r="N165" s="2301"/>
      <c r="O165" s="2301"/>
      <c r="P165" s="2301"/>
      <c r="Q165" s="2301"/>
      <c r="R165" s="2301"/>
      <c r="S165" s="2301"/>
      <c r="T165" s="2301"/>
      <c r="U165" s="2301"/>
      <c r="V165" s="2301"/>
      <c r="W165" s="2301"/>
      <c r="X165" s="2301"/>
      <c r="Y165" s="2301"/>
      <c r="Z165" s="2301"/>
      <c r="AA165" s="2301"/>
    </row>
    <row r="166" spans="1:27" s="2127" customFormat="1" ht="24.95" customHeight="1">
      <c r="A166" s="3153"/>
      <c r="B166" s="3060">
        <f>ROW()</f>
        <v>166</v>
      </c>
      <c r="C166" s="6473">
        <v>44140</v>
      </c>
      <c r="D166" s="6473"/>
      <c r="E166" s="3064"/>
      <c r="F166" s="3064"/>
      <c r="G166" s="3064"/>
      <c r="H166" s="3064"/>
      <c r="I166" s="3064"/>
      <c r="J166" s="3065"/>
      <c r="K166" s="3064"/>
      <c r="L166" s="3064"/>
      <c r="M166" s="2301"/>
      <c r="N166" s="2301"/>
      <c r="O166" s="2301"/>
      <c r="P166" s="2301"/>
      <c r="Q166" s="2301"/>
      <c r="R166" s="2301"/>
      <c r="S166" s="2301"/>
      <c r="T166" s="2301"/>
      <c r="U166" s="2301"/>
      <c r="V166" s="2301"/>
      <c r="W166" s="2301"/>
      <c r="X166" s="2301"/>
      <c r="Y166" s="2301"/>
      <c r="Z166" s="2301"/>
      <c r="AA166" s="2301"/>
    </row>
    <row r="167" spans="1:27" s="2127" customFormat="1" ht="24.95" customHeight="1">
      <c r="A167" s="3153"/>
      <c r="B167" s="3060">
        <f>ROW()</f>
        <v>167</v>
      </c>
      <c r="C167" s="6474">
        <f>DATE(YEAR(C166),MONTH(C166)+1,1)-WEEKDAY(DATE(YEAR(C166),MONTH(C166)+1,2))</f>
        <v>44162</v>
      </c>
      <c r="D167" s="6474"/>
      <c r="E167" s="3064"/>
      <c r="F167" s="3064"/>
      <c r="G167" s="3064"/>
      <c r="H167" s="3064"/>
      <c r="I167" s="3064"/>
      <c r="J167" s="3065"/>
      <c r="K167" s="3064"/>
      <c r="L167" s="3064"/>
      <c r="M167" s="2301"/>
      <c r="N167" s="2301"/>
      <c r="O167" s="2301"/>
      <c r="P167" s="2301"/>
      <c r="Q167" s="2301"/>
      <c r="R167" s="2301"/>
      <c r="S167" s="2301"/>
      <c r="T167" s="2301"/>
      <c r="U167" s="2301"/>
      <c r="V167" s="2301"/>
      <c r="W167" s="2301"/>
      <c r="X167" s="2301"/>
      <c r="Y167" s="2301"/>
      <c r="Z167" s="2301"/>
      <c r="AA167" s="2301"/>
    </row>
    <row r="168" spans="1:27" s="2127" customFormat="1" ht="24.95" customHeight="1">
      <c r="A168" s="3153"/>
      <c r="B168" s="3115"/>
      <c r="C168" s="3072" t="str">
        <f ca="1">_xlfn.FORMULATEXT(C167)</f>
        <v>=DATE(ANNEE(C166);MOIS(C166)+1;1)-JOURSEM(DATE(ANNEE(C166);MOIS(C166)+1;2))</v>
      </c>
      <c r="D168" s="3176"/>
      <c r="E168" s="3062"/>
      <c r="F168" s="3062"/>
      <c r="G168" s="3072"/>
      <c r="H168" s="3062"/>
      <c r="I168" s="3062"/>
      <c r="J168" s="3177"/>
      <c r="K168" s="3064"/>
      <c r="L168" s="3064"/>
      <c r="M168" s="2301"/>
      <c r="N168" s="2301"/>
      <c r="O168" s="2301"/>
      <c r="P168" s="2301"/>
      <c r="Q168" s="2301"/>
      <c r="R168" s="2301"/>
      <c r="S168" s="2301"/>
      <c r="T168" s="2301"/>
      <c r="U168" s="2301"/>
      <c r="V168" s="2301"/>
      <c r="W168" s="2301"/>
      <c r="X168" s="2301"/>
      <c r="Y168" s="2301"/>
      <c r="Z168" s="2301"/>
      <c r="AA168" s="2301"/>
    </row>
    <row r="169" spans="1:27" s="2127" customFormat="1" ht="24.95" customHeight="1">
      <c r="A169" s="3153"/>
      <c r="B169" s="3115"/>
      <c r="C169" s="3064"/>
      <c r="D169" s="3064"/>
      <c r="E169" s="3064"/>
      <c r="F169" s="3064"/>
      <c r="G169" s="3064"/>
      <c r="H169" s="3064"/>
      <c r="I169" s="3064"/>
      <c r="J169" s="3065"/>
      <c r="K169" s="3064"/>
      <c r="L169" s="3064"/>
      <c r="M169" s="2301"/>
      <c r="N169" s="2301"/>
      <c r="O169" s="2301"/>
      <c r="P169" s="2301"/>
      <c r="Q169" s="2301"/>
      <c r="R169" s="2301"/>
      <c r="S169" s="2301"/>
      <c r="T169" s="2301"/>
      <c r="U169" s="2301"/>
      <c r="V169" s="2301"/>
      <c r="W169" s="2301"/>
      <c r="X169" s="2301"/>
      <c r="Y169" s="2301"/>
      <c r="Z169" s="2301"/>
      <c r="AA169" s="2301"/>
    </row>
    <row r="170" spans="1:27" s="2127" customFormat="1" ht="24.95" customHeight="1">
      <c r="A170" s="3153"/>
      <c r="B170" s="3060">
        <f>ROW()</f>
        <v>170</v>
      </c>
      <c r="C170" s="6475">
        <f>DATE(YEAR(C166),MONTH(C166)+1,1)-WEEKDAY(DATE(YEAR(C166),MONTH(C166)+1,2))</f>
        <v>44162</v>
      </c>
      <c r="D170" s="6475"/>
      <c r="E170" s="6475"/>
      <c r="F170" s="6475"/>
      <c r="G170" s="3064"/>
      <c r="H170" s="3064"/>
      <c r="I170" s="3064"/>
      <c r="J170" s="3065"/>
      <c r="K170" s="3064"/>
      <c r="L170" s="3064"/>
      <c r="M170" s="2301"/>
      <c r="N170" s="2301"/>
      <c r="O170" s="2301"/>
      <c r="P170" s="2301"/>
      <c r="Q170" s="2301"/>
      <c r="R170" s="2301"/>
      <c r="S170" s="2301"/>
      <c r="T170" s="2301"/>
      <c r="U170" s="2301"/>
      <c r="V170" s="2301"/>
      <c r="W170" s="2301"/>
      <c r="X170" s="2301"/>
      <c r="Y170" s="2301"/>
      <c r="Z170" s="2301"/>
      <c r="AA170" s="2301"/>
    </row>
    <row r="171" spans="1:27" s="2127" customFormat="1" ht="24.95" customHeight="1">
      <c r="A171" s="3153"/>
      <c r="B171" s="3115"/>
      <c r="C171" s="3072" t="str">
        <f ca="1">_xlfn.FORMULATEXT(C170)</f>
        <v>=DATE(ANNEE(C166);MOIS(C166)+1;1)-JOURSEM(DATE(ANNEE(C166);MOIS(C166)+1;2))</v>
      </c>
      <c r="D171" s="3062"/>
      <c r="E171" s="3062"/>
      <c r="F171" s="3062"/>
      <c r="G171" s="3072"/>
      <c r="H171" s="3062"/>
      <c r="I171" s="3062"/>
      <c r="J171" s="3177"/>
      <c r="K171" s="3064"/>
      <c r="L171" s="3064"/>
      <c r="M171" s="2301"/>
      <c r="N171" s="2301"/>
      <c r="O171" s="2301"/>
      <c r="P171" s="2301"/>
      <c r="Q171" s="2301"/>
      <c r="R171" s="2301"/>
      <c r="S171" s="2301"/>
      <c r="T171" s="2301"/>
      <c r="U171" s="2301"/>
      <c r="V171" s="2301"/>
      <c r="W171" s="2301"/>
      <c r="X171" s="2301"/>
      <c r="Y171" s="2301"/>
      <c r="Z171" s="2301"/>
      <c r="AA171" s="2301"/>
    </row>
    <row r="172" spans="1:27" s="2127" customFormat="1" ht="24.95" customHeight="1">
      <c r="A172" s="3153"/>
      <c r="B172" s="3115"/>
      <c r="C172" s="3165" t="s">
        <v>2236</v>
      </c>
      <c r="D172" s="3165"/>
      <c r="E172" s="3165" t="s">
        <v>2233</v>
      </c>
      <c r="F172" s="3165"/>
      <c r="G172" s="3062"/>
      <c r="H172" s="3062"/>
      <c r="I172" s="3062"/>
      <c r="J172" s="3177"/>
      <c r="K172" s="3064"/>
      <c r="L172" s="3064"/>
      <c r="M172" s="2301"/>
      <c r="N172" s="2301"/>
      <c r="O172" s="2301"/>
      <c r="P172" s="2301"/>
      <c r="Q172" s="2301"/>
      <c r="R172" s="2301"/>
      <c r="S172" s="2301"/>
      <c r="T172" s="2301"/>
      <c r="U172" s="2301"/>
      <c r="V172" s="2301"/>
      <c r="W172" s="2301"/>
      <c r="X172" s="2301"/>
      <c r="Y172" s="2301"/>
      <c r="Z172" s="2301"/>
      <c r="AA172" s="2301"/>
    </row>
    <row r="173" spans="1:27" s="2127" customFormat="1" ht="24.95" customHeight="1">
      <c r="A173" s="3153"/>
      <c r="B173" s="3115"/>
      <c r="C173" s="3165" t="s">
        <v>2237</v>
      </c>
      <c r="D173" s="3165"/>
      <c r="E173" s="3165" t="s">
        <v>2234</v>
      </c>
      <c r="F173" s="3165"/>
      <c r="G173" s="3064"/>
      <c r="H173" s="3064"/>
      <c r="I173" s="3064"/>
      <c r="J173" s="3065"/>
      <c r="K173" s="3064"/>
      <c r="L173" s="3064"/>
      <c r="M173" s="2301"/>
      <c r="N173" s="2301"/>
      <c r="O173" s="2301"/>
      <c r="P173" s="2301"/>
      <c r="Q173" s="2301"/>
      <c r="R173" s="2301"/>
      <c r="S173" s="2301"/>
      <c r="T173" s="2301"/>
      <c r="U173" s="2301"/>
      <c r="V173" s="2301"/>
      <c r="W173" s="2301"/>
      <c r="X173" s="2301"/>
      <c r="Y173" s="2301"/>
      <c r="Z173" s="2301"/>
      <c r="AA173" s="2301"/>
    </row>
    <row r="174" spans="1:27" s="2127" customFormat="1" ht="24.95" customHeight="1">
      <c r="A174" s="3153"/>
      <c r="B174" s="3115"/>
      <c r="C174" s="3165" t="s">
        <v>2238</v>
      </c>
      <c r="D174" s="3165"/>
      <c r="E174" s="3165" t="s">
        <v>2235</v>
      </c>
      <c r="F174" s="3165"/>
      <c r="G174" s="3064"/>
      <c r="H174" s="3064"/>
      <c r="I174" s="3064"/>
      <c r="J174" s="3065"/>
      <c r="K174" s="3064"/>
      <c r="L174" s="3064"/>
      <c r="M174" s="2301"/>
      <c r="N174" s="2301"/>
      <c r="O174" s="2301"/>
      <c r="P174" s="2301"/>
      <c r="Q174" s="2301"/>
      <c r="R174" s="2301"/>
      <c r="S174" s="2301"/>
      <c r="T174" s="2301"/>
      <c r="U174" s="2301"/>
      <c r="V174" s="2301"/>
      <c r="W174" s="2301"/>
      <c r="X174" s="2301"/>
      <c r="Y174" s="2301"/>
      <c r="Z174" s="2301"/>
      <c r="AA174" s="2301"/>
    </row>
    <row r="175" spans="1:27" s="2127" customFormat="1" ht="24.95" customHeight="1">
      <c r="A175" s="3153"/>
      <c r="B175" s="3115"/>
      <c r="C175" s="3165" t="s">
        <v>2239</v>
      </c>
      <c r="D175" s="3165"/>
      <c r="E175" s="3165"/>
      <c r="F175" s="3165"/>
      <c r="G175" s="3064"/>
      <c r="H175" s="3064"/>
      <c r="I175" s="3064"/>
      <c r="J175" s="3065"/>
      <c r="K175" s="3064"/>
      <c r="L175" s="3064"/>
      <c r="M175" s="2301"/>
      <c r="N175" s="2301"/>
      <c r="O175" s="2301"/>
      <c r="P175" s="2301"/>
      <c r="Q175" s="2301"/>
      <c r="R175" s="2301"/>
      <c r="S175" s="2301"/>
      <c r="T175" s="2301"/>
      <c r="U175" s="2301"/>
      <c r="V175" s="2301"/>
      <c r="W175" s="2301"/>
      <c r="X175" s="2301"/>
      <c r="Y175" s="2301"/>
      <c r="Z175" s="2301"/>
      <c r="AA175" s="2301"/>
    </row>
    <row r="176" spans="1:27" s="2127" customFormat="1" ht="24.95" customHeight="1" thickBot="1">
      <c r="A176" s="3153"/>
      <c r="B176" s="3076"/>
      <c r="C176" s="3080"/>
      <c r="D176" s="3080"/>
      <c r="E176" s="3080"/>
      <c r="F176" s="3080"/>
      <c r="G176" s="3080"/>
      <c r="H176" s="3080"/>
      <c r="I176" s="3080"/>
      <c r="J176" s="3081"/>
      <c r="K176" s="3064"/>
      <c r="L176" s="3064"/>
      <c r="M176" s="2301"/>
      <c r="N176" s="2301"/>
      <c r="O176" s="2301"/>
      <c r="P176" s="2301"/>
      <c r="Q176" s="2301"/>
      <c r="R176" s="2301"/>
      <c r="S176" s="2301"/>
      <c r="T176" s="2301"/>
      <c r="U176" s="2301"/>
      <c r="V176" s="2301"/>
      <c r="W176" s="2301"/>
      <c r="X176" s="2301"/>
      <c r="Y176" s="2301"/>
      <c r="Z176" s="2301"/>
      <c r="AA176" s="2301"/>
    </row>
    <row r="177" spans="1:27" s="2127" customFormat="1" ht="24.95" customHeight="1" thickBot="1">
      <c r="A177" s="3153"/>
      <c r="B177" s="3153"/>
      <c r="C177" s="3064"/>
      <c r="D177" s="3064"/>
      <c r="E177" s="3064"/>
      <c r="F177" s="3064"/>
      <c r="G177" s="3064"/>
      <c r="H177" s="3064"/>
      <c r="I177" s="3064"/>
      <c r="J177" s="3064"/>
      <c r="K177" s="3064"/>
      <c r="L177" s="3064"/>
      <c r="M177" s="2301"/>
      <c r="N177" s="2301"/>
      <c r="O177" s="2301"/>
      <c r="P177" s="2301"/>
      <c r="Q177" s="2301"/>
      <c r="R177" s="2301"/>
      <c r="S177" s="2301"/>
      <c r="T177" s="2301"/>
      <c r="U177" s="2301"/>
      <c r="V177" s="2301"/>
      <c r="W177" s="2301"/>
      <c r="X177" s="2301"/>
      <c r="Y177" s="2301"/>
      <c r="Z177" s="2301"/>
      <c r="AA177" s="2301"/>
    </row>
    <row r="178" spans="1:27" s="2127" customFormat="1" ht="24.95" customHeight="1">
      <c r="A178" s="3153"/>
      <c r="B178" s="3055"/>
      <c r="C178" s="3056"/>
      <c r="D178" s="3056"/>
      <c r="E178" s="3056"/>
      <c r="F178" s="3056"/>
      <c r="G178" s="3056"/>
      <c r="H178" s="3056"/>
      <c r="I178" s="3056"/>
      <c r="J178" s="3056"/>
      <c r="K178" s="3056"/>
      <c r="L178" s="3056"/>
      <c r="M178" s="3085"/>
      <c r="N178" s="3089"/>
      <c r="O178" s="2301"/>
      <c r="P178" s="2301"/>
      <c r="Q178" s="2301"/>
      <c r="R178" s="2301"/>
      <c r="S178" s="2301"/>
      <c r="T178" s="2301"/>
      <c r="U178" s="2301"/>
      <c r="V178" s="2301"/>
      <c r="W178" s="2301"/>
      <c r="X178" s="2301"/>
      <c r="Y178" s="2301"/>
      <c r="Z178" s="2301"/>
      <c r="AA178" s="2301"/>
    </row>
    <row r="179" spans="1:27" s="2127" customFormat="1" ht="24.95" customHeight="1">
      <c r="A179" s="3153"/>
      <c r="B179" s="3060" t="s">
        <v>2225</v>
      </c>
      <c r="C179" s="3090" t="s">
        <v>2232</v>
      </c>
      <c r="D179" s="2301"/>
      <c r="E179" s="2301"/>
      <c r="F179" s="2301"/>
      <c r="G179" s="2301"/>
      <c r="H179" s="2301"/>
      <c r="I179" s="2301"/>
      <c r="J179" s="2301"/>
      <c r="K179" s="2301"/>
      <c r="L179" s="3064"/>
      <c r="M179" s="2301"/>
      <c r="N179" s="3178"/>
      <c r="O179" s="2302"/>
      <c r="P179" s="2302"/>
      <c r="Q179" s="2302"/>
      <c r="R179" s="2302"/>
      <c r="S179" s="2302"/>
      <c r="T179" s="2302"/>
      <c r="U179" s="2130"/>
      <c r="V179" s="2302"/>
      <c r="W179" s="2301"/>
      <c r="X179" s="2301"/>
      <c r="Y179" s="2301"/>
      <c r="Z179" s="2301"/>
      <c r="AA179" s="2301"/>
    </row>
    <row r="180" spans="1:27" s="2127" customFormat="1" ht="24.95" customHeight="1">
      <c r="A180" s="2299"/>
      <c r="B180" s="3060">
        <f>ROW()</f>
        <v>180</v>
      </c>
      <c r="C180" s="6476">
        <v>44190</v>
      </c>
      <c r="D180" s="6476"/>
      <c r="E180" s="3082"/>
      <c r="F180" s="3083"/>
      <c r="G180" s="3083"/>
      <c r="H180" s="3083"/>
      <c r="I180" s="3083"/>
      <c r="J180" s="2310"/>
      <c r="K180" s="2301"/>
      <c r="L180" s="2301"/>
      <c r="M180" s="2301"/>
      <c r="N180" s="3145"/>
      <c r="O180" s="2301"/>
      <c r="P180" s="2301"/>
      <c r="Q180" s="2301"/>
      <c r="R180" s="2301"/>
      <c r="S180" s="2301"/>
      <c r="T180" s="2301"/>
      <c r="U180" s="2301"/>
      <c r="V180" s="2301"/>
      <c r="W180" s="2301"/>
      <c r="X180" s="2301"/>
      <c r="Y180" s="2301"/>
      <c r="Z180" s="2301"/>
      <c r="AA180" s="2301"/>
    </row>
    <row r="181" spans="1:27" s="2127" customFormat="1" ht="24.95" customHeight="1">
      <c r="A181" s="2299"/>
      <c r="B181" s="3060">
        <f>ROW()</f>
        <v>181</v>
      </c>
      <c r="C181" s="6477">
        <f>DATE(YEAR(C180),MONTH(C180)+1,1)-MOD(DATE(YEAR(C180),MONTH(C180)+1,1)+5,7)-3</f>
        <v>44190</v>
      </c>
      <c r="D181" s="6477"/>
      <c r="E181" s="3082"/>
      <c r="F181" s="3083"/>
      <c r="G181" s="3072" t="str">
        <f t="shared" ref="G181:G182" ca="1" si="2">_xlfn.FORMULATEXT(C181)</f>
        <v>=DATE(ANNEE(C180);MOIS(C180)+1;1)-MOD(DATE(ANNEE(C180);MOIS(C180)+1;1)+5;7)-3</v>
      </c>
      <c r="H181" s="3083"/>
      <c r="I181" s="3083"/>
      <c r="J181" s="2310"/>
      <c r="K181" s="2301"/>
      <c r="L181" s="2301"/>
      <c r="M181" s="2301"/>
      <c r="N181" s="3145"/>
      <c r="O181" s="2301"/>
      <c r="P181" s="2301"/>
      <c r="Q181" s="2301"/>
      <c r="R181" s="2301"/>
      <c r="S181" s="2301"/>
      <c r="T181" s="2301"/>
      <c r="U181" s="2301"/>
      <c r="V181" s="2301"/>
      <c r="W181" s="2301"/>
      <c r="X181" s="2301"/>
      <c r="Y181" s="2301"/>
      <c r="Z181" s="2301"/>
      <c r="AA181" s="2301"/>
    </row>
    <row r="182" spans="1:27" s="2127" customFormat="1" ht="24.95" customHeight="1">
      <c r="A182" s="2299"/>
      <c r="B182" s="3060">
        <f>ROW()</f>
        <v>182</v>
      </c>
      <c r="C182" s="6471">
        <f>DATE(YEAR(C180),MONTH(C180)+1,1)-MOD(DATE(YEAR(C180),MONTH(C180)+1,1)+5,7)-3</f>
        <v>44190</v>
      </c>
      <c r="D182" s="6471"/>
      <c r="E182" s="6471"/>
      <c r="F182" s="3083"/>
      <c r="G182" s="3072" t="str">
        <f t="shared" ca="1" si="2"/>
        <v>=DATE(ANNEE(C180);MOIS(C180)+1;1)-MOD(DATE(ANNEE(C180);MOIS(C180)+1;1)+5;7)-3</v>
      </c>
      <c r="H182" s="3083"/>
      <c r="I182" s="3083"/>
      <c r="J182" s="2310"/>
      <c r="K182" s="2301"/>
      <c r="L182" s="2301"/>
      <c r="M182" s="2301"/>
      <c r="N182" s="3145"/>
      <c r="O182" s="2301"/>
      <c r="P182" s="2301"/>
      <c r="Q182" s="2301"/>
      <c r="R182" s="2301"/>
      <c r="S182" s="2301"/>
      <c r="T182" s="2301"/>
      <c r="U182" s="2301"/>
      <c r="V182" s="2301"/>
      <c r="W182" s="2301"/>
      <c r="X182" s="2301"/>
      <c r="Y182" s="2301"/>
      <c r="Z182" s="2301"/>
      <c r="AA182" s="2301"/>
    </row>
    <row r="183" spans="1:27" s="2127" customFormat="1" ht="24.95" customHeight="1" thickBot="1">
      <c r="A183" s="2299"/>
      <c r="B183" s="3092"/>
      <c r="C183" s="3179" t="s">
        <v>3033</v>
      </c>
      <c r="D183" s="3109"/>
      <c r="E183" s="3109"/>
      <c r="F183" s="3110"/>
      <c r="G183" s="3110"/>
      <c r="H183" s="3110"/>
      <c r="I183" s="3110"/>
      <c r="J183" s="3122"/>
      <c r="K183" s="3108"/>
      <c r="L183" s="3108"/>
      <c r="M183" s="3108"/>
      <c r="N183" s="3123"/>
      <c r="O183" s="2301"/>
      <c r="P183" s="2301"/>
      <c r="Q183" s="2301"/>
      <c r="R183" s="2301"/>
      <c r="S183" s="2301"/>
      <c r="T183" s="2301"/>
      <c r="U183" s="2301"/>
      <c r="V183" s="2301"/>
      <c r="W183" s="2301"/>
      <c r="X183" s="2301"/>
      <c r="Y183" s="2301"/>
      <c r="Z183" s="2301"/>
      <c r="AA183" s="2301"/>
    </row>
    <row r="184" spans="1:27" s="2127" customFormat="1" ht="24.95" customHeight="1">
      <c r="A184" s="2299"/>
      <c r="B184" s="2300"/>
      <c r="C184" s="2301"/>
      <c r="D184" s="3082"/>
      <c r="E184" s="3082"/>
      <c r="F184" s="3083"/>
      <c r="G184" s="3083"/>
      <c r="H184" s="3083"/>
      <c r="I184" s="3083"/>
      <c r="J184" s="2310"/>
      <c r="K184" s="2301"/>
      <c r="L184" s="2301"/>
      <c r="M184" s="2301"/>
      <c r="N184" s="2301"/>
      <c r="O184" s="2301"/>
      <c r="P184" s="2301"/>
      <c r="Q184" s="2301"/>
      <c r="R184" s="2301"/>
      <c r="S184" s="2301"/>
      <c r="T184" s="2301"/>
      <c r="U184" s="2301"/>
      <c r="V184" s="2301"/>
      <c r="W184" s="2301"/>
      <c r="X184" s="2301"/>
      <c r="Y184" s="2301"/>
      <c r="Z184" s="2301"/>
      <c r="AA184" s="2301"/>
    </row>
    <row r="185" spans="1:27" s="2127" customFormat="1" ht="24.95" customHeight="1">
      <c r="A185" s="2299"/>
      <c r="B185" s="2300"/>
      <c r="C185" s="2301"/>
      <c r="D185" s="3082"/>
      <c r="E185" s="3082"/>
      <c r="F185" s="3083"/>
      <c r="G185" s="3083"/>
      <c r="H185" s="3083"/>
      <c r="I185" s="3083"/>
      <c r="J185" s="2310"/>
      <c r="K185" s="2301"/>
      <c r="L185" s="2301"/>
      <c r="M185" s="2301"/>
      <c r="N185" s="2301"/>
      <c r="O185" s="2301"/>
      <c r="P185" s="2301"/>
      <c r="Q185" s="2301"/>
      <c r="R185" s="2301"/>
      <c r="S185" s="2301"/>
      <c r="T185" s="2301"/>
      <c r="U185" s="2301"/>
      <c r="V185" s="2301"/>
      <c r="W185" s="2301"/>
      <c r="X185" s="2301"/>
      <c r="Y185" s="2301"/>
      <c r="Z185" s="2301"/>
      <c r="AA185" s="2301"/>
    </row>
    <row r="186" spans="1:27" s="2127" customFormat="1" ht="24.95" customHeight="1">
      <c r="A186" s="2299"/>
      <c r="B186" s="2300"/>
      <c r="C186" s="2301"/>
      <c r="D186" s="3082"/>
      <c r="E186" s="3082"/>
      <c r="F186" s="3083"/>
      <c r="G186" s="3083"/>
      <c r="H186" s="3083"/>
      <c r="I186" s="3083"/>
      <c r="J186" s="2310"/>
      <c r="K186" s="2301"/>
      <c r="L186" s="2301"/>
      <c r="M186" s="2301"/>
      <c r="N186" s="2301"/>
      <c r="O186" s="2301"/>
      <c r="P186" s="2301"/>
      <c r="Q186" s="2301"/>
      <c r="R186" s="2301"/>
      <c r="S186" s="2301"/>
      <c r="T186" s="2301"/>
      <c r="U186" s="2301"/>
      <c r="V186" s="2301"/>
      <c r="W186" s="2301"/>
      <c r="X186" s="2301"/>
      <c r="Y186" s="2301"/>
      <c r="Z186" s="2301"/>
      <c r="AA186" s="2301"/>
    </row>
    <row r="187" spans="1:27" s="2127" customFormat="1" ht="24.95" customHeight="1">
      <c r="A187" s="3040"/>
      <c r="B187" s="3041"/>
      <c r="C187" s="3042"/>
      <c r="D187" s="3043"/>
      <c r="E187" s="3043"/>
      <c r="F187" s="3044"/>
      <c r="G187" s="3044"/>
      <c r="H187" s="3044"/>
      <c r="I187" s="3044"/>
      <c r="J187" s="3045"/>
      <c r="K187" s="3042"/>
      <c r="L187" s="3042"/>
      <c r="M187" s="3042"/>
      <c r="N187" s="3042"/>
      <c r="O187" s="3042"/>
      <c r="P187" s="3042"/>
      <c r="Q187" s="3042"/>
      <c r="R187" s="3042"/>
      <c r="S187" s="3042"/>
      <c r="T187" s="3042"/>
      <c r="U187" s="3042"/>
      <c r="V187" s="3042"/>
      <c r="W187" s="3042"/>
      <c r="X187" s="3042"/>
      <c r="Y187" s="3042"/>
      <c r="Z187" s="3042"/>
      <c r="AA187" s="3042"/>
    </row>
    <row r="188" spans="1:27" s="2127" customFormat="1" ht="24.95" customHeight="1">
      <c r="A188" s="2299"/>
      <c r="B188" s="2300"/>
      <c r="C188" s="2301"/>
      <c r="D188" s="3082"/>
      <c r="E188" s="3082"/>
      <c r="F188" s="3083"/>
      <c r="G188" s="3083"/>
      <c r="H188" s="3083"/>
      <c r="I188" s="3083"/>
      <c r="J188" s="2310"/>
      <c r="K188" s="2301"/>
      <c r="L188" s="2301"/>
      <c r="M188" s="2301"/>
      <c r="N188" s="2301"/>
      <c r="O188" s="2301"/>
      <c r="P188" s="2301"/>
      <c r="Q188" s="2301"/>
      <c r="R188" s="2302"/>
      <c r="S188" s="2302"/>
      <c r="T188" s="2302"/>
      <c r="U188" s="2302"/>
      <c r="V188" s="2302"/>
      <c r="W188" s="2302"/>
      <c r="X188" s="2302"/>
      <c r="Y188" s="2130"/>
      <c r="Z188" s="2302"/>
      <c r="AA188" s="2130"/>
    </row>
    <row r="189" spans="1:27" s="3033" customFormat="1" ht="24.95" customHeight="1">
      <c r="A189" s="3028"/>
      <c r="B189" s="3029"/>
      <c r="C189" s="3030"/>
      <c r="D189" s="3028"/>
      <c r="E189" s="3030"/>
      <c r="F189" s="3028"/>
      <c r="G189" s="3028"/>
      <c r="H189" s="3046"/>
      <c r="I189" s="3046"/>
      <c r="J189" s="3046"/>
      <c r="K189" s="3046"/>
      <c r="L189" s="3046"/>
      <c r="M189" s="3046"/>
      <c r="N189" s="2302"/>
      <c r="O189" s="2302"/>
      <c r="P189" s="2302"/>
      <c r="Q189" s="2302"/>
      <c r="R189" s="2302"/>
      <c r="S189" s="2302"/>
      <c r="T189" s="2302"/>
      <c r="U189" s="2302"/>
      <c r="V189" s="2302"/>
      <c r="W189" s="2302"/>
      <c r="X189" s="2302"/>
      <c r="Y189" s="2130"/>
      <c r="Z189" s="2302"/>
      <c r="AA189" s="2130"/>
    </row>
    <row r="190" spans="1:27" s="3033" customFormat="1" ht="24.95" customHeight="1">
      <c r="A190" s="3028"/>
      <c r="B190" s="3029"/>
      <c r="C190" s="3030"/>
      <c r="D190" s="3028"/>
      <c r="E190" s="3030"/>
      <c r="F190" s="3028"/>
      <c r="G190" s="3028"/>
      <c r="H190" s="3046"/>
      <c r="I190" s="3046"/>
      <c r="J190" s="3046"/>
      <c r="K190" s="3046"/>
      <c r="L190" s="3046"/>
      <c r="M190" s="3046"/>
      <c r="N190" s="2302"/>
      <c r="O190" s="2302"/>
      <c r="P190" s="2302"/>
      <c r="Q190" s="2302"/>
      <c r="R190" s="2302"/>
      <c r="S190" s="2302"/>
      <c r="T190" s="2302"/>
      <c r="U190" s="2302"/>
      <c r="V190" s="2302"/>
      <c r="W190" s="2302"/>
      <c r="X190" s="2302"/>
      <c r="Y190" s="2130"/>
      <c r="Z190" s="2302"/>
      <c r="AA190" s="2130"/>
    </row>
    <row r="191" spans="1:27" s="3033" customFormat="1" ht="24.95" customHeight="1">
      <c r="A191" s="3028"/>
      <c r="B191" s="3029"/>
      <c r="C191" s="3030"/>
      <c r="D191" s="3028"/>
      <c r="E191" s="3030"/>
      <c r="F191" s="3028"/>
      <c r="G191" s="3028"/>
      <c r="H191" s="3046"/>
      <c r="I191" s="3046"/>
      <c r="J191" s="3046"/>
      <c r="K191" s="3046"/>
      <c r="L191" s="3046"/>
      <c r="M191" s="3046"/>
      <c r="N191" s="2302"/>
      <c r="O191" s="2302"/>
      <c r="P191" s="2302"/>
      <c r="Q191" s="2302"/>
      <c r="R191" s="2302"/>
      <c r="S191" s="2302"/>
      <c r="T191" s="2302"/>
      <c r="U191" s="2302"/>
      <c r="V191" s="2302"/>
      <c r="W191" s="2302"/>
      <c r="X191" s="2302"/>
      <c r="Y191" s="2130"/>
      <c r="Z191" s="2302"/>
      <c r="AA191" s="2130"/>
    </row>
    <row r="192" spans="1:27" s="3033" customFormat="1" ht="24.95" customHeight="1">
      <c r="A192" s="3028"/>
      <c r="B192" s="3029"/>
      <c r="C192" s="3030"/>
      <c r="D192" s="3028"/>
      <c r="E192" s="3030"/>
      <c r="F192" s="3028"/>
      <c r="G192" s="3028"/>
      <c r="H192" s="3046"/>
      <c r="I192" s="3046"/>
      <c r="J192" s="3046"/>
      <c r="K192" s="3046"/>
      <c r="L192" s="3046"/>
      <c r="M192" s="3046"/>
      <c r="N192" s="2302"/>
      <c r="O192" s="2302"/>
      <c r="P192" s="2302"/>
      <c r="Q192" s="2302"/>
      <c r="R192" s="2302"/>
      <c r="S192" s="2302"/>
      <c r="T192" s="2302"/>
      <c r="U192" s="2302"/>
      <c r="V192" s="2302"/>
      <c r="W192" s="2302"/>
      <c r="X192" s="2302"/>
      <c r="Y192" s="2130"/>
      <c r="Z192" s="2302"/>
      <c r="AA192" s="2130"/>
    </row>
    <row r="193" spans="1:27" s="3033" customFormat="1" ht="24.95" customHeight="1">
      <c r="A193" s="3028"/>
      <c r="B193" s="3029"/>
      <c r="C193" s="3030"/>
      <c r="D193" s="3028"/>
      <c r="E193" s="3030"/>
      <c r="F193" s="3028"/>
      <c r="G193" s="3028"/>
      <c r="H193" s="3046"/>
      <c r="I193" s="3046"/>
      <c r="J193" s="3046"/>
      <c r="K193" s="3046"/>
      <c r="L193" s="3046"/>
      <c r="M193" s="3046"/>
      <c r="N193" s="2302"/>
      <c r="O193" s="2302"/>
      <c r="P193" s="2302"/>
      <c r="Q193" s="2302"/>
      <c r="R193" s="2302"/>
      <c r="S193" s="2302"/>
      <c r="T193" s="2302"/>
      <c r="U193" s="2302"/>
      <c r="V193" s="2302"/>
      <c r="W193" s="2302"/>
      <c r="X193" s="2302"/>
      <c r="Y193" s="2130"/>
      <c r="Z193" s="2302"/>
      <c r="AA193" s="2130"/>
    </row>
    <row r="194" spans="1:27" s="3033" customFormat="1" ht="24.95" customHeight="1">
      <c r="A194" s="3028"/>
      <c r="B194" s="3029"/>
      <c r="C194" s="3030"/>
      <c r="D194" s="3028"/>
      <c r="E194" s="3030"/>
      <c r="F194" s="3028"/>
      <c r="G194" s="3028"/>
      <c r="H194" s="3046"/>
      <c r="I194" s="3046"/>
      <c r="J194" s="3046"/>
      <c r="K194" s="3046"/>
      <c r="L194" s="3046"/>
      <c r="M194" s="3046"/>
      <c r="N194" s="2302"/>
      <c r="O194" s="2302"/>
      <c r="P194" s="2302"/>
      <c r="Q194" s="2302"/>
      <c r="R194" s="2302"/>
      <c r="S194" s="2302"/>
      <c r="T194" s="2302"/>
      <c r="U194" s="2302"/>
      <c r="V194" s="2302"/>
      <c r="W194" s="2302"/>
      <c r="X194" s="2302"/>
      <c r="Y194" s="2130"/>
      <c r="Z194" s="2302"/>
      <c r="AA194" s="2130"/>
    </row>
    <row r="195" spans="1:27" s="3033" customFormat="1" ht="24.95" customHeight="1">
      <c r="A195" s="3028"/>
      <c r="B195" s="3029"/>
      <c r="C195" s="3030" t="s">
        <v>2250</v>
      </c>
      <c r="D195" s="3028"/>
      <c r="E195" s="3030"/>
      <c r="F195" s="3028"/>
      <c r="G195" s="3028"/>
      <c r="H195" s="3046"/>
      <c r="I195" s="3046"/>
      <c r="J195" s="3046"/>
      <c r="K195" s="3046"/>
      <c r="L195" s="3046"/>
      <c r="M195" s="3046"/>
      <c r="N195" s="2302"/>
      <c r="O195" s="2302"/>
      <c r="P195" s="2302"/>
      <c r="Q195" s="2302"/>
      <c r="R195" s="2302"/>
      <c r="S195" s="2302"/>
      <c r="T195" s="2302"/>
      <c r="U195" s="2302"/>
      <c r="V195" s="2302"/>
      <c r="W195" s="2302"/>
      <c r="X195" s="2302"/>
      <c r="Y195" s="2130"/>
      <c r="Z195" s="2302"/>
      <c r="AA195" s="2130"/>
    </row>
    <row r="196" spans="1:27" s="3033" customFormat="1" ht="24.95" customHeight="1">
      <c r="A196" s="3028"/>
      <c r="B196" s="3029"/>
      <c r="C196" s="3030" t="s">
        <v>2251</v>
      </c>
      <c r="D196" s="3028"/>
      <c r="E196" s="3030"/>
      <c r="F196" s="3028"/>
      <c r="G196" s="3028"/>
      <c r="H196" s="3046"/>
      <c r="I196" s="3046"/>
      <c r="J196" s="3046"/>
      <c r="K196" s="3046"/>
      <c r="L196" s="3046"/>
      <c r="M196" s="3046"/>
      <c r="N196" s="2302"/>
      <c r="O196" s="2302"/>
      <c r="P196" s="2302"/>
      <c r="Q196" s="2302"/>
      <c r="R196" s="2302"/>
      <c r="S196" s="2302"/>
      <c r="T196" s="2302"/>
      <c r="U196" s="2302"/>
      <c r="V196" s="2302"/>
      <c r="W196" s="2302"/>
      <c r="X196" s="2302"/>
      <c r="Y196" s="2130"/>
      <c r="Z196" s="2302"/>
      <c r="AA196" s="2130"/>
    </row>
    <row r="197" spans="1:27" s="3033" customFormat="1" ht="24.95" customHeight="1">
      <c r="A197" s="3028"/>
      <c r="B197" s="3029"/>
      <c r="C197" s="3030" t="s">
        <v>2252</v>
      </c>
      <c r="D197" s="3028"/>
      <c r="E197" s="3030"/>
      <c r="F197" s="3028"/>
      <c r="G197" s="3028"/>
      <c r="H197" s="3046"/>
      <c r="I197" s="3046"/>
      <c r="J197" s="3046"/>
      <c r="K197" s="3046"/>
      <c r="L197" s="3046"/>
      <c r="M197" s="3046"/>
      <c r="N197" s="2302"/>
      <c r="O197" s="2302"/>
      <c r="P197" s="2302"/>
      <c r="Q197" s="2302"/>
      <c r="R197" s="2302"/>
      <c r="S197" s="2302"/>
      <c r="T197" s="2302"/>
      <c r="U197" s="2302"/>
      <c r="V197" s="2302"/>
      <c r="W197" s="2302"/>
      <c r="X197" s="2302"/>
      <c r="Y197" s="2130"/>
      <c r="Z197" s="2302"/>
      <c r="AA197" s="2130"/>
    </row>
    <row r="198" spans="1:27" s="3033" customFormat="1" ht="24.95" customHeight="1">
      <c r="A198" s="3028"/>
      <c r="B198" s="3029"/>
      <c r="C198" s="3030" t="s">
        <v>2253</v>
      </c>
      <c r="D198" s="3028"/>
      <c r="E198" s="3030"/>
      <c r="F198" s="3028"/>
      <c r="G198" s="3028"/>
      <c r="H198" s="3046"/>
      <c r="I198" s="3046"/>
      <c r="J198" s="3046"/>
      <c r="K198" s="3046"/>
      <c r="L198" s="3046"/>
      <c r="M198" s="3046"/>
      <c r="N198" s="2302"/>
      <c r="O198" s="2302"/>
      <c r="P198" s="2302"/>
      <c r="Q198" s="2302"/>
      <c r="R198" s="2302"/>
      <c r="S198" s="2302"/>
      <c r="T198" s="2302"/>
      <c r="U198" s="2302"/>
      <c r="V198" s="2302"/>
      <c r="W198" s="2302"/>
      <c r="X198" s="2302"/>
      <c r="Y198" s="2130"/>
      <c r="Z198" s="2302"/>
      <c r="AA198" s="2130"/>
    </row>
    <row r="199" spans="1:27" s="2127" customFormat="1" ht="24.95" customHeight="1">
      <c r="A199" s="2299"/>
      <c r="B199" s="2300"/>
      <c r="C199" s="3180"/>
      <c r="D199" s="3181"/>
      <c r="E199" s="3182"/>
      <c r="F199" s="3183"/>
      <c r="G199" s="3184"/>
      <c r="H199" s="3184"/>
      <c r="I199" s="3184"/>
      <c r="J199" s="3185"/>
      <c r="K199" s="2317"/>
      <c r="L199" s="2316"/>
      <c r="M199" s="2316"/>
      <c r="N199" s="2316"/>
      <c r="O199" s="2316"/>
      <c r="P199" s="2316"/>
      <c r="Q199" s="2318"/>
      <c r="R199" s="2319"/>
      <c r="S199" s="3186"/>
      <c r="T199" s="3187"/>
      <c r="U199" s="2319"/>
      <c r="V199" s="3046"/>
      <c r="W199" s="3046"/>
      <c r="X199" s="2299"/>
      <c r="Y199" s="2299"/>
      <c r="Z199" s="2299"/>
      <c r="AA199" s="2299"/>
    </row>
    <row r="200" spans="1:27" s="2127" customFormat="1" ht="24.95" customHeight="1">
      <c r="A200" s="2299"/>
      <c r="B200" s="2300"/>
      <c r="C200" s="3180"/>
      <c r="D200" s="3181"/>
      <c r="E200" s="3182"/>
      <c r="F200" s="3183"/>
      <c r="G200" s="3184"/>
      <c r="H200" s="3184"/>
      <c r="I200" s="3184"/>
      <c r="J200" s="3185"/>
      <c r="K200" s="2317"/>
      <c r="L200" s="2316"/>
      <c r="M200" s="2316"/>
      <c r="N200" s="2316"/>
      <c r="O200" s="2316"/>
      <c r="P200" s="2316"/>
      <c r="Q200" s="2318"/>
      <c r="R200" s="2319"/>
      <c r="S200" s="3186"/>
      <c r="T200" s="3187"/>
      <c r="U200" s="2319"/>
      <c r="V200" s="3046"/>
      <c r="W200" s="3046"/>
      <c r="X200" s="2299"/>
      <c r="Y200" s="2299"/>
      <c r="Z200" s="2299"/>
      <c r="AA200" s="2299"/>
    </row>
    <row r="201" spans="1:27" s="2127" customFormat="1" ht="24.95" customHeight="1">
      <c r="A201" s="2299"/>
      <c r="B201" s="2300"/>
      <c r="C201" s="3180"/>
      <c r="D201" s="3181"/>
      <c r="E201" s="3182"/>
      <c r="F201" s="3183"/>
      <c r="G201" s="3184"/>
      <c r="H201" s="3184"/>
      <c r="I201" s="3184"/>
      <c r="J201" s="3185"/>
      <c r="K201" s="2317"/>
      <c r="L201" s="2316"/>
      <c r="M201" s="2316"/>
      <c r="N201" s="2316"/>
      <c r="O201" s="2316"/>
      <c r="P201" s="2316"/>
      <c r="Q201" s="2318"/>
      <c r="R201" s="2319"/>
      <c r="S201" s="3186"/>
      <c r="T201" s="3187"/>
      <c r="U201" s="2319"/>
      <c r="V201" s="3046"/>
      <c r="W201" s="3046"/>
      <c r="X201" s="2299"/>
      <c r="Y201" s="2299"/>
      <c r="Z201" s="2299"/>
      <c r="AA201" s="2299"/>
    </row>
    <row r="202" spans="1:27" s="2127" customFormat="1" ht="24.95" customHeight="1">
      <c r="A202" s="2299"/>
      <c r="B202" s="2300"/>
      <c r="C202" s="3180"/>
      <c r="D202" s="3181"/>
      <c r="E202" s="3182"/>
      <c r="F202" s="3183"/>
      <c r="G202" s="3184"/>
      <c r="H202" s="3184"/>
      <c r="I202" s="3184"/>
      <c r="J202" s="3185"/>
      <c r="K202" s="2317"/>
      <c r="L202" s="2316"/>
      <c r="M202" s="2316"/>
      <c r="N202" s="2316"/>
      <c r="O202" s="2316"/>
      <c r="P202" s="2316"/>
      <c r="Q202" s="2318"/>
      <c r="R202" s="2319"/>
      <c r="S202" s="3186"/>
      <c r="T202" s="3187"/>
      <c r="U202" s="2319"/>
      <c r="V202" s="3046"/>
      <c r="W202" s="3046"/>
      <c r="X202" s="2299"/>
      <c r="Y202" s="2299"/>
      <c r="Z202" s="2299"/>
      <c r="AA202" s="2299"/>
    </row>
    <row r="203" spans="1:27" s="2127" customFormat="1" ht="24.95" customHeight="1">
      <c r="A203" s="2299"/>
      <c r="B203" s="2300"/>
      <c r="C203" s="3180"/>
      <c r="D203" s="3181"/>
      <c r="E203" s="3182"/>
      <c r="F203" s="3183"/>
      <c r="G203" s="3184"/>
      <c r="H203" s="3184"/>
      <c r="I203" s="3184"/>
      <c r="J203" s="3185"/>
      <c r="K203" s="2317"/>
      <c r="L203" s="2316"/>
      <c r="M203" s="2316"/>
      <c r="N203" s="2316"/>
      <c r="O203" s="2316"/>
      <c r="P203" s="2316"/>
      <c r="Q203" s="2318"/>
      <c r="R203" s="2319"/>
      <c r="S203" s="3186"/>
      <c r="T203" s="3187"/>
      <c r="U203" s="2319"/>
      <c r="V203" s="3046"/>
      <c r="W203" s="3046"/>
      <c r="X203" s="2299"/>
      <c r="Y203" s="2299"/>
      <c r="Z203" s="2299"/>
      <c r="AA203" s="2299"/>
    </row>
    <row r="204" spans="1:27" s="2127" customFormat="1" ht="24.95" customHeight="1">
      <c r="A204" s="2299"/>
      <c r="B204" s="2300"/>
      <c r="C204" s="3180"/>
      <c r="D204" s="3181"/>
      <c r="E204" s="3182"/>
      <c r="F204" s="3183"/>
      <c r="G204" s="3184"/>
      <c r="H204" s="3184"/>
      <c r="I204" s="3184"/>
      <c r="J204" s="3185"/>
      <c r="K204" s="2317"/>
      <c r="L204" s="2316"/>
      <c r="M204" s="2316"/>
      <c r="N204" s="2316"/>
      <c r="O204" s="2316"/>
      <c r="P204" s="2316"/>
      <c r="Q204" s="2318"/>
      <c r="R204" s="2319"/>
      <c r="S204" s="3186"/>
      <c r="T204" s="3187"/>
      <c r="U204" s="2319"/>
      <c r="V204" s="3046"/>
      <c r="W204" s="3046"/>
      <c r="X204" s="2299"/>
      <c r="Y204" s="2299"/>
      <c r="Z204" s="2299"/>
      <c r="AA204" s="2299"/>
    </row>
    <row r="205" spans="1:27" s="2127" customFormat="1" ht="24.95" customHeight="1">
      <c r="A205" s="2299"/>
      <c r="B205" s="2300"/>
      <c r="C205" s="3180"/>
      <c r="D205" s="3181"/>
      <c r="E205" s="3182"/>
      <c r="F205" s="3183"/>
      <c r="G205" s="3184"/>
      <c r="H205" s="3184"/>
      <c r="I205" s="3184"/>
      <c r="J205" s="3185"/>
      <c r="K205" s="2317"/>
      <c r="L205" s="2316"/>
      <c r="M205" s="2316"/>
      <c r="N205" s="2316"/>
      <c r="O205" s="2316"/>
      <c r="P205" s="2316"/>
      <c r="Q205" s="2318"/>
      <c r="R205" s="2319"/>
      <c r="S205" s="3186"/>
      <c r="T205" s="3187"/>
      <c r="U205" s="2319"/>
      <c r="V205" s="3046"/>
      <c r="W205" s="3046"/>
      <c r="X205" s="2299"/>
      <c r="Y205" s="2299"/>
      <c r="Z205" s="2299"/>
      <c r="AA205" s="2299"/>
    </row>
    <row r="206" spans="1:27" s="2127" customFormat="1" ht="24.95" customHeight="1">
      <c r="A206" s="2299"/>
      <c r="B206" s="2300"/>
      <c r="C206" s="3180"/>
      <c r="D206" s="3181"/>
      <c r="E206" s="3182"/>
      <c r="F206" s="3183"/>
      <c r="G206" s="3184"/>
      <c r="H206" s="3184"/>
      <c r="I206" s="3184"/>
      <c r="J206" s="3185"/>
      <c r="K206" s="3188" t="s">
        <v>2254</v>
      </c>
      <c r="L206" s="3189"/>
      <c r="M206" s="2320"/>
      <c r="N206" s="2316"/>
      <c r="O206" s="2316"/>
      <c r="P206" s="2316"/>
      <c r="Q206" s="2318"/>
      <c r="R206" s="2319"/>
      <c r="S206" s="3186"/>
      <c r="T206" s="3187"/>
      <c r="U206" s="2319"/>
      <c r="V206" s="3046"/>
      <c r="W206" s="3046"/>
      <c r="X206" s="2299"/>
      <c r="Y206" s="2299"/>
      <c r="Z206" s="2299"/>
      <c r="AA206" s="2299"/>
    </row>
    <row r="207" spans="1:27" s="2127" customFormat="1" ht="24.95" customHeight="1">
      <c r="A207" s="2299"/>
      <c r="B207" s="2300"/>
      <c r="C207" s="3180"/>
      <c r="D207" s="3181"/>
      <c r="E207" s="3182"/>
      <c r="F207" s="3183"/>
      <c r="G207" s="3184"/>
      <c r="H207" s="3184"/>
      <c r="I207" s="3184"/>
      <c r="J207" s="3185"/>
      <c r="K207" s="2316"/>
      <c r="L207" s="2316"/>
      <c r="M207" s="2316"/>
      <c r="N207" s="2316"/>
      <c r="O207" s="2316"/>
      <c r="P207" s="2316"/>
      <c r="Q207" s="2318"/>
      <c r="R207" s="2319"/>
      <c r="S207" s="3186"/>
      <c r="T207" s="3187"/>
      <c r="U207" s="2319"/>
      <c r="V207" s="3046"/>
      <c r="W207" s="3046"/>
      <c r="X207" s="2299"/>
      <c r="Y207" s="2299"/>
      <c r="Z207" s="2299"/>
      <c r="AA207" s="2299"/>
    </row>
    <row r="208" spans="1:27" s="2127" customFormat="1" ht="24.95" customHeight="1">
      <c r="A208" s="2299"/>
      <c r="B208" s="2300"/>
      <c r="C208" s="3180"/>
      <c r="D208" s="3181"/>
      <c r="E208" s="3182"/>
      <c r="F208" s="3183"/>
      <c r="G208" s="3184"/>
      <c r="H208" s="3184"/>
      <c r="I208" s="3184"/>
      <c r="J208" s="3185"/>
      <c r="K208" s="2321" t="s">
        <v>365</v>
      </c>
      <c r="L208" s="2322" t="s">
        <v>2255</v>
      </c>
      <c r="M208" s="2320"/>
      <c r="N208" s="2320"/>
      <c r="O208" s="2320"/>
      <c r="P208" s="2320"/>
      <c r="Q208" s="2323"/>
      <c r="R208" s="2319"/>
      <c r="S208" s="3186"/>
      <c r="T208" s="3187"/>
      <c r="U208" s="2319"/>
      <c r="V208" s="3046"/>
      <c r="W208" s="3046"/>
      <c r="X208" s="2299"/>
      <c r="Y208" s="2299"/>
      <c r="Z208" s="2299"/>
      <c r="AA208" s="2299"/>
    </row>
    <row r="209" spans="1:27" s="2127" customFormat="1" ht="24.95" customHeight="1">
      <c r="A209" s="2299"/>
      <c r="B209" s="2300"/>
      <c r="C209" s="3180"/>
      <c r="D209" s="3181"/>
      <c r="E209" s="3182"/>
      <c r="F209" s="3183"/>
      <c r="G209" s="3184"/>
      <c r="H209" s="3184"/>
      <c r="I209" s="3184"/>
      <c r="J209" s="3185"/>
      <c r="K209" s="2317"/>
      <c r="L209" s="2316"/>
      <c r="M209" s="2319"/>
      <c r="N209" s="2319"/>
      <c r="O209" s="2319"/>
      <c r="P209" s="2319"/>
      <c r="Q209" s="2319"/>
      <c r="R209" s="2319"/>
      <c r="S209" s="2319"/>
      <c r="T209" s="2319"/>
      <c r="U209" s="2319"/>
      <c r="V209" s="3046"/>
      <c r="W209" s="3046"/>
      <c r="X209" s="2299"/>
      <c r="Y209" s="2299"/>
      <c r="Z209" s="2299"/>
      <c r="AA209" s="2299"/>
    </row>
    <row r="210" spans="1:27" s="2127" customFormat="1" ht="24.95" customHeight="1">
      <c r="A210" s="2299"/>
      <c r="B210" s="2300"/>
      <c r="C210" s="3180"/>
      <c r="D210" s="3181"/>
      <c r="E210" s="3182"/>
      <c r="F210" s="3183"/>
      <c r="G210" s="3184"/>
      <c r="H210" s="3184"/>
      <c r="I210" s="3184"/>
      <c r="J210" s="3185"/>
      <c r="K210" s="2317"/>
      <c r="L210" s="2316"/>
      <c r="M210" s="2319"/>
      <c r="N210" s="2319"/>
      <c r="O210" s="2319"/>
      <c r="P210" s="2319"/>
      <c r="Q210" s="2319"/>
      <c r="R210" s="2319"/>
      <c r="S210" s="2319"/>
      <c r="T210" s="2319"/>
      <c r="U210" s="2319"/>
      <c r="V210" s="3046"/>
      <c r="W210" s="3046"/>
      <c r="X210" s="2299"/>
      <c r="Y210" s="2299"/>
      <c r="Z210" s="2299"/>
      <c r="AA210" s="2299"/>
    </row>
    <row r="211" spans="1:27" s="2127" customFormat="1" ht="24.95" customHeight="1">
      <c r="A211" s="2299"/>
      <c r="B211" s="2300"/>
      <c r="C211" s="3180"/>
      <c r="D211" s="3181"/>
      <c r="E211" s="3182"/>
      <c r="F211" s="3183"/>
      <c r="G211" s="3184"/>
      <c r="H211" s="3184"/>
      <c r="I211" s="3184"/>
      <c r="J211" s="3185"/>
      <c r="K211" s="2317"/>
      <c r="L211" s="2316"/>
      <c r="M211" s="2319"/>
      <c r="N211" s="2319"/>
      <c r="O211" s="2319"/>
      <c r="P211" s="2319"/>
      <c r="Q211" s="2319"/>
      <c r="R211" s="2319"/>
      <c r="S211" s="2319"/>
      <c r="T211" s="2319"/>
      <c r="U211" s="2319"/>
      <c r="V211" s="3046"/>
      <c r="W211" s="3046"/>
      <c r="X211" s="2299"/>
      <c r="Y211" s="2299"/>
      <c r="Z211" s="2299"/>
      <c r="AA211" s="2299"/>
    </row>
    <row r="212" spans="1:27" s="2127" customFormat="1" ht="24.95" customHeight="1">
      <c r="A212" s="2299"/>
      <c r="B212" s="2300"/>
      <c r="C212" s="3180"/>
      <c r="D212" s="3181"/>
      <c r="E212" s="3182"/>
      <c r="F212" s="3183"/>
      <c r="G212" s="3184"/>
      <c r="H212" s="3184"/>
      <c r="I212" s="3184"/>
      <c r="J212" s="3185"/>
      <c r="K212" s="2317"/>
      <c r="L212" s="2316"/>
      <c r="M212" s="2319"/>
      <c r="N212" s="2319"/>
      <c r="O212" s="2319"/>
      <c r="P212" s="2319"/>
      <c r="Q212" s="2319"/>
      <c r="R212" s="2319"/>
      <c r="S212" s="2319"/>
      <c r="T212" s="2319"/>
      <c r="U212" s="2319"/>
      <c r="V212" s="3046"/>
      <c r="W212" s="3046"/>
      <c r="X212" s="2299"/>
      <c r="Y212" s="2299"/>
      <c r="Z212" s="2299"/>
      <c r="AA212" s="2299"/>
    </row>
    <row r="213" spans="1:27" s="2127" customFormat="1" ht="24.95" customHeight="1">
      <c r="A213" s="2299"/>
      <c r="B213" s="2300"/>
      <c r="C213" s="3180"/>
      <c r="D213" s="3181"/>
      <c r="E213" s="3182"/>
      <c r="F213" s="3183"/>
      <c r="G213" s="3184"/>
      <c r="H213" s="3184"/>
      <c r="I213" s="3184"/>
      <c r="J213" s="3185"/>
      <c r="K213" s="2317"/>
      <c r="L213" s="2316"/>
      <c r="M213" s="2319"/>
      <c r="N213" s="2319"/>
      <c r="O213" s="2319"/>
      <c r="P213" s="2319"/>
      <c r="Q213" s="2319"/>
      <c r="R213" s="2319"/>
      <c r="S213" s="2319"/>
      <c r="T213" s="2319"/>
      <c r="U213" s="2319"/>
      <c r="V213" s="3046"/>
      <c r="W213" s="3046"/>
      <c r="X213" s="2299"/>
      <c r="Y213" s="2299"/>
      <c r="Z213" s="2299"/>
      <c r="AA213" s="2299"/>
    </row>
    <row r="214" spans="1:27" s="2127" customFormat="1" ht="24.95" customHeight="1">
      <c r="A214" s="2299"/>
      <c r="B214" s="2300"/>
      <c r="C214" s="3180"/>
      <c r="D214" s="3181"/>
      <c r="E214" s="3182"/>
      <c r="F214" s="3183"/>
      <c r="G214" s="3184"/>
      <c r="H214" s="3184"/>
      <c r="I214" s="3184"/>
      <c r="J214" s="3185"/>
      <c r="K214" s="2317"/>
      <c r="L214" s="2316"/>
      <c r="M214" s="2316"/>
      <c r="N214" s="2316"/>
      <c r="O214" s="2316"/>
      <c r="P214" s="2316"/>
      <c r="Q214" s="2318"/>
      <c r="R214" s="2319"/>
      <c r="S214" s="3186"/>
      <c r="T214" s="3187"/>
      <c r="U214" s="2319"/>
      <c r="V214" s="3046"/>
      <c r="W214" s="3046"/>
      <c r="X214" s="2299"/>
      <c r="Y214" s="2299"/>
      <c r="Z214" s="2299"/>
      <c r="AA214" s="2299"/>
    </row>
    <row r="215" spans="1:27" s="2127" customFormat="1" ht="24.95" customHeight="1">
      <c r="A215" s="2299"/>
      <c r="B215" s="2300"/>
      <c r="C215" s="3180"/>
      <c r="D215" s="3181"/>
      <c r="E215" s="3182"/>
      <c r="F215" s="3183"/>
      <c r="G215" s="3184"/>
      <c r="H215" s="3184"/>
      <c r="I215" s="3184"/>
      <c r="J215" s="3185"/>
      <c r="K215" s="2317"/>
      <c r="L215" s="2316"/>
      <c r="M215" s="2316"/>
      <c r="N215" s="2316"/>
      <c r="O215" s="2316"/>
      <c r="P215" s="2316"/>
      <c r="Q215" s="2318"/>
      <c r="R215" s="2319"/>
      <c r="S215" s="3186"/>
      <c r="T215" s="3187"/>
      <c r="U215" s="2319"/>
      <c r="V215" s="3046"/>
      <c r="W215" s="3046"/>
      <c r="X215" s="2299"/>
      <c r="Y215" s="2299"/>
      <c r="Z215" s="2299"/>
      <c r="AA215" s="2299"/>
    </row>
    <row r="216" spans="1:27" s="2127" customFormat="1" ht="24.95" customHeight="1">
      <c r="A216" s="2299"/>
      <c r="B216" s="2300"/>
      <c r="C216" s="3180"/>
      <c r="D216" s="3181"/>
      <c r="E216" s="3182"/>
      <c r="F216" s="3183"/>
      <c r="G216" s="3184"/>
      <c r="H216" s="3184"/>
      <c r="I216" s="3184"/>
      <c r="J216" s="3185"/>
      <c r="K216" s="2317"/>
      <c r="L216" s="2316"/>
      <c r="M216" s="2316"/>
      <c r="N216" s="2316"/>
      <c r="O216" s="2316"/>
      <c r="P216" s="2316"/>
      <c r="Q216" s="2318"/>
      <c r="R216" s="2319"/>
      <c r="S216" s="3186"/>
      <c r="T216" s="3187"/>
      <c r="U216" s="2319"/>
      <c r="V216" s="3046"/>
      <c r="W216" s="3046"/>
      <c r="X216" s="2299"/>
      <c r="Y216" s="2299"/>
      <c r="Z216" s="2299"/>
      <c r="AA216" s="2299"/>
    </row>
    <row r="217" spans="1:27" s="2127" customFormat="1" ht="24.95" customHeight="1">
      <c r="A217" s="2299"/>
      <c r="B217" s="2300"/>
      <c r="C217" s="3180"/>
      <c r="D217" s="3181"/>
      <c r="E217" s="3182"/>
      <c r="F217" s="3183"/>
      <c r="G217" s="3184"/>
      <c r="H217" s="3184"/>
      <c r="I217" s="3184"/>
      <c r="J217" s="3185"/>
      <c r="K217" s="2317"/>
      <c r="L217" s="2316"/>
      <c r="M217" s="2316"/>
      <c r="N217" s="2316"/>
      <c r="O217" s="2316"/>
      <c r="P217" s="2316"/>
      <c r="Q217" s="2318"/>
      <c r="R217" s="2319"/>
      <c r="S217" s="3186"/>
      <c r="T217" s="3187"/>
      <c r="U217" s="2319"/>
      <c r="V217" s="3046"/>
      <c r="W217" s="3046"/>
      <c r="X217" s="2299"/>
      <c r="Y217" s="2299"/>
      <c r="Z217" s="2299"/>
      <c r="AA217" s="2299"/>
    </row>
    <row r="218" spans="1:27" s="2127" customFormat="1" ht="24.95" customHeight="1">
      <c r="A218" s="2299"/>
      <c r="B218" s="2300"/>
      <c r="C218" s="3180"/>
      <c r="D218" s="3181"/>
      <c r="E218" s="3182"/>
      <c r="F218" s="3183"/>
      <c r="G218" s="3184"/>
      <c r="H218" s="3184"/>
      <c r="I218" s="3184"/>
      <c r="J218" s="3185"/>
      <c r="K218" s="2317"/>
      <c r="L218" s="2316"/>
      <c r="M218" s="2316"/>
      <c r="N218" s="2316"/>
      <c r="O218" s="2316"/>
      <c r="P218" s="2316"/>
      <c r="Q218" s="2318"/>
      <c r="R218" s="2319"/>
      <c r="S218" s="3186"/>
      <c r="T218" s="3187"/>
      <c r="U218" s="2319"/>
      <c r="V218" s="3046"/>
      <c r="W218" s="3046"/>
      <c r="X218" s="2299"/>
      <c r="Y218" s="2299"/>
      <c r="Z218" s="2299"/>
      <c r="AA218" s="2299"/>
    </row>
    <row r="219" spans="1:27" s="2127" customFormat="1" ht="24.95" customHeight="1">
      <c r="A219" s="2299"/>
      <c r="B219" s="2300"/>
      <c r="C219" s="3180"/>
      <c r="D219" s="3181"/>
      <c r="E219" s="3182"/>
      <c r="F219" s="3183"/>
      <c r="G219" s="3184"/>
      <c r="H219" s="3184"/>
      <c r="I219" s="3184"/>
      <c r="J219" s="3185"/>
      <c r="K219" s="2317"/>
      <c r="L219" s="2316"/>
      <c r="M219" s="2316"/>
      <c r="N219" s="2316"/>
      <c r="O219" s="2316"/>
      <c r="P219" s="2316"/>
      <c r="Q219" s="2318"/>
      <c r="R219" s="2319"/>
      <c r="S219" s="3186"/>
      <c r="T219" s="3187"/>
      <c r="U219" s="2319"/>
      <c r="V219" s="3046"/>
      <c r="W219" s="3046"/>
      <c r="X219" s="2299"/>
      <c r="Y219" s="2299"/>
      <c r="Z219" s="2299"/>
      <c r="AA219" s="2299"/>
    </row>
    <row r="220" spans="1:27" s="2127" customFormat="1" ht="24.95" customHeight="1">
      <c r="A220" s="2299"/>
      <c r="B220" s="2300"/>
      <c r="C220" s="3180"/>
      <c r="D220" s="3181"/>
      <c r="E220" s="3182"/>
      <c r="F220" s="3183"/>
      <c r="G220" s="3184"/>
      <c r="H220" s="3184"/>
      <c r="I220" s="3184"/>
      <c r="J220" s="3185"/>
      <c r="K220" s="2317"/>
      <c r="L220" s="2316"/>
      <c r="M220" s="2316"/>
      <c r="N220" s="2316"/>
      <c r="O220" s="2316"/>
      <c r="P220" s="2316"/>
      <c r="Q220" s="2318"/>
      <c r="R220" s="2319"/>
      <c r="S220" s="3186"/>
      <c r="T220" s="3187"/>
      <c r="U220" s="2319"/>
      <c r="V220" s="3046"/>
      <c r="W220" s="3046"/>
      <c r="X220" s="2299"/>
      <c r="Y220" s="2299"/>
      <c r="Z220" s="2299"/>
      <c r="AA220" s="2299"/>
    </row>
    <row r="221" spans="1:27" s="2127" customFormat="1" ht="24.95" customHeight="1">
      <c r="A221" s="2299"/>
      <c r="B221" s="2300"/>
      <c r="C221" s="3180"/>
      <c r="D221" s="3181"/>
      <c r="E221" s="3182"/>
      <c r="F221" s="3183"/>
      <c r="G221" s="3184"/>
      <c r="H221" s="3184"/>
      <c r="I221" s="3184"/>
      <c r="J221" s="3185"/>
      <c r="K221" s="2317"/>
      <c r="L221" s="2316"/>
      <c r="M221" s="2316"/>
      <c r="N221" s="2316"/>
      <c r="O221" s="2316"/>
      <c r="P221" s="2316"/>
      <c r="Q221" s="2318"/>
      <c r="R221" s="2319"/>
      <c r="S221" s="3186"/>
      <c r="T221" s="3187"/>
      <c r="U221" s="2319"/>
      <c r="V221" s="3046"/>
      <c r="W221" s="3046"/>
      <c r="X221" s="2299"/>
      <c r="Y221" s="2299"/>
      <c r="Z221" s="2299"/>
      <c r="AA221" s="2299"/>
    </row>
    <row r="222" spans="1:27" s="2128" customFormat="1" ht="24.95" customHeight="1">
      <c r="A222" s="2125"/>
      <c r="B222" s="2292"/>
      <c r="C222" s="2131"/>
      <c r="D222" s="2133"/>
      <c r="E222" s="2133"/>
      <c r="F222" s="2133"/>
      <c r="G222" s="2133"/>
      <c r="H222" s="2133"/>
      <c r="I222" s="2133"/>
      <c r="J222" s="2133"/>
      <c r="K222" s="2133"/>
      <c r="L222" s="3046"/>
      <c r="M222" s="3046"/>
      <c r="N222" s="3046"/>
      <c r="O222" s="3046"/>
      <c r="P222" s="3046"/>
      <c r="Q222" s="2126"/>
      <c r="R222" s="2126"/>
      <c r="S222" s="2126"/>
      <c r="T222" s="2126"/>
      <c r="U222" s="2126"/>
      <c r="V222" s="2126"/>
      <c r="W222" s="2126"/>
      <c r="X222" s="2126"/>
      <c r="Y222" s="2126"/>
      <c r="Z222" s="2126"/>
      <c r="AA222" s="2126"/>
    </row>
    <row r="223" spans="1:27" s="2127" customFormat="1" ht="24.95" customHeight="1">
      <c r="A223" s="2125"/>
      <c r="B223" s="2306" t="s">
        <v>2247</v>
      </c>
      <c r="C223" s="2125"/>
      <c r="D223" s="2125"/>
      <c r="E223" s="2125"/>
      <c r="F223" s="2125"/>
      <c r="G223" s="2125"/>
      <c r="H223" s="2125"/>
      <c r="I223" s="2125"/>
      <c r="J223" s="2125"/>
      <c r="K223" s="2125"/>
      <c r="L223" s="2125"/>
      <c r="M223" s="2125"/>
      <c r="N223" s="2125"/>
      <c r="O223" s="2125"/>
      <c r="P223" s="2125"/>
      <c r="Q223" s="2125"/>
      <c r="R223" s="2125"/>
      <c r="S223" s="2126"/>
      <c r="T223" s="2126"/>
      <c r="U223" s="2126"/>
      <c r="V223" s="2126"/>
      <c r="W223" s="2126"/>
      <c r="X223" s="2126"/>
      <c r="Y223" s="2126"/>
      <c r="Z223" s="2126"/>
      <c r="AA223" s="2126"/>
    </row>
    <row r="224" spans="1:27" s="2127" customFormat="1" ht="24.95" customHeight="1">
      <c r="A224" s="2125"/>
      <c r="B224" s="2307" t="s">
        <v>2248</v>
      </c>
      <c r="C224" s="2125"/>
      <c r="D224" s="2125"/>
      <c r="E224" s="2125"/>
      <c r="F224" s="2125"/>
      <c r="G224" s="2125"/>
      <c r="H224" s="2125"/>
      <c r="I224" s="2125"/>
      <c r="J224" s="2125"/>
      <c r="K224" s="2125"/>
      <c r="L224" s="2125"/>
      <c r="M224" s="2125"/>
      <c r="N224" s="2125"/>
      <c r="O224" s="2125"/>
      <c r="P224" s="2125"/>
      <c r="Q224" s="2125"/>
      <c r="R224" s="2125"/>
      <c r="S224" s="2126"/>
      <c r="T224" s="2126"/>
      <c r="U224" s="2126"/>
      <c r="V224" s="2126"/>
      <c r="W224" s="2126"/>
      <c r="X224" s="2126"/>
      <c r="Y224" s="2126"/>
      <c r="Z224" s="2126"/>
      <c r="AA224" s="2126"/>
    </row>
    <row r="225" spans="1:27" s="2127" customFormat="1" ht="24.95" customHeight="1">
      <c r="A225" s="2125"/>
      <c r="B225" s="2307"/>
      <c r="C225" s="2125"/>
      <c r="D225" s="2125"/>
      <c r="E225" s="2125"/>
      <c r="F225" s="2125"/>
      <c r="G225" s="2125"/>
      <c r="H225" s="2125"/>
      <c r="I225" s="2125"/>
      <c r="J225" s="2125"/>
      <c r="K225" s="2125"/>
      <c r="L225" s="2125"/>
      <c r="M225" s="2125"/>
      <c r="N225" s="2125"/>
      <c r="O225" s="2125"/>
      <c r="P225" s="2125"/>
      <c r="Q225" s="2125"/>
      <c r="R225" s="2125"/>
      <c r="S225" s="2126"/>
      <c r="T225" s="2126"/>
      <c r="U225" s="2126"/>
      <c r="V225" s="2126"/>
      <c r="W225" s="2126"/>
      <c r="X225" s="2126"/>
      <c r="Y225" s="2126"/>
      <c r="Z225" s="2126"/>
      <c r="AA225" s="2126"/>
    </row>
    <row r="226" spans="1:27" s="2128" customFormat="1" ht="24.95" customHeight="1">
      <c r="A226" s="2125"/>
      <c r="B226" s="2308" t="s">
        <v>1983</v>
      </c>
      <c r="C226" s="2309"/>
      <c r="D226" s="2125"/>
      <c r="E226" s="2125"/>
      <c r="F226" s="2125"/>
      <c r="G226" s="2125"/>
      <c r="H226" s="2125"/>
      <c r="I226" s="3046"/>
      <c r="J226" s="2125"/>
      <c r="K226" s="2125"/>
      <c r="L226" s="3046"/>
      <c r="M226" s="3046"/>
      <c r="N226" s="3046"/>
      <c r="O226" s="3046"/>
      <c r="P226" s="3046"/>
      <c r="Q226" s="2126"/>
      <c r="R226" s="2126"/>
      <c r="S226" s="2126"/>
      <c r="T226" s="2126"/>
      <c r="U226" s="2126"/>
      <c r="V226" s="2126"/>
      <c r="W226" s="2310"/>
      <c r="X226" s="2126"/>
      <c r="Y226" s="2311"/>
      <c r="Z226" s="2126"/>
      <c r="AA226" s="2126"/>
    </row>
    <row r="227" spans="1:27" s="2128" customFormat="1" ht="24.95" customHeight="1">
      <c r="A227" s="2125"/>
      <c r="B227" s="2129"/>
      <c r="C227" s="2125"/>
      <c r="D227" s="2125"/>
      <c r="E227" s="2125"/>
      <c r="F227" s="2125"/>
      <c r="G227" s="2125"/>
      <c r="H227" s="2125"/>
      <c r="I227" s="3046"/>
      <c r="J227" s="2125"/>
      <c r="K227" s="2125"/>
      <c r="L227" s="3046"/>
      <c r="M227" s="3046"/>
      <c r="N227" s="3046"/>
      <c r="O227" s="3046"/>
      <c r="P227" s="3046"/>
      <c r="Q227" s="2126"/>
      <c r="R227" s="2126"/>
      <c r="S227" s="2126"/>
      <c r="T227" s="2126"/>
      <c r="U227" s="2126"/>
      <c r="V227" s="2126"/>
      <c r="W227" s="2126"/>
      <c r="X227" s="2126"/>
      <c r="Y227" s="2126"/>
      <c r="Z227" s="2126"/>
      <c r="AA227" s="2126"/>
    </row>
  </sheetData>
  <mergeCells count="75">
    <mergeCell ref="C182:E182"/>
    <mergeCell ref="C159:D159"/>
    <mergeCell ref="C166:D166"/>
    <mergeCell ref="C167:D167"/>
    <mergeCell ref="C170:F170"/>
    <mergeCell ref="C180:D180"/>
    <mergeCell ref="C181:D181"/>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V41:V42"/>
    <mergeCell ref="Z43:Z44"/>
    <mergeCell ref="AA43:AA44"/>
    <mergeCell ref="W41:W42"/>
    <mergeCell ref="X41:X42"/>
    <mergeCell ref="Y41:Y42"/>
    <mergeCell ref="Z41:Z42"/>
    <mergeCell ref="AA41:AA42"/>
    <mergeCell ref="Q41:Q42"/>
    <mergeCell ref="R41:R42"/>
    <mergeCell ref="S41:S42"/>
    <mergeCell ref="T41:T42"/>
    <mergeCell ref="U41:U42"/>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V37:V38"/>
    <mergeCell ref="W37:W38"/>
    <mergeCell ref="X37:X38"/>
    <mergeCell ref="T34:T36"/>
    <mergeCell ref="U35:U36"/>
    <mergeCell ref="V35:V36"/>
    <mergeCell ref="W35:W36"/>
    <mergeCell ref="X35:X36"/>
    <mergeCell ref="Q37:Q38"/>
    <mergeCell ref="R37:R38"/>
    <mergeCell ref="S37:S38"/>
    <mergeCell ref="T37:T38"/>
    <mergeCell ref="U37:U38"/>
    <mergeCell ref="B20:O23"/>
    <mergeCell ref="Q31:AA32"/>
    <mergeCell ref="Q33:T33"/>
    <mergeCell ref="X33:X34"/>
    <mergeCell ref="Y33:Y34"/>
    <mergeCell ref="Z33:Z34"/>
    <mergeCell ref="AA33:AA34"/>
    <mergeCell ref="Q34:Q36"/>
    <mergeCell ref="R34:R36"/>
    <mergeCell ref="S34:S36"/>
    <mergeCell ref="Z35:Z36"/>
    <mergeCell ref="AA35:AA36"/>
    <mergeCell ref="Y35:Y36"/>
  </mergeCells>
  <hyperlinks>
    <hyperlink ref="E28" r:id="rId1" xr:uid="{00000000-0004-0000-1C00-000000000000}"/>
    <hyperlink ref="L208" r:id="rId2" xr:uid="{00000000-0004-0000-1C00-000001000000}"/>
    <hyperlink ref="R45" r:id="rId3" xr:uid="{00000000-0004-0000-1C00-000002000000}"/>
  </hyperlinks>
  <pageMargins left="0.7" right="0.7" top="0.75" bottom="0.75" header="0.3" footer="0.3"/>
  <pageSetup paperSize="9" orientation="portrait" r:id="rId4"/>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49C4-AD45-48EB-88EC-A30B0013C9F9}">
  <dimension ref="A1:U184"/>
  <sheetViews>
    <sheetView zoomScaleNormal="100" workbookViewId="0">
      <selection activeCell="L10" sqref="L10"/>
    </sheetView>
  </sheetViews>
  <sheetFormatPr baseColWidth="10" defaultRowHeight="15.75"/>
  <cols>
    <col min="1" max="1" width="2.625" customWidth="1"/>
    <col min="2" max="2" width="3.625" customWidth="1"/>
    <col min="3" max="3" width="11.625" customWidth="1"/>
    <col min="4" max="4" width="18.625" customWidth="1"/>
    <col min="5" max="8" width="11.625" customWidth="1"/>
    <col min="9" max="9" width="15" customWidth="1"/>
    <col min="10" max="10" width="16.625" customWidth="1"/>
    <col min="11" max="12" width="14.625" customWidth="1"/>
    <col min="13" max="13" width="16" customWidth="1"/>
    <col min="14" max="16" width="14.625" customWidth="1"/>
  </cols>
  <sheetData>
    <row r="1" spans="1:21" s="443" customFormat="1" ht="30" customHeight="1">
      <c r="A1" s="639"/>
      <c r="B1" s="641"/>
      <c r="C1" s="641"/>
      <c r="D1" s="641"/>
      <c r="E1" s="641"/>
      <c r="F1" s="641"/>
      <c r="G1" s="641"/>
      <c r="H1" s="641"/>
      <c r="I1" s="641"/>
      <c r="J1" s="641"/>
      <c r="K1" s="641"/>
      <c r="L1" s="641"/>
      <c r="M1" s="641"/>
      <c r="N1" s="641"/>
      <c r="O1" s="641"/>
      <c r="P1" s="641"/>
      <c r="Q1" s="641"/>
      <c r="R1" s="641"/>
      <c r="S1" s="641"/>
      <c r="T1" s="641"/>
      <c r="U1" s="4511"/>
    </row>
    <row r="2" spans="1:21" s="443" customFormat="1" ht="30" customHeight="1">
      <c r="A2" s="639"/>
      <c r="B2" s="4519" t="s">
        <v>7752</v>
      </c>
      <c r="C2" s="4520"/>
      <c r="D2" s="639"/>
      <c r="E2" s="639"/>
      <c r="F2" s="639"/>
      <c r="G2" s="639"/>
      <c r="H2" s="639"/>
      <c r="I2" s="3017"/>
      <c r="J2" s="639"/>
      <c r="K2" s="639"/>
      <c r="L2" s="3017"/>
      <c r="M2" s="3017"/>
      <c r="N2" s="3017"/>
      <c r="O2" s="3017"/>
      <c r="P2" s="3018" t="s">
        <v>7751</v>
      </c>
      <c r="Q2" s="641"/>
      <c r="R2" s="641"/>
      <c r="S2" s="641"/>
      <c r="T2" s="641"/>
      <c r="U2" s="4512"/>
    </row>
    <row r="3" spans="1:21" s="443" customFormat="1" ht="30" customHeight="1">
      <c r="A3" s="639"/>
      <c r="B3" s="4519" t="s">
        <v>2992</v>
      </c>
      <c r="C3" s="4521"/>
      <c r="D3" s="641"/>
      <c r="E3" s="641"/>
      <c r="F3" s="641"/>
      <c r="G3" s="641"/>
      <c r="H3" s="641"/>
      <c r="I3" s="641"/>
      <c r="J3" s="641"/>
      <c r="K3" s="641"/>
      <c r="L3" s="641"/>
      <c r="M3" s="641"/>
      <c r="N3" s="641"/>
      <c r="O3" s="641"/>
      <c r="P3" s="3018"/>
      <c r="Q3" s="641"/>
      <c r="R3" s="641"/>
      <c r="S3" s="641"/>
      <c r="T3" s="641"/>
      <c r="U3" s="4512"/>
    </row>
    <row r="4" spans="1:21">
      <c r="A4" s="4322">
        <v>1</v>
      </c>
      <c r="B4" s="4322">
        <v>1</v>
      </c>
      <c r="C4" s="4322">
        <v>1</v>
      </c>
      <c r="D4" s="4322">
        <v>1</v>
      </c>
      <c r="E4" s="4322">
        <v>1</v>
      </c>
      <c r="F4" s="4322">
        <v>1</v>
      </c>
      <c r="G4" s="4322">
        <v>1</v>
      </c>
      <c r="H4" s="4322">
        <v>1</v>
      </c>
      <c r="I4" s="4322">
        <v>1</v>
      </c>
      <c r="J4" s="4322">
        <v>1</v>
      </c>
      <c r="K4" s="4322">
        <v>1</v>
      </c>
      <c r="L4" s="4322">
        <v>1</v>
      </c>
      <c r="M4" s="4322">
        <v>1</v>
      </c>
      <c r="N4" s="4322">
        <v>1</v>
      </c>
      <c r="O4" s="4322">
        <v>1</v>
      </c>
      <c r="P4" s="4322">
        <v>1</v>
      </c>
      <c r="Q4" s="4322">
        <v>1</v>
      </c>
      <c r="R4" s="4322">
        <v>1</v>
      </c>
      <c r="S4" s="4322">
        <v>1</v>
      </c>
      <c r="T4" s="4322">
        <v>1</v>
      </c>
      <c r="U4" s="4513">
        <v>1</v>
      </c>
    </row>
    <row r="5" spans="1:21">
      <c r="B5" s="4323" t="s">
        <v>70</v>
      </c>
      <c r="C5" s="4324" t="s">
        <v>7659</v>
      </c>
      <c r="F5" s="4324"/>
      <c r="G5" s="4324"/>
      <c r="H5" s="4324"/>
      <c r="I5" s="4322"/>
      <c r="J5" s="4322"/>
      <c r="K5" s="4322"/>
      <c r="L5" s="4322">
        <v>1</v>
      </c>
      <c r="M5" s="4322">
        <v>1</v>
      </c>
      <c r="N5" s="4322">
        <v>1</v>
      </c>
      <c r="O5" s="4322">
        <v>1</v>
      </c>
      <c r="P5" s="4322">
        <v>1</v>
      </c>
      <c r="Q5" s="4322">
        <v>1</v>
      </c>
      <c r="R5" s="4322">
        <v>1</v>
      </c>
      <c r="S5" s="4322">
        <v>1</v>
      </c>
      <c r="T5" s="4322">
        <v>1</v>
      </c>
      <c r="U5" s="4513">
        <v>1</v>
      </c>
    </row>
    <row r="6" spans="1:21" ht="16.5" thickBot="1">
      <c r="B6" s="4322">
        <v>1</v>
      </c>
      <c r="C6" s="4322">
        <v>1</v>
      </c>
      <c r="D6" s="4322">
        <v>1</v>
      </c>
      <c r="E6" s="4322">
        <v>1</v>
      </c>
      <c r="F6" s="4322">
        <v>1</v>
      </c>
      <c r="G6" s="4322">
        <v>1</v>
      </c>
      <c r="H6" s="4322">
        <v>1</v>
      </c>
      <c r="I6" s="4322">
        <v>1</v>
      </c>
      <c r="J6" s="4322">
        <v>1</v>
      </c>
      <c r="K6" s="4322">
        <v>1</v>
      </c>
      <c r="L6" s="4322">
        <v>1</v>
      </c>
      <c r="M6" s="4322">
        <v>1</v>
      </c>
      <c r="N6" s="4322">
        <v>1</v>
      </c>
      <c r="O6" s="4322">
        <v>1</v>
      </c>
      <c r="P6" s="4322">
        <v>1</v>
      </c>
      <c r="Q6" s="4322">
        <v>1</v>
      </c>
      <c r="R6" s="4322">
        <v>1</v>
      </c>
      <c r="S6" s="4322">
        <v>1</v>
      </c>
      <c r="T6" s="4322">
        <v>1</v>
      </c>
      <c r="U6" s="4513">
        <v>1</v>
      </c>
    </row>
    <row r="7" spans="1:21" ht="18.75">
      <c r="B7" s="6478" t="s">
        <v>70</v>
      </c>
      <c r="C7" s="6509" t="s">
        <v>7661</v>
      </c>
      <c r="D7" s="6509"/>
      <c r="E7" s="6509"/>
      <c r="F7" s="6509"/>
      <c r="G7" s="6509"/>
      <c r="H7" s="6510"/>
      <c r="I7" s="4322">
        <v>1</v>
      </c>
      <c r="J7" s="4322">
        <v>1</v>
      </c>
      <c r="K7" s="4322">
        <v>1</v>
      </c>
      <c r="L7" s="4322">
        <v>1</v>
      </c>
      <c r="M7" s="4322">
        <v>1</v>
      </c>
      <c r="N7" s="4322">
        <v>1</v>
      </c>
      <c r="O7" s="4322">
        <v>1</v>
      </c>
      <c r="P7" s="4322">
        <v>1</v>
      </c>
      <c r="Q7" s="4322">
        <v>1</v>
      </c>
      <c r="R7" s="4322">
        <v>1</v>
      </c>
      <c r="S7" s="4322">
        <v>1</v>
      </c>
      <c r="T7" s="4322">
        <v>1</v>
      </c>
      <c r="U7" s="4513">
        <v>1</v>
      </c>
    </row>
    <row r="8" spans="1:21">
      <c r="B8" s="6479"/>
      <c r="D8" s="634"/>
      <c r="E8" s="634"/>
      <c r="F8" s="634"/>
      <c r="G8" s="634"/>
      <c r="H8" s="517"/>
      <c r="I8" s="4322">
        <v>1</v>
      </c>
      <c r="J8" s="4322">
        <v>1</v>
      </c>
      <c r="K8" s="4322">
        <v>1</v>
      </c>
      <c r="L8" s="4322">
        <v>1</v>
      </c>
      <c r="M8" s="4322">
        <v>1</v>
      </c>
      <c r="N8" s="4501" t="s">
        <v>7724</v>
      </c>
      <c r="O8" s="4322"/>
      <c r="P8" s="4322"/>
      <c r="Q8" s="4322"/>
      <c r="R8" s="4322"/>
      <c r="S8" s="4322"/>
      <c r="T8" s="4322">
        <v>1</v>
      </c>
      <c r="U8" s="4513">
        <v>1</v>
      </c>
    </row>
    <row r="9" spans="1:21">
      <c r="B9" s="6513" t="str">
        <f>C7</f>
        <v>Liens hypertexte exemple de formules</v>
      </c>
      <c r="C9" s="4328" t="str">
        <f>ADDRESS(ROW(),COLUMN(),4)</f>
        <v>C9</v>
      </c>
      <c r="D9" s="4329" t="str">
        <f>_xlfn.UNICHAR(128269)</f>
        <v>🔍</v>
      </c>
      <c r="E9" s="634" t="str">
        <f ca="1">_xlfn.FORMULATEXT(D9)</f>
        <v>=UNICAR(128269)</v>
      </c>
      <c r="F9" s="634"/>
      <c r="G9" s="634"/>
      <c r="H9" s="517"/>
      <c r="I9" s="4322">
        <v>1</v>
      </c>
      <c r="J9" s="4322">
        <v>1</v>
      </c>
      <c r="K9" s="4322">
        <v>1</v>
      </c>
      <c r="L9" s="4322">
        <v>1</v>
      </c>
      <c r="M9" s="4322">
        <v>1</v>
      </c>
      <c r="N9" s="4501" t="s">
        <v>7725</v>
      </c>
      <c r="O9" s="4322"/>
      <c r="P9" s="4322"/>
      <c r="Q9" s="4322"/>
      <c r="R9" s="4322"/>
      <c r="S9" s="4322"/>
      <c r="T9" s="4322">
        <v>1</v>
      </c>
      <c r="U9" s="4513">
        <v>1</v>
      </c>
    </row>
    <row r="10" spans="1:21">
      <c r="B10" s="6513"/>
      <c r="C10" s="634" t="s">
        <v>7741</v>
      </c>
      <c r="D10" s="4329"/>
      <c r="E10" s="634"/>
      <c r="F10" s="634"/>
      <c r="G10" s="634"/>
      <c r="H10" s="517"/>
      <c r="I10" s="4322">
        <v>1</v>
      </c>
      <c r="J10" s="4322">
        <v>1</v>
      </c>
      <c r="K10" s="4322">
        <v>1</v>
      </c>
      <c r="L10" s="4322">
        <v>1</v>
      </c>
      <c r="M10" s="4322">
        <v>1</v>
      </c>
      <c r="N10" s="4501" t="s">
        <v>7726</v>
      </c>
      <c r="O10" s="4322"/>
      <c r="P10" s="4322"/>
      <c r="Q10" s="4322"/>
      <c r="R10" s="4322"/>
      <c r="S10" s="4322"/>
      <c r="T10" s="4322">
        <v>1</v>
      </c>
      <c r="U10" s="4513">
        <v>1</v>
      </c>
    </row>
    <row r="11" spans="1:21">
      <c r="B11" s="6513"/>
      <c r="C11" s="634" t="s">
        <v>7742</v>
      </c>
      <c r="D11" s="4329"/>
      <c r="E11" s="634"/>
      <c r="F11" s="634"/>
      <c r="G11" s="634"/>
      <c r="H11" s="517"/>
      <c r="I11" s="4322">
        <v>1</v>
      </c>
      <c r="J11" s="4322">
        <v>1</v>
      </c>
      <c r="K11" s="4322">
        <v>1</v>
      </c>
      <c r="L11" s="4322">
        <v>1</v>
      </c>
      <c r="M11" s="4322">
        <v>1</v>
      </c>
      <c r="N11" s="4502" t="s">
        <v>7727</v>
      </c>
      <c r="O11" s="4322"/>
      <c r="P11" s="4322"/>
      <c r="Q11" s="4322"/>
      <c r="R11" s="4322"/>
      <c r="S11" s="4322"/>
      <c r="T11" s="4322">
        <v>1</v>
      </c>
      <c r="U11" s="4513">
        <v>1</v>
      </c>
    </row>
    <row r="12" spans="1:21">
      <c r="B12" s="6513"/>
      <c r="C12" s="4510" t="s">
        <v>7748</v>
      </c>
      <c r="D12" s="4329"/>
      <c r="E12" s="634"/>
      <c r="F12" s="634"/>
      <c r="G12" s="634"/>
      <c r="H12" s="517"/>
      <c r="I12" s="4322">
        <v>1</v>
      </c>
      <c r="J12" s="4322">
        <v>1</v>
      </c>
      <c r="K12" s="4322">
        <v>1</v>
      </c>
      <c r="L12" s="4322">
        <v>1</v>
      </c>
      <c r="M12" s="4322">
        <v>1</v>
      </c>
      <c r="N12" s="4501" t="s">
        <v>7728</v>
      </c>
      <c r="O12" s="4322"/>
      <c r="P12" s="4322"/>
      <c r="Q12" s="4322"/>
      <c r="R12" s="4322"/>
      <c r="S12" s="4322"/>
      <c r="T12" s="4322">
        <v>1</v>
      </c>
      <c r="U12" s="4513">
        <v>1</v>
      </c>
    </row>
    <row r="13" spans="1:21">
      <c r="B13" s="6513"/>
      <c r="C13" s="4510"/>
      <c r="D13" s="4329"/>
      <c r="E13" s="634"/>
      <c r="F13" s="634"/>
      <c r="G13" s="634"/>
      <c r="H13" s="517"/>
      <c r="I13" s="4322">
        <v>1</v>
      </c>
      <c r="J13" s="4322">
        <v>1</v>
      </c>
      <c r="K13" s="4322">
        <v>1</v>
      </c>
      <c r="L13" s="4322">
        <v>1</v>
      </c>
      <c r="M13" s="4322">
        <v>1</v>
      </c>
      <c r="N13" s="4501" t="s">
        <v>7729</v>
      </c>
      <c r="O13" s="4322"/>
      <c r="P13" s="4322"/>
      <c r="Q13" s="4322"/>
      <c r="R13" s="4322"/>
      <c r="S13" s="4322"/>
      <c r="T13" s="4322">
        <v>1</v>
      </c>
      <c r="U13" s="4513">
        <v>1</v>
      </c>
    </row>
    <row r="14" spans="1:21">
      <c r="B14" s="6513"/>
      <c r="C14" s="6503" t="s">
        <v>7750</v>
      </c>
      <c r="D14" s="6503"/>
      <c r="E14" s="6503"/>
      <c r="F14" s="6503"/>
      <c r="G14" s="6503"/>
      <c r="H14" s="6504"/>
      <c r="I14" s="4322">
        <v>1</v>
      </c>
      <c r="J14" s="4322">
        <v>1</v>
      </c>
      <c r="K14" s="4322">
        <v>1</v>
      </c>
      <c r="L14" s="4322">
        <v>1</v>
      </c>
      <c r="M14" s="4322">
        <v>1</v>
      </c>
      <c r="N14" s="4322">
        <v>1</v>
      </c>
      <c r="O14" s="4322">
        <v>1</v>
      </c>
      <c r="P14" s="4322">
        <v>1</v>
      </c>
      <c r="Q14" s="4322">
        <v>1</v>
      </c>
      <c r="R14" s="4322">
        <v>1</v>
      </c>
      <c r="S14" s="4322">
        <v>1</v>
      </c>
      <c r="T14" s="4322">
        <v>1</v>
      </c>
      <c r="U14" s="4513">
        <v>1</v>
      </c>
    </row>
    <row r="15" spans="1:21">
      <c r="B15" s="6513"/>
      <c r="C15" s="6503"/>
      <c r="D15" s="6503"/>
      <c r="E15" s="6503"/>
      <c r="F15" s="6503"/>
      <c r="G15" s="6503"/>
      <c r="H15" s="6504"/>
      <c r="I15" s="4322">
        <v>1</v>
      </c>
      <c r="J15" s="4322">
        <v>1</v>
      </c>
      <c r="K15" s="4322">
        <v>1</v>
      </c>
      <c r="L15" s="4322">
        <v>1</v>
      </c>
      <c r="M15" s="4322">
        <v>1</v>
      </c>
      <c r="N15" s="1896" t="s">
        <v>7760</v>
      </c>
      <c r="O15" s="1422"/>
      <c r="P15" s="4526" t="s">
        <v>7763</v>
      </c>
      <c r="Q15" s="1422"/>
      <c r="R15" s="4322"/>
      <c r="S15" s="4322"/>
      <c r="T15" s="4322"/>
      <c r="U15" s="4513">
        <v>1</v>
      </c>
    </row>
    <row r="16" spans="1:21">
      <c r="B16" s="6513"/>
      <c r="C16" s="4507" t="s">
        <v>7744</v>
      </c>
      <c r="D16" s="634"/>
      <c r="E16" s="634" t="s">
        <v>7743</v>
      </c>
      <c r="F16" s="634"/>
      <c r="G16" s="634"/>
      <c r="H16" s="517"/>
      <c r="I16" s="4322">
        <v>1</v>
      </c>
      <c r="J16" s="4322">
        <v>1</v>
      </c>
      <c r="K16" s="4322">
        <v>1</v>
      </c>
      <c r="L16" s="4322">
        <v>1</v>
      </c>
      <c r="M16" s="4322">
        <v>1</v>
      </c>
      <c r="N16" s="688" t="s">
        <v>2609</v>
      </c>
      <c r="O16" s="688" t="s">
        <v>2610</v>
      </c>
      <c r="P16" s="688" t="s">
        <v>7753</v>
      </c>
      <c r="Q16" s="1422" t="s">
        <v>7720</v>
      </c>
      <c r="R16" s="4322"/>
      <c r="S16" s="4322"/>
      <c r="T16" s="4322"/>
      <c r="U16" s="4513">
        <v>1</v>
      </c>
    </row>
    <row r="17" spans="2:21">
      <c r="B17" s="6513"/>
      <c r="C17" s="4504" t="str">
        <f>HYPERLINK("#"&amp;ADDRESS(ROW(C9),COLUMN(C9),4))</f>
        <v>#C9</v>
      </c>
      <c r="D17" s="4505" t="str">
        <f ca="1">_xlfn.FORMULATEXT(C17)</f>
        <v>=LIEN_HYPERTEXTE("#"&amp;ADRESSE(LIGNE(C9);COLONNE(C9);4))</v>
      </c>
      <c r="E17" s="4505"/>
      <c r="F17" s="4505"/>
      <c r="G17" s="4505"/>
      <c r="H17" s="4506"/>
      <c r="I17" s="4322">
        <v>1</v>
      </c>
      <c r="J17" s="4322">
        <v>1</v>
      </c>
      <c r="K17" s="4322">
        <v>1</v>
      </c>
      <c r="L17" s="4322">
        <v>1</v>
      </c>
      <c r="M17" s="4322">
        <v>1</v>
      </c>
      <c r="N17" s="1422" t="s">
        <v>2630</v>
      </c>
      <c r="O17" s="1422" t="s">
        <v>7754</v>
      </c>
      <c r="P17" s="4523" t="str">
        <f>N17 &amp; " " &amp; O17</f>
        <v>Robert Spière</v>
      </c>
      <c r="Q17" s="4341" t="str">
        <f ca="1">_xlfn.FORMULATEXT(P17)</f>
        <v>=N17 &amp; " " &amp; O17</v>
      </c>
      <c r="R17" s="4322"/>
      <c r="S17" s="4322"/>
      <c r="T17" s="4322">
        <v>1</v>
      </c>
      <c r="U17" s="4513">
        <v>1</v>
      </c>
    </row>
    <row r="18" spans="2:21">
      <c r="B18" s="6513"/>
      <c r="C18" s="1206"/>
      <c r="D18" s="4505"/>
      <c r="E18" s="4505"/>
      <c r="F18" s="4505"/>
      <c r="G18" s="4505"/>
      <c r="H18" s="4506"/>
      <c r="I18" s="4322">
        <v>1</v>
      </c>
      <c r="J18" s="4322">
        <v>1</v>
      </c>
      <c r="K18" s="4322">
        <v>1</v>
      </c>
      <c r="L18" s="4322">
        <v>1</v>
      </c>
      <c r="M18" s="4322">
        <v>1</v>
      </c>
      <c r="N18" s="1422" t="s">
        <v>7755</v>
      </c>
      <c r="O18" s="1422" t="s">
        <v>7756</v>
      </c>
      <c r="P18" s="4523" t="str">
        <f>_xlfn.CONCAT(N18," ",O18)</f>
        <v>Guillaume Tell</v>
      </c>
      <c r="Q18" s="4341" t="str">
        <f ca="1">_xlfn.FORMULATEXT(P18)</f>
        <v>=CONCAT(N18;" ";O18)</v>
      </c>
      <c r="R18" s="4322"/>
      <c r="S18" s="4322"/>
      <c r="T18" s="4322">
        <v>1</v>
      </c>
      <c r="U18" s="4513">
        <v>1</v>
      </c>
    </row>
    <row r="19" spans="2:21">
      <c r="B19" s="6513"/>
      <c r="C19" s="1206"/>
      <c r="D19" s="634"/>
      <c r="E19" s="634"/>
      <c r="F19" s="634"/>
      <c r="G19" s="634"/>
      <c r="H19" s="517"/>
      <c r="I19" s="4322">
        <v>1</v>
      </c>
      <c r="J19" s="4322">
        <v>1</v>
      </c>
      <c r="K19" s="4322">
        <v>1</v>
      </c>
      <c r="L19" s="4322">
        <v>1</v>
      </c>
      <c r="M19" s="4322">
        <v>1</v>
      </c>
      <c r="N19" s="4322">
        <v>1</v>
      </c>
      <c r="O19" s="4322">
        <v>1</v>
      </c>
      <c r="P19" s="4322">
        <v>1</v>
      </c>
      <c r="Q19" s="4322">
        <v>1</v>
      </c>
      <c r="R19" s="4322"/>
      <c r="S19" s="4322"/>
      <c r="T19" s="4322">
        <v>1</v>
      </c>
      <c r="U19" s="4513">
        <v>1</v>
      </c>
    </row>
    <row r="20" spans="2:21">
      <c r="B20" s="6513"/>
      <c r="C20" s="4332" t="str">
        <f>HYPERLINK("#"&amp;ADDRESS(ROW(C9),COLUMN(C9),4)," 🔗 Lien")</f>
        <v xml:space="preserve"> 🔗 Lien</v>
      </c>
      <c r="D20" s="6499" t="str">
        <f ca="1">_xlfn.FORMULATEXT(C20)</f>
        <v>=LIEN_HYPERTEXTE("#"&amp;ADRESSE(LIGNE(C9);COLONNE(C9);4);" 🔗 Lien")</v>
      </c>
      <c r="E20" s="6499"/>
      <c r="F20" s="6499"/>
      <c r="G20" s="6499"/>
      <c r="H20" s="6500"/>
      <c r="I20" s="4322">
        <v>1</v>
      </c>
      <c r="J20" s="4322">
        <v>1</v>
      </c>
      <c r="K20" s="4322">
        <v>1</v>
      </c>
      <c r="L20" s="4322">
        <v>1</v>
      </c>
      <c r="M20" s="4322">
        <v>1</v>
      </c>
      <c r="N20" s="688" t="s">
        <v>7758</v>
      </c>
      <c r="O20" s="1896" t="s">
        <v>7759</v>
      </c>
      <c r="P20" s="1563"/>
      <c r="Q20" s="1422" t="s">
        <v>7720</v>
      </c>
      <c r="R20" s="4322"/>
      <c r="S20" s="4322"/>
      <c r="T20" s="4322"/>
      <c r="U20" s="4513">
        <v>1</v>
      </c>
    </row>
    <row r="21" spans="2:21">
      <c r="B21" s="6513"/>
      <c r="C21" s="1206"/>
      <c r="D21" s="6499"/>
      <c r="E21" s="6499"/>
      <c r="F21" s="6499"/>
      <c r="G21" s="6499"/>
      <c r="H21" s="6500"/>
      <c r="I21" s="4322">
        <v>1</v>
      </c>
      <c r="J21" s="4322">
        <v>1</v>
      </c>
      <c r="K21" s="4322">
        <v>1</v>
      </c>
      <c r="L21" s="4322">
        <v>1</v>
      </c>
      <c r="M21" s="4322">
        <v>1</v>
      </c>
      <c r="N21" s="1422" t="s">
        <v>7757</v>
      </c>
      <c r="O21" s="4522" t="str">
        <f>LEFT(N21,SEARCH(" ",N21)-1)</f>
        <v>Guillaume</v>
      </c>
      <c r="P21" s="4341" t="str">
        <f ca="1">_xlfn.FORMULATEXT(O21)</f>
        <v>=GAUCHE(N21;CHERCHE(" ";N21)-1)</v>
      </c>
      <c r="Q21" s="4322"/>
      <c r="R21" s="4322"/>
      <c r="S21" s="4322">
        <v>1</v>
      </c>
      <c r="T21" s="4322">
        <v>1</v>
      </c>
      <c r="U21" s="4513">
        <v>1</v>
      </c>
    </row>
    <row r="22" spans="2:21">
      <c r="B22" s="6513"/>
      <c r="C22" s="1206"/>
      <c r="D22" s="4320"/>
      <c r="E22" s="4320"/>
      <c r="F22" s="4320"/>
      <c r="G22" s="4320"/>
      <c r="H22" s="4337"/>
      <c r="I22" s="4322">
        <v>1</v>
      </c>
      <c r="J22" s="4322">
        <v>1</v>
      </c>
      <c r="K22" s="4322">
        <v>1</v>
      </c>
      <c r="L22" s="4322">
        <v>1</v>
      </c>
      <c r="M22" s="4322">
        <v>1</v>
      </c>
      <c r="N22" s="1422" t="s">
        <v>7757</v>
      </c>
      <c r="O22" s="4522" t="str">
        <f>RIGHT(N22,LEN(N22)-SEARCH(" ",N22))</f>
        <v>Tell</v>
      </c>
      <c r="P22" s="4341" t="str">
        <f ca="1">_xlfn.FORMULATEXT(O22)</f>
        <v>=DROITE(N22;NBCAR(N22)-CHERCHE(" ";N22))</v>
      </c>
      <c r="Q22" s="4322"/>
      <c r="R22" s="4322"/>
      <c r="S22" s="4322">
        <v>1</v>
      </c>
      <c r="T22" s="4322">
        <v>1</v>
      </c>
      <c r="U22" s="4513">
        <v>1</v>
      </c>
    </row>
    <row r="23" spans="2:21">
      <c r="B23" s="6513"/>
      <c r="C23" s="4332" t="str">
        <f>HYPERLINK("#"&amp;ADDRESS(ROW(C9),COLUMN(C9),4)," 🔗 ICI")</f>
        <v xml:space="preserve"> 🔗 ICI</v>
      </c>
      <c r="D23" s="6501" t="str">
        <f ca="1">_xlfn.FORMULATEXT(C23)</f>
        <v>=LIEN_HYPERTEXTE("#"&amp;ADRESSE(LIGNE(C9);COLONNE(C9);4);" 🔗 ICI")</v>
      </c>
      <c r="E23" s="6501"/>
      <c r="F23" s="6501"/>
      <c r="G23" s="6501"/>
      <c r="H23" s="6502"/>
      <c r="I23" s="4322">
        <v>1</v>
      </c>
      <c r="J23" s="4322">
        <v>1</v>
      </c>
      <c r="K23" s="4322">
        <v>1</v>
      </c>
      <c r="L23" s="4322">
        <v>1</v>
      </c>
      <c r="M23" s="4322">
        <v>1</v>
      </c>
      <c r="N23" s="4524" t="s">
        <v>7761</v>
      </c>
      <c r="O23" s="4525" t="str">
        <f>LEFT(N23,SEARCH(",",N23)-1)</f>
        <v>Guillaume</v>
      </c>
      <c r="P23" s="4341" t="str">
        <f ca="1">_xlfn.FORMULATEXT(O23)</f>
        <v>=GAUCHE(N23;CHERCHE(",";N23)-1)</v>
      </c>
      <c r="Q23" s="4341"/>
      <c r="R23" s="1422"/>
      <c r="S23" s="1422"/>
      <c r="T23" s="1422"/>
      <c r="U23" s="4513"/>
    </row>
    <row r="24" spans="2:21">
      <c r="B24" s="6513"/>
      <c r="C24" s="1206"/>
      <c r="D24" s="6501"/>
      <c r="E24" s="6501"/>
      <c r="F24" s="6501"/>
      <c r="G24" s="6501"/>
      <c r="H24" s="6502"/>
      <c r="I24" s="4322">
        <v>1</v>
      </c>
      <c r="J24" s="4322">
        <v>1</v>
      </c>
      <c r="K24" s="4322">
        <v>1</v>
      </c>
      <c r="L24" s="4322">
        <v>1</v>
      </c>
      <c r="M24" s="4322">
        <v>1</v>
      </c>
      <c r="N24" s="4322">
        <v>1</v>
      </c>
      <c r="O24" s="4525" t="str">
        <f>RIGHT(N23,LEN(N23)-SEARCH(",",N23))</f>
        <v>Tell</v>
      </c>
      <c r="P24" s="4341" t="str">
        <f ca="1">_xlfn.FORMULATEXT(O24)</f>
        <v>=DROITE(N23;NBCAR(N23)-CHERCHE(",";N23))</v>
      </c>
      <c r="U24" s="4513"/>
    </row>
    <row r="25" spans="2:21">
      <c r="B25" s="6513"/>
      <c r="C25" s="1206"/>
      <c r="D25" s="4341"/>
      <c r="E25" s="4341"/>
      <c r="F25" s="4341"/>
      <c r="G25" s="4341"/>
      <c r="H25" s="4342"/>
      <c r="I25" s="4322">
        <v>1</v>
      </c>
      <c r="J25" s="4322">
        <v>1</v>
      </c>
      <c r="K25" s="4322">
        <v>1</v>
      </c>
      <c r="L25" s="4322">
        <v>1</v>
      </c>
      <c r="M25" s="4322">
        <v>1</v>
      </c>
      <c r="N25" s="4322">
        <v>1</v>
      </c>
      <c r="O25" s="1422" t="s">
        <v>7762</v>
      </c>
      <c r="P25" s="4322"/>
      <c r="Q25" s="4322"/>
      <c r="R25" s="4322"/>
      <c r="S25" s="4322"/>
      <c r="T25" s="4322"/>
      <c r="U25" s="4513">
        <v>1</v>
      </c>
    </row>
    <row r="26" spans="2:21">
      <c r="B26" s="6513"/>
      <c r="C26" s="4344" t="str">
        <f>HYPERLINK("#"&amp;ADDRESS(ROW(C9),COLUMN(C9),4)," 🔗 "&amp;ADDRESS(ROW(C9),COLUMN(C9),4))</f>
        <v xml:space="preserve"> 🔗 C9</v>
      </c>
      <c r="D26" s="6501" t="str">
        <f ca="1">_xlfn.FORMULATEXT(C26)</f>
        <v>=LIEN_HYPERTEXTE("#"&amp;ADRESSE(LIGNE(C9);COLONNE(C9);4);" 🔗 "&amp;ADRESSE(LIGNE(C9);COLONNE(C9);4))</v>
      </c>
      <c r="E26" s="6501"/>
      <c r="F26" s="6501"/>
      <c r="G26" s="6501"/>
      <c r="H26" s="6502"/>
      <c r="I26" s="4322">
        <v>1</v>
      </c>
      <c r="J26" s="4322">
        <v>1</v>
      </c>
      <c r="K26" s="4322">
        <v>1</v>
      </c>
      <c r="L26" s="4322">
        <v>1</v>
      </c>
      <c r="M26" s="4322">
        <v>1</v>
      </c>
      <c r="O26" s="4322"/>
      <c r="P26" s="4528"/>
      <c r="Q26" s="4529" t="s">
        <v>7767</v>
      </c>
      <c r="R26" s="2788" t="s">
        <v>7768</v>
      </c>
      <c r="S26" s="4528"/>
      <c r="T26" s="4528"/>
      <c r="U26" s="4513">
        <v>1</v>
      </c>
    </row>
    <row r="27" spans="2:21">
      <c r="B27" s="6513"/>
      <c r="C27" s="1206"/>
      <c r="D27" s="6501"/>
      <c r="E27" s="6501"/>
      <c r="F27" s="6501"/>
      <c r="G27" s="6501"/>
      <c r="H27" s="6502"/>
      <c r="I27" s="4322">
        <v>1</v>
      </c>
      <c r="J27" s="4322">
        <v>1</v>
      </c>
      <c r="K27" s="4322">
        <v>1</v>
      </c>
      <c r="L27" s="4322">
        <v>1</v>
      </c>
      <c r="M27" s="4322">
        <v>1</v>
      </c>
      <c r="N27" s="4322">
        <v>1</v>
      </c>
      <c r="O27" s="4322">
        <v>1</v>
      </c>
      <c r="P27" s="4322">
        <v>1</v>
      </c>
      <c r="Q27" s="4322">
        <v>1</v>
      </c>
      <c r="R27" s="4322">
        <v>1</v>
      </c>
      <c r="S27" s="4322">
        <v>1</v>
      </c>
      <c r="T27" s="4322">
        <v>1</v>
      </c>
      <c r="U27" s="4513">
        <v>1</v>
      </c>
    </row>
    <row r="28" spans="2:21" ht="16.5" thickBot="1">
      <c r="B28" s="6513"/>
      <c r="C28" s="1206"/>
      <c r="D28" s="634"/>
      <c r="E28" s="634"/>
      <c r="F28" s="634"/>
      <c r="G28" s="634"/>
      <c r="H28" s="517"/>
      <c r="I28" s="4322">
        <v>1</v>
      </c>
      <c r="J28" s="4322">
        <v>1</v>
      </c>
      <c r="K28" s="4322">
        <v>1</v>
      </c>
      <c r="L28" s="4322">
        <v>1</v>
      </c>
      <c r="M28" s="4322">
        <v>1</v>
      </c>
      <c r="N28" s="4322">
        <v>1</v>
      </c>
      <c r="O28" s="4322">
        <v>1</v>
      </c>
      <c r="P28" s="4322">
        <v>1</v>
      </c>
      <c r="Q28" s="4322">
        <v>1</v>
      </c>
      <c r="R28" s="4322">
        <v>1</v>
      </c>
      <c r="S28" s="4322">
        <v>1</v>
      </c>
      <c r="T28" s="4322">
        <v>1</v>
      </c>
      <c r="U28" s="4513">
        <v>1</v>
      </c>
    </row>
    <row r="29" spans="2:21">
      <c r="B29" s="6513"/>
      <c r="C29" s="4344" t="str">
        <f>HYPERLINK("#"&amp;ADDRESS(ROW(C9),COLUMN(C9),4),"◀"&amp;ADDRESS(ROW(C9),COLUMN(C9),4))</f>
        <v>◀C9</v>
      </c>
      <c r="D29" s="6505" t="str">
        <f ca="1">_xlfn.FORMULATEXT(C29)</f>
        <v>=LIEN_HYPERTEXTE("#"&amp;ADRESSE(LIGNE(C9);COLONNE(C9);4);"◀"&amp;ADRESSE(LIGNE(C9);COLONNE(C9);4))</v>
      </c>
      <c r="E29" s="6505"/>
      <c r="F29" s="6505"/>
      <c r="G29" s="6505"/>
      <c r="H29" s="6506"/>
      <c r="I29" s="4322">
        <v>1</v>
      </c>
      <c r="J29" s="4436" t="s">
        <v>7699</v>
      </c>
      <c r="K29" s="4437"/>
      <c r="L29" s="4437"/>
      <c r="M29" s="4437"/>
      <c r="N29" s="4437"/>
      <c r="O29" s="4437"/>
      <c r="P29" s="4438"/>
      <c r="Q29" s="4322">
        <v>1</v>
      </c>
      <c r="R29" s="4322">
        <v>1</v>
      </c>
      <c r="S29" s="4322">
        <v>1</v>
      </c>
      <c r="T29" s="4322">
        <v>1</v>
      </c>
      <c r="U29" s="4513">
        <v>1</v>
      </c>
    </row>
    <row r="30" spans="2:21">
      <c r="B30" s="6513"/>
      <c r="C30" s="1206"/>
      <c r="D30" s="6505"/>
      <c r="E30" s="6505"/>
      <c r="F30" s="6505"/>
      <c r="G30" s="6505"/>
      <c r="H30" s="6506"/>
      <c r="I30" s="4322">
        <v>1</v>
      </c>
      <c r="J30" s="4439" t="s">
        <v>7701</v>
      </c>
      <c r="K30" s="4440"/>
      <c r="L30" s="4440"/>
      <c r="M30" s="4440"/>
      <c r="N30" s="4440"/>
      <c r="O30" s="4440"/>
      <c r="P30" s="4441"/>
      <c r="Q30" s="4322">
        <v>1</v>
      </c>
      <c r="R30" s="4322">
        <v>1</v>
      </c>
      <c r="S30" s="4322">
        <v>1</v>
      </c>
      <c r="T30" s="4322">
        <v>1</v>
      </c>
      <c r="U30" s="4513">
        <v>1</v>
      </c>
    </row>
    <row r="31" spans="2:21">
      <c r="B31" s="6513"/>
      <c r="C31" s="1206"/>
      <c r="D31" s="4320"/>
      <c r="E31" s="4320"/>
      <c r="F31" s="4320"/>
      <c r="G31" s="4320"/>
      <c r="H31" s="4337"/>
      <c r="I31" s="4322">
        <v>1</v>
      </c>
      <c r="J31" s="4439" t="s">
        <v>7704</v>
      </c>
      <c r="K31" s="4440"/>
      <c r="L31" s="4440"/>
      <c r="M31" s="4440"/>
      <c r="N31" s="4440"/>
      <c r="O31" s="4440"/>
      <c r="P31" s="4441"/>
      <c r="Q31" s="4322">
        <v>1</v>
      </c>
      <c r="R31" s="4322">
        <v>1</v>
      </c>
      <c r="S31" s="4322">
        <v>1</v>
      </c>
      <c r="T31" s="4322">
        <v>1</v>
      </c>
      <c r="U31" s="4513">
        <v>1</v>
      </c>
    </row>
    <row r="32" spans="2:21">
      <c r="B32" s="6513"/>
      <c r="C32" s="4344" t="str">
        <f>HYPERLINK("#"&amp;ADDRESS(ROW(C9),COLUMN(C9),4),_xlfn.UNICHAR(128269)&amp;ADDRESS(ROW(C9),COLUMN(C9),4))</f>
        <v>🔍C9</v>
      </c>
      <c r="D32" s="6507" t="str">
        <f ca="1">_xlfn.FORMULATEXT(C32)</f>
        <v>=LIEN_HYPERTEXTE("#"&amp;ADRESSE(LIGNE(C9);COLONNE(C9);4);UNICAR(128269)&amp;ADRESSE(LIGNE(C9);COLONNE(C9);4))</v>
      </c>
      <c r="E32" s="6507"/>
      <c r="F32" s="6507"/>
      <c r="G32" s="6507"/>
      <c r="H32" s="6508"/>
      <c r="I32" s="4322">
        <v>1</v>
      </c>
      <c r="J32" s="4439" t="s">
        <v>7706</v>
      </c>
      <c r="K32" s="4440"/>
      <c r="L32" s="4440"/>
      <c r="M32" s="4440"/>
      <c r="N32" s="4440"/>
      <c r="O32" s="4440"/>
      <c r="P32" s="4441"/>
      <c r="Q32" s="4322">
        <v>1</v>
      </c>
      <c r="R32" s="4322">
        <v>1</v>
      </c>
      <c r="S32" s="4322">
        <v>1</v>
      </c>
      <c r="T32" s="4322">
        <v>1</v>
      </c>
      <c r="U32" s="4513">
        <v>1</v>
      </c>
    </row>
    <row r="33" spans="2:21" ht="16.5" thickBot="1">
      <c r="B33" s="6513"/>
      <c r="C33" s="1206"/>
      <c r="D33" s="6507"/>
      <c r="E33" s="6507"/>
      <c r="F33" s="6507"/>
      <c r="G33" s="6507"/>
      <c r="H33" s="6508"/>
      <c r="I33" s="4322">
        <v>1</v>
      </c>
      <c r="J33" s="4447" t="s">
        <v>7709</v>
      </c>
      <c r="K33" s="4448"/>
      <c r="L33" s="4448"/>
      <c r="M33" s="4448"/>
      <c r="N33" s="4448"/>
      <c r="O33" s="4448"/>
      <c r="P33" s="4449"/>
      <c r="Q33" s="4322">
        <v>1</v>
      </c>
      <c r="R33" s="4322">
        <v>1</v>
      </c>
      <c r="S33" s="4322">
        <v>1</v>
      </c>
      <c r="T33" s="4322">
        <v>1</v>
      </c>
      <c r="U33" s="4513">
        <v>1</v>
      </c>
    </row>
    <row r="34" spans="2:21">
      <c r="B34" s="6513"/>
      <c r="C34" s="1206"/>
      <c r="D34" s="4345"/>
      <c r="E34" s="4345"/>
      <c r="F34" s="4345"/>
      <c r="G34" s="4345"/>
      <c r="H34" s="4346"/>
      <c r="I34" s="4322">
        <v>1</v>
      </c>
      <c r="J34" s="4451">
        <v>14</v>
      </c>
      <c r="K34" s="4451">
        <v>14</v>
      </c>
      <c r="L34" s="4451">
        <v>14</v>
      </c>
      <c r="M34" s="4451">
        <v>14</v>
      </c>
      <c r="N34" s="4451">
        <v>14</v>
      </c>
      <c r="O34" s="4451">
        <v>14</v>
      </c>
      <c r="P34" s="4451">
        <v>14</v>
      </c>
      <c r="Q34" s="4452" t="s">
        <v>7711</v>
      </c>
      <c r="R34" s="4322"/>
      <c r="S34" s="4322"/>
      <c r="T34" s="4322">
        <v>1</v>
      </c>
      <c r="U34" s="4513">
        <v>1</v>
      </c>
    </row>
    <row r="35" spans="2:21">
      <c r="B35" s="6513"/>
      <c r="C35" s="1364"/>
      <c r="D35" s="1320" t="s">
        <v>7746</v>
      </c>
      <c r="E35" s="4345" t="str">
        <f>C9</f>
        <v>C9</v>
      </c>
      <c r="F35" s="4508" t="s">
        <v>7745</v>
      </c>
      <c r="G35" s="4345"/>
      <c r="H35" s="4346"/>
      <c r="I35" s="4322">
        <v>1</v>
      </c>
      <c r="J35" s="4455">
        <f t="shared" ref="J35:O35" ca="1" si="0">CELL("largeur",J35)</f>
        <v>16</v>
      </c>
      <c r="K35" s="4455">
        <f t="shared" ca="1" si="0"/>
        <v>14</v>
      </c>
      <c r="L35" s="4455">
        <f t="shared" ca="1" si="0"/>
        <v>14</v>
      </c>
      <c r="M35" s="4455">
        <f t="shared" ca="1" si="0"/>
        <v>15</v>
      </c>
      <c r="N35" s="4455">
        <f t="shared" ca="1" si="0"/>
        <v>14</v>
      </c>
      <c r="O35" s="4455">
        <f t="shared" ca="1" si="0"/>
        <v>14</v>
      </c>
      <c r="P35" s="4455">
        <f ca="1">CELL("largeur",P35)</f>
        <v>14</v>
      </c>
      <c r="Q35" s="4452" t="s">
        <v>7713</v>
      </c>
      <c r="R35" s="4322"/>
      <c r="S35" s="4322"/>
      <c r="T35" s="4322">
        <v>1</v>
      </c>
      <c r="U35" s="4513">
        <v>1</v>
      </c>
    </row>
    <row r="36" spans="2:21">
      <c r="B36" s="6513"/>
      <c r="C36" s="5163" t="s">
        <v>7747</v>
      </c>
      <c r="D36" s="5163"/>
      <c r="E36" s="5163"/>
      <c r="F36" s="5163"/>
      <c r="G36" s="5163"/>
      <c r="H36" s="5164"/>
      <c r="I36" s="4322">
        <v>1</v>
      </c>
      <c r="K36" s="4322">
        <v>1</v>
      </c>
      <c r="L36" s="4322">
        <v>1</v>
      </c>
      <c r="M36" s="4322">
        <v>1</v>
      </c>
      <c r="N36" s="4322">
        <v>1</v>
      </c>
      <c r="O36" s="4322">
        <v>1</v>
      </c>
      <c r="P36" s="4322">
        <v>1</v>
      </c>
      <c r="Q36" s="4322">
        <v>1</v>
      </c>
      <c r="R36" s="4322">
        <v>1</v>
      </c>
      <c r="S36" s="4322">
        <v>1</v>
      </c>
      <c r="T36" s="4322">
        <v>1</v>
      </c>
      <c r="U36" s="4513">
        <v>1</v>
      </c>
    </row>
    <row r="37" spans="2:21">
      <c r="B37" s="6513"/>
      <c r="C37" s="5163"/>
      <c r="D37" s="5163"/>
      <c r="E37" s="5163"/>
      <c r="F37" s="5163"/>
      <c r="G37" s="5163"/>
      <c r="H37" s="5164"/>
      <c r="I37" s="4322">
        <v>1</v>
      </c>
      <c r="J37" s="4325" t="s">
        <v>7662</v>
      </c>
      <c r="K37" s="4322"/>
      <c r="L37" s="4322"/>
      <c r="M37" s="4322">
        <v>1</v>
      </c>
      <c r="N37" s="4322">
        <v>1</v>
      </c>
      <c r="O37" s="4322">
        <v>1</v>
      </c>
      <c r="P37" s="4322">
        <v>1</v>
      </c>
      <c r="Q37" s="4322">
        <v>1</v>
      </c>
      <c r="R37" s="4322">
        <v>1</v>
      </c>
      <c r="S37" s="4322">
        <v>1</v>
      </c>
      <c r="T37" s="4322">
        <v>1</v>
      </c>
      <c r="U37" s="4513">
        <v>1</v>
      </c>
    </row>
    <row r="38" spans="2:21">
      <c r="B38" s="6513"/>
      <c r="C38" s="1206"/>
      <c r="D38" s="4358"/>
      <c r="E38" s="4358"/>
      <c r="F38" s="4358"/>
      <c r="G38" s="4358"/>
      <c r="H38" s="4359"/>
      <c r="I38" s="4322">
        <v>1</v>
      </c>
      <c r="J38" s="4327" t="s">
        <v>7663</v>
      </c>
      <c r="K38" s="4322">
        <v>1</v>
      </c>
      <c r="L38" s="4322">
        <v>1</v>
      </c>
      <c r="M38" s="4322">
        <v>1</v>
      </c>
      <c r="O38" s="4530"/>
      <c r="P38" s="4531" t="s">
        <v>7769</v>
      </c>
      <c r="Q38" s="2788" t="s">
        <v>7770</v>
      </c>
      <c r="R38" s="4530"/>
      <c r="S38" s="4530"/>
      <c r="T38" s="4530"/>
      <c r="U38" s="4513">
        <v>1</v>
      </c>
    </row>
    <row r="39" spans="2:21">
      <c r="B39" s="6513"/>
      <c r="C39" s="4509" t="s">
        <v>7749</v>
      </c>
      <c r="D39" s="4358"/>
      <c r="E39" s="4358"/>
      <c r="F39" s="4358"/>
      <c r="G39" s="4358"/>
      <c r="H39" s="4359"/>
      <c r="I39" s="4322">
        <v>1</v>
      </c>
      <c r="J39" s="4331" t="s">
        <v>7665</v>
      </c>
      <c r="K39" s="4322">
        <v>1</v>
      </c>
      <c r="L39" s="4322">
        <v>1</v>
      </c>
      <c r="M39" s="4322">
        <v>1</v>
      </c>
      <c r="N39" s="4322">
        <v>1</v>
      </c>
      <c r="O39" s="4322">
        <v>1</v>
      </c>
      <c r="P39" s="4322">
        <v>1</v>
      </c>
      <c r="Q39" s="4322">
        <v>1</v>
      </c>
      <c r="R39" s="4322">
        <v>1</v>
      </c>
      <c r="S39" s="4322">
        <v>1</v>
      </c>
      <c r="T39" s="4322">
        <v>1</v>
      </c>
      <c r="U39" s="4513">
        <v>1</v>
      </c>
    </row>
    <row r="40" spans="2:21">
      <c r="B40" s="6513"/>
      <c r="C40" s="1362" t="s">
        <v>7674</v>
      </c>
      <c r="D40" s="4358"/>
      <c r="E40" s="4358"/>
      <c r="F40" s="4358"/>
      <c r="G40" s="4358"/>
      <c r="H40" s="4359"/>
      <c r="I40" s="4322">
        <v>1</v>
      </c>
      <c r="J40" s="4333" t="s">
        <v>7666</v>
      </c>
      <c r="K40" s="4322">
        <v>1</v>
      </c>
      <c r="L40" s="4322">
        <v>1</v>
      </c>
      <c r="M40" s="4322">
        <v>1</v>
      </c>
      <c r="N40" s="4322">
        <v>1</v>
      </c>
      <c r="O40" s="4322">
        <v>1</v>
      </c>
      <c r="P40" s="4322">
        <v>1</v>
      </c>
      <c r="Q40" s="4322">
        <v>1</v>
      </c>
      <c r="R40" s="4322">
        <v>1</v>
      </c>
      <c r="S40" s="4322">
        <v>1</v>
      </c>
      <c r="T40" s="4322">
        <v>1</v>
      </c>
      <c r="U40" s="4513">
        <v>1</v>
      </c>
    </row>
    <row r="41" spans="2:21">
      <c r="B41" s="6513"/>
      <c r="C41" s="5160" t="s">
        <v>7764</v>
      </c>
      <c r="D41" s="5160"/>
      <c r="E41" s="5160"/>
      <c r="F41" s="5160"/>
      <c r="G41" s="5160"/>
      <c r="H41" s="5161"/>
      <c r="I41" s="4322">
        <v>1</v>
      </c>
      <c r="J41" s="4354" t="s">
        <v>7655</v>
      </c>
      <c r="K41" s="4322">
        <v>1</v>
      </c>
      <c r="L41" s="4322">
        <v>1</v>
      </c>
      <c r="M41" s="4322">
        <v>1</v>
      </c>
      <c r="N41" s="4322">
        <v>1</v>
      </c>
      <c r="O41" s="4322">
        <v>1</v>
      </c>
      <c r="P41" s="4322">
        <v>1</v>
      </c>
      <c r="Q41" s="4322">
        <v>1</v>
      </c>
      <c r="R41" s="4322">
        <v>1</v>
      </c>
      <c r="S41" s="4322">
        <v>1</v>
      </c>
      <c r="T41" s="4322">
        <v>1</v>
      </c>
      <c r="U41" s="4513">
        <v>1</v>
      </c>
    </row>
    <row r="42" spans="2:21">
      <c r="B42" s="6513"/>
      <c r="C42" s="5160"/>
      <c r="D42" s="5160"/>
      <c r="E42" s="5160"/>
      <c r="F42" s="5160"/>
      <c r="G42" s="5160"/>
      <c r="H42" s="5161"/>
      <c r="I42" s="4322">
        <v>1</v>
      </c>
      <c r="J42" s="4355" t="s">
        <v>7672</v>
      </c>
      <c r="K42" s="4322">
        <v>1</v>
      </c>
      <c r="L42" s="4322">
        <v>1</v>
      </c>
      <c r="M42" s="4322">
        <v>1</v>
      </c>
      <c r="N42" s="4322">
        <v>1</v>
      </c>
      <c r="O42" s="4322">
        <v>1</v>
      </c>
      <c r="P42" s="4322">
        <v>1</v>
      </c>
      <c r="Q42" s="4322">
        <v>1</v>
      </c>
      <c r="R42" s="4322">
        <v>1</v>
      </c>
      <c r="S42" s="4322">
        <v>1</v>
      </c>
      <c r="T42" s="4322">
        <v>1</v>
      </c>
      <c r="U42" s="4513">
        <v>1</v>
      </c>
    </row>
    <row r="43" spans="2:21">
      <c r="B43" s="6513"/>
      <c r="C43" s="1362"/>
      <c r="D43" s="4358"/>
      <c r="E43" s="4358"/>
      <c r="F43" s="4358"/>
      <c r="G43" s="4358"/>
      <c r="H43" s="4359"/>
      <c r="I43" s="4322">
        <v>1</v>
      </c>
      <c r="J43" s="4349" t="s">
        <v>1994</v>
      </c>
      <c r="K43" s="4322">
        <v>1</v>
      </c>
      <c r="L43" s="4322">
        <v>1</v>
      </c>
      <c r="M43" s="4322">
        <v>1</v>
      </c>
      <c r="N43" s="4322">
        <v>1</v>
      </c>
      <c r="O43" s="4322">
        <v>1</v>
      </c>
      <c r="P43" s="4322">
        <v>1</v>
      </c>
      <c r="Q43" s="4322">
        <v>1</v>
      </c>
      <c r="R43" s="4322">
        <v>1</v>
      </c>
      <c r="S43" s="4322">
        <v>1</v>
      </c>
      <c r="T43" s="4322">
        <v>1</v>
      </c>
      <c r="U43" s="4513">
        <v>1</v>
      </c>
    </row>
    <row r="44" spans="2:21">
      <c r="B44" s="6513"/>
      <c r="C44" s="4361" t="str">
        <f>HYPERLINK("# c131",_xlfn.UNICHAR(128269)&amp;" 🔗 Lien")</f>
        <v>🔍 🔗 Lien</v>
      </c>
      <c r="D44" s="4362" t="str">
        <f ca="1">_xlfn.FORMULATEXT(C44)</f>
        <v>=LIEN_HYPERTEXTE("# c131";UNICAR(128269)&amp;" 🔗 Lien")</v>
      </c>
      <c r="E44" s="634"/>
      <c r="F44" s="634"/>
      <c r="G44" s="634"/>
      <c r="H44" s="517"/>
      <c r="I44" s="4322">
        <v>1</v>
      </c>
      <c r="J44" s="4351" t="s">
        <v>7670</v>
      </c>
      <c r="K44" s="4322">
        <v>1</v>
      </c>
      <c r="L44" s="4322">
        <v>1</v>
      </c>
      <c r="M44" s="4322">
        <v>1</v>
      </c>
      <c r="N44" s="4322">
        <v>1</v>
      </c>
      <c r="O44" s="4322">
        <v>1</v>
      </c>
      <c r="P44" s="4322">
        <v>1</v>
      </c>
      <c r="Q44" s="4322">
        <v>1</v>
      </c>
      <c r="R44" s="4322">
        <v>1</v>
      </c>
      <c r="S44" s="4322">
        <v>1</v>
      </c>
      <c r="T44" s="4322">
        <v>1</v>
      </c>
      <c r="U44" s="4513">
        <v>1</v>
      </c>
    </row>
    <row r="45" spans="2:21">
      <c r="B45" s="6513"/>
      <c r="C45" s="4363"/>
      <c r="D45" s="4362"/>
      <c r="E45" s="634"/>
      <c r="F45" s="634"/>
      <c r="G45" s="634"/>
      <c r="H45" s="517"/>
      <c r="I45" s="4322">
        <v>1</v>
      </c>
      <c r="J45" s="4357" t="s">
        <v>7648</v>
      </c>
      <c r="K45" s="4322">
        <v>1</v>
      </c>
      <c r="L45" s="4322">
        <v>1</v>
      </c>
      <c r="M45" s="4322">
        <v>1</v>
      </c>
      <c r="N45" s="4322">
        <v>1</v>
      </c>
      <c r="O45" s="4322">
        <v>1</v>
      </c>
      <c r="P45" s="4322">
        <v>1</v>
      </c>
      <c r="Q45" s="4322">
        <v>1</v>
      </c>
      <c r="R45" s="4322">
        <v>1</v>
      </c>
      <c r="S45" s="4322">
        <v>1</v>
      </c>
      <c r="T45" s="4322">
        <v>1</v>
      </c>
      <c r="U45" s="4513">
        <v>1</v>
      </c>
    </row>
    <row r="46" spans="2:21">
      <c r="B46" s="6513"/>
      <c r="C46" s="4361" t="str">
        <f>HYPERLINK("#c131",_xlfn.UNICHAR(128269)&amp;"La bas")</f>
        <v>🔍La bas</v>
      </c>
      <c r="D46" s="4362" t="str">
        <f ca="1">_xlfn.FORMULATEXT(C46)</f>
        <v>=LIEN_HYPERTEXTE("#c131";UNICAR(128269)&amp;"La bas")</v>
      </c>
      <c r="E46" s="634"/>
      <c r="F46" s="634"/>
      <c r="G46" s="634"/>
      <c r="H46" s="517"/>
      <c r="I46" s="4322">
        <v>1</v>
      </c>
      <c r="J46" s="4330" t="s">
        <v>7664</v>
      </c>
      <c r="K46" s="4322">
        <v>1</v>
      </c>
      <c r="L46" s="4322">
        <v>1</v>
      </c>
      <c r="M46" s="4322">
        <v>1</v>
      </c>
      <c r="N46" s="4322">
        <v>1</v>
      </c>
      <c r="O46" s="4322">
        <v>1</v>
      </c>
      <c r="P46" s="4532"/>
      <c r="Q46" s="4322">
        <v>1</v>
      </c>
      <c r="R46" s="4322">
        <v>1</v>
      </c>
      <c r="S46" s="4322">
        <v>1</v>
      </c>
      <c r="T46" s="4322">
        <v>1</v>
      </c>
      <c r="U46" s="4513">
        <v>1</v>
      </c>
    </row>
    <row r="47" spans="2:21">
      <c r="B47" s="6513"/>
      <c r="C47" s="4363"/>
      <c r="D47" s="4362"/>
      <c r="E47" s="634"/>
      <c r="F47" s="634"/>
      <c r="G47" s="634"/>
      <c r="H47" s="517"/>
      <c r="I47" s="4322">
        <v>1</v>
      </c>
      <c r="J47" s="4343" t="s">
        <v>7649</v>
      </c>
      <c r="K47" s="4322">
        <v>1</v>
      </c>
      <c r="L47" s="4322">
        <v>1</v>
      </c>
      <c r="M47" s="4322">
        <v>1</v>
      </c>
      <c r="N47" s="4322">
        <v>1</v>
      </c>
      <c r="O47" s="4322">
        <v>1</v>
      </c>
      <c r="P47" s="4322">
        <v>1</v>
      </c>
      <c r="Q47" s="4322">
        <v>1</v>
      </c>
      <c r="R47" s="4322">
        <v>1</v>
      </c>
      <c r="S47" s="4322">
        <v>1</v>
      </c>
      <c r="T47" s="4322">
        <v>1</v>
      </c>
      <c r="U47" s="4513">
        <v>1</v>
      </c>
    </row>
    <row r="48" spans="2:21">
      <c r="B48" s="6513"/>
      <c r="C48" s="4527" t="str">
        <f>HYPERLINK("# c131"," 🔗 Cliquez")</f>
        <v xml:space="preserve"> 🔗 Cliquez</v>
      </c>
      <c r="D48" s="4362" t="str">
        <f ca="1">_xlfn.FORMULATEXT(C48)</f>
        <v>=LIEN_HYPERTEXTE("# c131";" 🔗 Cliquez")</v>
      </c>
      <c r="E48" s="634"/>
      <c r="F48" s="634"/>
      <c r="G48" s="634"/>
      <c r="H48" s="517"/>
      <c r="I48" s="4322">
        <v>1</v>
      </c>
      <c r="J48" s="4348" t="s">
        <v>7653</v>
      </c>
      <c r="K48" s="4322">
        <v>1</v>
      </c>
      <c r="L48" s="4322">
        <v>1</v>
      </c>
      <c r="M48" s="4322">
        <v>1</v>
      </c>
      <c r="N48" s="4322">
        <v>1</v>
      </c>
      <c r="O48" s="4322">
        <v>1</v>
      </c>
      <c r="P48" s="4322">
        <v>1</v>
      </c>
      <c r="Q48" s="4322">
        <v>1</v>
      </c>
      <c r="R48" s="4322">
        <v>1</v>
      </c>
      <c r="S48" s="4322">
        <v>1</v>
      </c>
      <c r="T48" s="4322">
        <v>1</v>
      </c>
      <c r="U48" s="4513">
        <v>1</v>
      </c>
    </row>
    <row r="49" spans="2:21">
      <c r="B49" s="6513"/>
      <c r="C49" s="634"/>
      <c r="D49" s="634"/>
      <c r="E49" s="634"/>
      <c r="F49" s="634"/>
      <c r="G49" s="634"/>
      <c r="H49" s="517"/>
      <c r="I49" s="4322">
        <v>1</v>
      </c>
      <c r="J49" s="4350" t="s">
        <v>7669</v>
      </c>
      <c r="K49" s="4322">
        <v>1</v>
      </c>
      <c r="L49" s="4322">
        <v>1</v>
      </c>
      <c r="M49" s="4322">
        <v>1</v>
      </c>
      <c r="N49" s="4322">
        <v>1</v>
      </c>
      <c r="O49" s="4322">
        <v>1</v>
      </c>
      <c r="P49" s="4322">
        <v>1</v>
      </c>
      <c r="Q49" s="4322">
        <v>1</v>
      </c>
      <c r="R49" s="4322">
        <v>1</v>
      </c>
      <c r="S49" s="4322">
        <v>1</v>
      </c>
      <c r="T49" s="4322">
        <v>1</v>
      </c>
      <c r="U49" s="4513">
        <v>1</v>
      </c>
    </row>
    <row r="50" spans="2:21">
      <c r="B50" s="6513"/>
      <c r="C50" s="4510" t="s">
        <v>7675</v>
      </c>
      <c r="D50" s="634"/>
      <c r="E50" s="634"/>
      <c r="F50" s="634"/>
      <c r="G50" s="634"/>
      <c r="H50" s="517"/>
      <c r="I50" s="4322">
        <v>1</v>
      </c>
      <c r="J50" s="4336" t="s">
        <v>7667</v>
      </c>
      <c r="K50" s="4322">
        <v>1</v>
      </c>
      <c r="L50" s="4322">
        <v>1</v>
      </c>
      <c r="M50" s="4322">
        <v>1</v>
      </c>
      <c r="N50" s="4322">
        <v>1</v>
      </c>
      <c r="O50" s="4322">
        <v>1</v>
      </c>
      <c r="P50" s="4322">
        <v>1</v>
      </c>
      <c r="Q50" s="4322">
        <v>1</v>
      </c>
      <c r="R50" s="4322">
        <v>1</v>
      </c>
      <c r="S50" s="4322">
        <v>1</v>
      </c>
      <c r="T50" s="4322">
        <v>1</v>
      </c>
      <c r="U50" s="4513">
        <v>1</v>
      </c>
    </row>
    <row r="51" spans="2:21" ht="18.75">
      <c r="B51" s="6513"/>
      <c r="C51" s="1450" t="s">
        <v>7676</v>
      </c>
      <c r="D51" s="634"/>
      <c r="E51" s="634"/>
      <c r="F51" s="634"/>
      <c r="G51" s="634"/>
      <c r="H51" s="517"/>
      <c r="I51" s="4322">
        <v>1</v>
      </c>
      <c r="J51" s="4335" t="s">
        <v>7657</v>
      </c>
      <c r="K51" s="4322">
        <v>1</v>
      </c>
      <c r="L51" s="4322">
        <v>1</v>
      </c>
      <c r="M51" s="4322">
        <v>1</v>
      </c>
      <c r="N51" s="4322">
        <v>1</v>
      </c>
      <c r="O51" s="4322">
        <v>1</v>
      </c>
      <c r="P51" s="4322">
        <v>1</v>
      </c>
      <c r="Q51" s="4322">
        <v>1</v>
      </c>
      <c r="R51" s="4322">
        <v>1</v>
      </c>
      <c r="S51" s="4322">
        <v>1</v>
      </c>
      <c r="T51" s="4322">
        <v>1</v>
      </c>
      <c r="U51" s="4513">
        <v>1</v>
      </c>
    </row>
    <row r="52" spans="2:21">
      <c r="B52" s="6513"/>
      <c r="C52" s="4364"/>
      <c r="D52" s="634"/>
      <c r="E52" s="634"/>
      <c r="F52" s="634"/>
      <c r="G52" s="634"/>
      <c r="H52" s="517"/>
      <c r="I52" s="4322">
        <v>1</v>
      </c>
      <c r="J52" s="4334" t="s">
        <v>7658</v>
      </c>
      <c r="K52" s="4322">
        <v>1</v>
      </c>
      <c r="L52" s="4322">
        <v>1</v>
      </c>
      <c r="M52" s="4322">
        <v>1</v>
      </c>
      <c r="N52" s="4322">
        <v>1</v>
      </c>
      <c r="O52" s="4322">
        <v>1</v>
      </c>
      <c r="P52" s="4322">
        <v>1</v>
      </c>
      <c r="Q52" s="4322">
        <v>1</v>
      </c>
      <c r="R52" s="4322">
        <v>1</v>
      </c>
      <c r="S52" s="4322">
        <v>1</v>
      </c>
      <c r="T52" s="4322">
        <v>1</v>
      </c>
      <c r="U52" s="4513">
        <v>1</v>
      </c>
    </row>
    <row r="53" spans="2:21">
      <c r="B53" s="6513"/>
      <c r="C53" s="4365" t="s">
        <v>7677</v>
      </c>
      <c r="D53" s="634"/>
      <c r="E53" s="634"/>
      <c r="F53" s="634"/>
      <c r="G53" s="634"/>
      <c r="H53" s="517"/>
      <c r="I53" s="4322">
        <v>1</v>
      </c>
      <c r="J53" s="2127" t="s">
        <v>7647</v>
      </c>
      <c r="K53" s="4322">
        <v>1</v>
      </c>
      <c r="L53" s="4322">
        <v>1</v>
      </c>
      <c r="M53" s="4322">
        <v>1</v>
      </c>
      <c r="N53" s="4322">
        <v>1</v>
      </c>
      <c r="O53" s="4322">
        <v>1</v>
      </c>
      <c r="P53" s="4322">
        <v>1</v>
      </c>
      <c r="Q53" s="4322">
        <v>1</v>
      </c>
      <c r="R53" s="4322">
        <v>1</v>
      </c>
      <c r="S53" s="4322">
        <v>1</v>
      </c>
      <c r="T53" s="4322">
        <v>1</v>
      </c>
      <c r="U53" s="4513">
        <v>1</v>
      </c>
    </row>
    <row r="54" spans="2:21">
      <c r="B54" s="6513"/>
      <c r="C54" s="634"/>
      <c r="D54" s="634"/>
      <c r="E54" s="634"/>
      <c r="F54" s="634"/>
      <c r="G54" s="634"/>
      <c r="H54" s="517"/>
      <c r="I54" s="4322">
        <v>1</v>
      </c>
      <c r="J54" s="4338" t="s">
        <v>7668</v>
      </c>
      <c r="K54" s="4322">
        <v>1</v>
      </c>
      <c r="L54" s="4322">
        <v>1</v>
      </c>
      <c r="M54" s="4322">
        <v>1</v>
      </c>
      <c r="N54" s="4322">
        <v>1</v>
      </c>
      <c r="O54" s="4322">
        <v>1</v>
      </c>
      <c r="P54" s="4322">
        <v>1</v>
      </c>
      <c r="Q54" s="4322">
        <v>1</v>
      </c>
      <c r="R54" s="4322">
        <v>1</v>
      </c>
      <c r="S54" s="4322">
        <v>1</v>
      </c>
      <c r="T54" s="4322">
        <v>1</v>
      </c>
      <c r="U54" s="4513">
        <v>1</v>
      </c>
    </row>
    <row r="55" spans="2:21">
      <c r="B55" s="6513"/>
      <c r="C55" s="634" t="s">
        <v>4536</v>
      </c>
      <c r="D55" s="634" t="s">
        <v>7678</v>
      </c>
      <c r="E55" s="634"/>
      <c r="F55" s="634"/>
      <c r="G55" s="634"/>
      <c r="H55" s="517"/>
      <c r="I55" s="4322">
        <v>1</v>
      </c>
      <c r="J55" s="4356" t="s">
        <v>7656</v>
      </c>
      <c r="K55" s="4322">
        <v>1</v>
      </c>
      <c r="L55" s="4322">
        <v>1</v>
      </c>
      <c r="M55" s="4322">
        <v>1</v>
      </c>
      <c r="N55" s="4322">
        <v>1</v>
      </c>
      <c r="O55" s="4322">
        <v>1</v>
      </c>
      <c r="P55" s="4322">
        <v>1</v>
      </c>
      <c r="Q55" s="4322">
        <v>1</v>
      </c>
      <c r="R55" s="4322">
        <v>1</v>
      </c>
      <c r="S55" s="4322">
        <v>1</v>
      </c>
      <c r="T55" s="4322">
        <v>1</v>
      </c>
      <c r="U55" s="4513">
        <v>1</v>
      </c>
    </row>
    <row r="56" spans="2:21">
      <c r="B56" s="6513"/>
      <c r="C56" s="634"/>
      <c r="D56" s="634"/>
      <c r="E56" s="634"/>
      <c r="F56" s="634"/>
      <c r="G56" s="634"/>
      <c r="H56" s="517"/>
      <c r="I56" s="4322">
        <v>1</v>
      </c>
      <c r="J56" s="4353" t="s">
        <v>7654</v>
      </c>
      <c r="K56" s="4322">
        <v>1</v>
      </c>
      <c r="L56" s="4322">
        <v>1</v>
      </c>
      <c r="M56" s="4322">
        <v>1</v>
      </c>
      <c r="N56" s="4322">
        <v>1</v>
      </c>
      <c r="O56" s="4322">
        <v>1</v>
      </c>
      <c r="P56" s="4322">
        <v>1</v>
      </c>
      <c r="Q56" s="4322">
        <v>1</v>
      </c>
      <c r="R56" s="4322">
        <v>1</v>
      </c>
      <c r="S56" s="4322">
        <v>1</v>
      </c>
      <c r="T56" s="4322">
        <v>1</v>
      </c>
      <c r="U56" s="4513">
        <v>1</v>
      </c>
    </row>
    <row r="57" spans="2:21">
      <c r="B57" s="6513"/>
      <c r="C57" s="634" t="s">
        <v>7733</v>
      </c>
      <c r="D57" s="634"/>
      <c r="E57" s="634"/>
      <c r="F57" s="634"/>
      <c r="G57" s="634"/>
      <c r="H57" s="517"/>
      <c r="I57" s="4322">
        <v>1</v>
      </c>
      <c r="J57" s="4339" t="s">
        <v>7651</v>
      </c>
      <c r="K57" s="4322">
        <v>1</v>
      </c>
      <c r="L57" s="4322">
        <v>1</v>
      </c>
      <c r="M57" s="4322">
        <v>1</v>
      </c>
      <c r="N57" s="4322">
        <v>1</v>
      </c>
      <c r="O57" s="4322">
        <v>1</v>
      </c>
      <c r="P57" s="4322">
        <v>1</v>
      </c>
      <c r="Q57" s="4322">
        <v>1</v>
      </c>
      <c r="R57" s="4322">
        <v>1</v>
      </c>
      <c r="S57" s="4322">
        <v>1</v>
      </c>
      <c r="T57" s="4322">
        <v>1</v>
      </c>
      <c r="U57" s="4513">
        <v>1</v>
      </c>
    </row>
    <row r="58" spans="2:21">
      <c r="B58" s="6513"/>
      <c r="C58" s="634"/>
      <c r="D58" s="1222" t="s">
        <v>7734</v>
      </c>
      <c r="E58" s="634"/>
      <c r="F58" s="1222" t="s">
        <v>7738</v>
      </c>
      <c r="G58" s="634"/>
      <c r="H58" s="517" t="s">
        <v>230</v>
      </c>
      <c r="I58" s="4322">
        <v>1</v>
      </c>
      <c r="J58" s="4347" t="s">
        <v>7650</v>
      </c>
      <c r="K58" s="4322">
        <v>1</v>
      </c>
      <c r="L58" s="4322">
        <v>1</v>
      </c>
      <c r="M58" s="4322">
        <v>1</v>
      </c>
      <c r="N58" s="4322">
        <v>1</v>
      </c>
      <c r="O58" s="4322">
        <v>1</v>
      </c>
      <c r="P58" s="4322">
        <v>1</v>
      </c>
      <c r="Q58" s="4322">
        <v>1</v>
      </c>
      <c r="R58" s="4322">
        <v>1</v>
      </c>
      <c r="S58" s="4322">
        <v>1</v>
      </c>
      <c r="T58" s="4322">
        <v>1</v>
      </c>
      <c r="U58" s="4513">
        <v>1</v>
      </c>
    </row>
    <row r="59" spans="2:21">
      <c r="B59" s="6513"/>
      <c r="C59" s="634" t="s">
        <v>7735</v>
      </c>
      <c r="D59" s="634"/>
      <c r="E59" s="634"/>
      <c r="F59" s="634"/>
      <c r="G59" s="634"/>
      <c r="H59" s="517"/>
      <c r="I59" s="4322">
        <v>1</v>
      </c>
      <c r="J59" s="4340" t="s">
        <v>7652</v>
      </c>
      <c r="K59" s="4322">
        <v>1</v>
      </c>
      <c r="L59" s="4322">
        <v>1</v>
      </c>
      <c r="M59" s="4322">
        <v>1</v>
      </c>
      <c r="N59" s="4322">
        <v>1</v>
      </c>
      <c r="O59" s="4322">
        <v>1</v>
      </c>
      <c r="P59" s="4322">
        <v>1</v>
      </c>
      <c r="Q59" s="4322">
        <v>1</v>
      </c>
      <c r="R59" s="4322">
        <v>1</v>
      </c>
      <c r="S59" s="4322">
        <v>1</v>
      </c>
      <c r="T59" s="4322">
        <v>1</v>
      </c>
      <c r="U59" s="4513">
        <v>1</v>
      </c>
    </row>
    <row r="60" spans="2:21">
      <c r="B60" s="6513"/>
      <c r="C60" s="634"/>
      <c r="D60" s="1222" t="s">
        <v>7736</v>
      </c>
      <c r="E60" s="634"/>
      <c r="F60" s="1222" t="s">
        <v>7737</v>
      </c>
      <c r="G60" s="634"/>
      <c r="H60" s="517"/>
      <c r="I60" s="4322">
        <v>1</v>
      </c>
      <c r="J60" s="4352" t="s">
        <v>7671</v>
      </c>
      <c r="K60" s="4322">
        <v>1</v>
      </c>
      <c r="L60" s="4322">
        <v>1</v>
      </c>
      <c r="M60" s="4322">
        <v>1</v>
      </c>
      <c r="N60" s="4322">
        <v>1</v>
      </c>
      <c r="O60" s="4322">
        <v>1</v>
      </c>
      <c r="P60" s="4322">
        <v>1</v>
      </c>
      <c r="Q60" s="4322">
        <v>1</v>
      </c>
      <c r="R60" s="4322">
        <v>1</v>
      </c>
      <c r="S60" s="4322">
        <v>1</v>
      </c>
      <c r="T60" s="4322">
        <v>1</v>
      </c>
      <c r="U60" s="4513">
        <v>1</v>
      </c>
    </row>
    <row r="61" spans="2:21">
      <c r="B61" s="6513"/>
      <c r="C61" s="634"/>
      <c r="D61" s="1222"/>
      <c r="E61" s="634"/>
      <c r="F61" s="1222"/>
      <c r="G61" s="634"/>
      <c r="H61" s="517"/>
      <c r="I61" s="4322"/>
      <c r="J61" s="4360" t="s">
        <v>7673</v>
      </c>
      <c r="K61" s="4322">
        <v>1</v>
      </c>
      <c r="L61" s="4322">
        <v>1</v>
      </c>
      <c r="M61" s="4322">
        <v>1</v>
      </c>
      <c r="N61" s="4322">
        <v>1</v>
      </c>
      <c r="O61" s="4322">
        <v>1</v>
      </c>
      <c r="P61" s="4322">
        <v>1</v>
      </c>
      <c r="Q61" s="4322">
        <v>1</v>
      </c>
      <c r="R61" s="4322">
        <v>1</v>
      </c>
      <c r="S61" s="4322"/>
      <c r="T61" s="4322"/>
      <c r="U61" s="4513"/>
    </row>
    <row r="62" spans="2:21">
      <c r="B62" s="6513"/>
      <c r="C62" s="634"/>
      <c r="D62" s="1222"/>
      <c r="E62" s="1320" t="s">
        <v>7765</v>
      </c>
      <c r="F62" s="1222" t="s">
        <v>7766</v>
      </c>
      <c r="G62" s="634"/>
      <c r="H62" s="517"/>
      <c r="I62" s="4322">
        <v>1</v>
      </c>
      <c r="J62" s="4322">
        <v>1</v>
      </c>
      <c r="K62" s="4322">
        <v>1</v>
      </c>
      <c r="L62" s="4322">
        <v>1</v>
      </c>
      <c r="M62" s="4322">
        <v>1</v>
      </c>
      <c r="N62" s="4322">
        <v>1</v>
      </c>
      <c r="O62" s="4322">
        <v>1</v>
      </c>
      <c r="P62" s="4322">
        <v>1</v>
      </c>
      <c r="Q62" s="4322">
        <v>1</v>
      </c>
      <c r="R62" s="4322">
        <v>1</v>
      </c>
      <c r="S62" s="4322">
        <v>1</v>
      </c>
      <c r="T62" s="4322">
        <v>1</v>
      </c>
      <c r="U62" s="4513">
        <v>1</v>
      </c>
    </row>
    <row r="63" spans="2:21">
      <c r="B63" s="6513"/>
      <c r="C63" s="634"/>
      <c r="D63" s="1222"/>
      <c r="E63" s="634"/>
      <c r="F63" s="1222"/>
      <c r="G63" s="634"/>
      <c r="H63" s="517"/>
      <c r="I63" s="4322"/>
      <c r="J63" s="4322">
        <v>1</v>
      </c>
      <c r="K63" s="4322"/>
      <c r="L63" s="4322"/>
      <c r="M63" s="4322"/>
      <c r="N63" s="4322"/>
      <c r="O63" s="4322"/>
      <c r="P63" s="4322"/>
      <c r="Q63" s="4322"/>
      <c r="R63" s="4322"/>
      <c r="S63" s="4322"/>
      <c r="T63" s="4322"/>
      <c r="U63" s="4513"/>
    </row>
    <row r="64" spans="2:21">
      <c r="B64" s="6513"/>
      <c r="C64" s="634" t="s">
        <v>7739</v>
      </c>
      <c r="D64" s="1222"/>
      <c r="E64" s="634"/>
      <c r="F64" s="1222"/>
      <c r="G64" s="634"/>
      <c r="H64" s="517"/>
      <c r="I64" s="4322">
        <v>1</v>
      </c>
      <c r="J64" s="4322">
        <v>1</v>
      </c>
      <c r="K64" s="4322">
        <v>1</v>
      </c>
      <c r="L64" s="4322">
        <v>1</v>
      </c>
      <c r="M64" s="4322">
        <v>1</v>
      </c>
      <c r="N64" s="4322">
        <v>1</v>
      </c>
      <c r="O64" s="4322">
        <v>1</v>
      </c>
      <c r="P64" s="4322">
        <v>1</v>
      </c>
      <c r="Q64" s="4322">
        <v>1</v>
      </c>
      <c r="R64" s="4322">
        <v>1</v>
      </c>
      <c r="S64" s="4322">
        <v>1</v>
      </c>
      <c r="T64" s="4322">
        <v>1</v>
      </c>
      <c r="U64" s="4513">
        <v>1</v>
      </c>
    </row>
    <row r="65" spans="1:21">
      <c r="B65" s="6513"/>
      <c r="C65" s="634"/>
      <c r="D65" s="1222" t="s">
        <v>7740</v>
      </c>
      <c r="E65" s="634"/>
      <c r="F65" s="1222"/>
      <c r="G65" s="634"/>
      <c r="H65" s="517" t="s">
        <v>230</v>
      </c>
      <c r="I65" s="4322">
        <v>1</v>
      </c>
      <c r="J65" s="4322">
        <v>1</v>
      </c>
      <c r="K65" s="4322">
        <v>1</v>
      </c>
      <c r="L65" s="4322">
        <v>1</v>
      </c>
      <c r="M65" s="4322">
        <v>1</v>
      </c>
      <c r="N65" s="4322">
        <v>1</v>
      </c>
      <c r="O65" s="4322">
        <v>1</v>
      </c>
      <c r="P65" s="4322">
        <v>1</v>
      </c>
      <c r="Q65" s="4322">
        <v>1</v>
      </c>
      <c r="R65" s="4322">
        <v>1</v>
      </c>
      <c r="S65" s="4322">
        <v>1</v>
      </c>
      <c r="T65" s="4322">
        <v>1</v>
      </c>
      <c r="U65" s="4513">
        <v>1</v>
      </c>
    </row>
    <row r="66" spans="1:21" ht="16.5" thickBot="1">
      <c r="B66" s="6514"/>
      <c r="C66" s="4366"/>
      <c r="D66" s="4366"/>
      <c r="E66" s="4366"/>
      <c r="F66" s="4366"/>
      <c r="G66" s="4366"/>
      <c r="H66" s="4367"/>
      <c r="I66" s="4322">
        <v>1</v>
      </c>
      <c r="J66" s="4322">
        <v>1</v>
      </c>
      <c r="K66" s="4322">
        <v>1</v>
      </c>
      <c r="L66" s="4322">
        <v>1</v>
      </c>
      <c r="M66" s="4322">
        <v>1</v>
      </c>
      <c r="N66" s="4322">
        <v>1</v>
      </c>
      <c r="O66" s="4322">
        <v>1</v>
      </c>
      <c r="P66" s="4322">
        <v>1</v>
      </c>
      <c r="Q66" s="4322">
        <v>1</v>
      </c>
      <c r="R66" s="4322">
        <v>1</v>
      </c>
      <c r="S66" s="4322">
        <v>1</v>
      </c>
      <c r="T66" s="4322">
        <v>1</v>
      </c>
      <c r="U66" s="4513">
        <v>1</v>
      </c>
    </row>
    <row r="67" spans="1:21">
      <c r="B67" s="4325"/>
      <c r="I67" s="4322">
        <v>1</v>
      </c>
      <c r="J67" s="4322">
        <v>1</v>
      </c>
      <c r="K67" s="4322">
        <v>1</v>
      </c>
      <c r="L67" s="4322">
        <v>1</v>
      </c>
      <c r="M67" s="4322">
        <v>1</v>
      </c>
      <c r="N67" s="4322">
        <v>1</v>
      </c>
      <c r="O67" s="4322">
        <v>1</v>
      </c>
      <c r="P67" s="4322">
        <v>1</v>
      </c>
      <c r="Q67" s="4322">
        <v>1</v>
      </c>
      <c r="R67" s="4322">
        <v>1</v>
      </c>
      <c r="S67" s="4322">
        <v>1</v>
      </c>
      <c r="T67" s="4322">
        <v>1</v>
      </c>
      <c r="U67" s="4513">
        <v>1</v>
      </c>
    </row>
    <row r="68" spans="1:21">
      <c r="I68" s="4322">
        <v>1</v>
      </c>
      <c r="S68" s="4322">
        <v>1</v>
      </c>
      <c r="U68" s="4514"/>
    </row>
    <row r="69" spans="1:21" ht="23.25">
      <c r="A69" s="4322">
        <v>1</v>
      </c>
      <c r="B69" s="4322"/>
      <c r="C69" s="4368"/>
      <c r="D69" s="4368"/>
      <c r="E69" s="4368"/>
      <c r="F69" s="4368"/>
      <c r="G69" s="4368"/>
      <c r="H69" s="4369"/>
      <c r="I69" s="4369"/>
      <c r="J69" s="4370" t="s">
        <v>7679</v>
      </c>
      <c r="K69" s="4322"/>
      <c r="L69" s="4322"/>
      <c r="M69" s="4322"/>
      <c r="N69" s="4322"/>
      <c r="O69" s="4326" t="s">
        <v>7660</v>
      </c>
      <c r="P69" s="4325"/>
      <c r="Q69" s="4325"/>
      <c r="R69" s="4322">
        <v>1</v>
      </c>
      <c r="S69" s="4322">
        <v>1</v>
      </c>
      <c r="T69" s="4322"/>
      <c r="U69" s="4513"/>
    </row>
    <row r="70" spans="1:21" ht="18.75">
      <c r="A70" s="4322">
        <v>1</v>
      </c>
      <c r="B70" s="4322"/>
      <c r="C70" s="4371" t="s">
        <v>7680</v>
      </c>
      <c r="D70" s="4368"/>
      <c r="E70" s="4368"/>
      <c r="F70" s="4368"/>
      <c r="G70" s="4368"/>
      <c r="H70" s="4368"/>
      <c r="I70" s="4368"/>
      <c r="J70" s="4370" t="s">
        <v>7681</v>
      </c>
      <c r="K70" s="4322"/>
      <c r="L70" s="4322"/>
      <c r="M70" s="4322"/>
      <c r="N70" s="4322"/>
      <c r="O70" s="6511" t="s">
        <v>4230</v>
      </c>
      <c r="P70" s="6512" t="s">
        <v>7392</v>
      </c>
      <c r="Q70" s="4322">
        <v>1</v>
      </c>
      <c r="R70" s="4322">
        <v>1</v>
      </c>
      <c r="S70" s="4322">
        <v>1</v>
      </c>
      <c r="T70" s="4322"/>
      <c r="U70" s="4513">
        <v>1</v>
      </c>
    </row>
    <row r="71" spans="1:21">
      <c r="A71" s="4322">
        <v>1</v>
      </c>
      <c r="B71" s="4322"/>
      <c r="C71" s="4368" t="s">
        <v>7682</v>
      </c>
      <c r="D71" s="4368"/>
      <c r="E71" s="4368"/>
      <c r="F71" s="4368"/>
      <c r="G71" s="4368"/>
      <c r="H71" s="4372" t="s">
        <v>7683</v>
      </c>
      <c r="I71" s="4373">
        <f>IF(H72=D98,E81/(100-F82)*100)</f>
        <v>2.5</v>
      </c>
      <c r="J71" s="4362" t="str">
        <f ca="1">_xlfn.FORMULATEXT(I71)</f>
        <v>=SI(H72=D98;E81/(100-F82)*100)</v>
      </c>
      <c r="K71" s="4374"/>
      <c r="L71" s="4322">
        <v>1</v>
      </c>
      <c r="M71" s="4322">
        <v>1</v>
      </c>
      <c r="N71" s="4322">
        <v>1</v>
      </c>
      <c r="O71" s="6511"/>
      <c r="P71" s="6512"/>
      <c r="Q71" s="4322">
        <v>1</v>
      </c>
      <c r="R71" s="4322">
        <v>1</v>
      </c>
      <c r="S71" s="4322">
        <v>1</v>
      </c>
      <c r="T71" s="4322"/>
      <c r="U71" s="4513">
        <v>1</v>
      </c>
    </row>
    <row r="72" spans="1:21">
      <c r="A72" s="4322">
        <v>1</v>
      </c>
      <c r="B72" s="4322"/>
      <c r="C72" s="4368" t="s">
        <v>7684</v>
      </c>
      <c r="D72" s="4368"/>
      <c r="E72" s="4368"/>
      <c r="F72" s="4368"/>
      <c r="G72" s="4368"/>
      <c r="H72" s="4375" t="s">
        <v>7685</v>
      </c>
      <c r="I72" s="4373">
        <f>IF(H81=D98,E81-(E81*F82%))</f>
        <v>0.625</v>
      </c>
      <c r="J72" s="4362" t="str">
        <f ca="1">_xlfn.FORMULATEXT(I72)</f>
        <v>=SI(H81=D98;E81-(E81*F82%))</v>
      </c>
      <c r="K72" s="4374"/>
      <c r="L72" s="4322">
        <v>1</v>
      </c>
      <c r="M72" s="4322">
        <v>1</v>
      </c>
      <c r="N72" s="4322">
        <v>1</v>
      </c>
      <c r="O72" s="4322">
        <v>1</v>
      </c>
      <c r="P72" s="4322">
        <v>1</v>
      </c>
      <c r="Q72" s="4322">
        <v>1</v>
      </c>
      <c r="R72" s="4322">
        <v>1</v>
      </c>
      <c r="S72" s="4322">
        <v>1</v>
      </c>
      <c r="T72" s="4322"/>
      <c r="U72" s="4513">
        <v>1</v>
      </c>
    </row>
    <row r="73" spans="1:21" ht="16.5" thickBot="1">
      <c r="A73" s="4322">
        <v>1</v>
      </c>
      <c r="B73" s="4322"/>
      <c r="C73" s="4322">
        <v>1</v>
      </c>
      <c r="D73" s="4322">
        <v>1</v>
      </c>
      <c r="E73" s="4322">
        <v>1</v>
      </c>
      <c r="F73" s="4322">
        <v>1</v>
      </c>
      <c r="G73" s="4322">
        <v>1</v>
      </c>
      <c r="H73" s="4322">
        <v>1</v>
      </c>
      <c r="I73" s="4322">
        <v>1</v>
      </c>
      <c r="J73" s="4376"/>
      <c r="K73" s="4322"/>
      <c r="L73" s="4322">
        <v>1</v>
      </c>
      <c r="M73" s="4322">
        <v>1</v>
      </c>
      <c r="N73" s="4322">
        <v>1</v>
      </c>
      <c r="O73" s="6498" t="s">
        <v>3723</v>
      </c>
      <c r="P73" s="4322">
        <v>1</v>
      </c>
      <c r="Q73" s="4322">
        <v>1</v>
      </c>
      <c r="R73" s="4322">
        <v>1</v>
      </c>
      <c r="S73" s="4322">
        <v>1</v>
      </c>
      <c r="T73" s="4322"/>
      <c r="U73" s="4513">
        <v>1</v>
      </c>
    </row>
    <row r="74" spans="1:21" ht="23.25">
      <c r="A74" s="4322">
        <v>1</v>
      </c>
      <c r="B74" s="6478" t="s">
        <v>70</v>
      </c>
      <c r="C74" s="6480" t="s">
        <v>7686</v>
      </c>
      <c r="D74" s="6480"/>
      <c r="E74" s="6480"/>
      <c r="F74" s="6480"/>
      <c r="G74" s="4377"/>
      <c r="H74" s="4378" t="str">
        <f>E82</f>
        <v>❻ %  de PERTE &gt;</v>
      </c>
      <c r="I74" s="4379" t="str">
        <f>_xlfn.UNICHAR(128269)&amp;"Cliquez sur les loupes"</f>
        <v>🔍Cliquez sur les loupes</v>
      </c>
      <c r="J74" s="4325"/>
      <c r="K74" s="4468" t="s">
        <v>7720</v>
      </c>
      <c r="L74" s="4325"/>
      <c r="M74" s="4325"/>
      <c r="N74" s="4325"/>
      <c r="O74" s="6498"/>
      <c r="P74" s="4322">
        <v>1</v>
      </c>
      <c r="Q74" s="4322">
        <v>1</v>
      </c>
      <c r="R74" s="4322">
        <v>1</v>
      </c>
      <c r="S74" s="4322">
        <v>1</v>
      </c>
      <c r="T74" s="4322"/>
      <c r="U74" s="4513">
        <v>1</v>
      </c>
    </row>
    <row r="75" spans="1:21">
      <c r="A75" s="4322">
        <v>1</v>
      </c>
      <c r="B75" s="6479"/>
      <c r="C75" s="4380"/>
      <c r="D75" s="4380"/>
      <c r="E75" s="4381"/>
      <c r="F75" s="4382" t="s">
        <v>7687</v>
      </c>
      <c r="G75" s="4383" t="str">
        <f>IF(F81=D97,"CRU- Brut ou à cuire","CUIT - Net à servir")</f>
        <v>CRU- Brut ou à cuire</v>
      </c>
      <c r="H75" s="4384"/>
      <c r="I75" s="4385" t="str">
        <f>HYPERLINK("#"&amp;ADDRESS(ROW(G75),COLUMN(G75),4),_xlfn.UNICHAR(128269)&amp;"cellule "&amp;ADDRESS(ROW(G75),COLUMN(G75),4))</f>
        <v>🔍cellule G75</v>
      </c>
      <c r="J75" s="4386" t="str">
        <f>G75</f>
        <v>CRU- Brut ou à cuire</v>
      </c>
      <c r="K75" s="4362" t="str">
        <f ca="1">_xlfn.FORMULATEXT(G75)</f>
        <v>=SI(F81=D97;"CRU- Brut ou à cuire";"CUIT - Net à servir")</v>
      </c>
      <c r="L75" s="4325"/>
      <c r="M75" s="4325"/>
      <c r="N75" s="4325"/>
      <c r="O75" s="4322">
        <v>1</v>
      </c>
      <c r="P75" s="4322">
        <v>1</v>
      </c>
      <c r="Q75" s="4322">
        <v>1</v>
      </c>
      <c r="R75" s="4322">
        <v>1</v>
      </c>
      <c r="S75" s="4322">
        <v>1</v>
      </c>
      <c r="T75" s="4322"/>
      <c r="U75" s="4513">
        <v>1</v>
      </c>
    </row>
    <row r="76" spans="1:21" ht="23.25">
      <c r="A76" s="4322">
        <v>1</v>
      </c>
      <c r="B76" s="6492" t="str">
        <f>C74</f>
        <v>Nombre de contenants</v>
      </c>
      <c r="C76" s="6494" t="str">
        <f>D78</f>
        <v>Sautés en morceaux service au poids</v>
      </c>
      <c r="D76" s="6494"/>
      <c r="E76" s="6494"/>
      <c r="F76" s="6494"/>
      <c r="G76" s="6494"/>
      <c r="H76" s="6495"/>
      <c r="I76" s="4385" t="str">
        <f>HYPERLINK("#"&amp;ADDRESS(ROW(E77),COLUMN(E77),4),_xlfn.UNICHAR(128269)&amp;"cellule "&amp;ADDRESS(ROW(E77),COLUMN(E77),4))</f>
        <v>🔍cellule E77</v>
      </c>
      <c r="J76" s="4387">
        <f>E77</f>
        <v>46</v>
      </c>
      <c r="K76" s="4362" t="str">
        <f ca="1">_xlfn.FORMULATEXT(E77)</f>
        <v>=ENT(E87/E81)</v>
      </c>
      <c r="L76" s="4325"/>
      <c r="M76" s="4325"/>
      <c r="N76" s="4325"/>
      <c r="O76" s="4322">
        <v>1</v>
      </c>
      <c r="P76" s="4322">
        <v>1</v>
      </c>
      <c r="Q76" s="4322">
        <v>1</v>
      </c>
      <c r="R76" s="4322">
        <v>1</v>
      </c>
      <c r="S76" s="4322">
        <v>1</v>
      </c>
      <c r="T76" s="4322"/>
      <c r="U76" s="4513">
        <v>1</v>
      </c>
    </row>
    <row r="77" spans="1:21">
      <c r="A77" s="4322">
        <v>1</v>
      </c>
      <c r="B77" s="6492"/>
      <c r="C77" s="4388"/>
      <c r="D77" s="4389" t="s">
        <v>7688</v>
      </c>
      <c r="E77" s="4390">
        <f>INT(E87/E81)</f>
        <v>46</v>
      </c>
      <c r="F77" s="4391">
        <f>IF(E77=0,0,IF(E88=0,0,E81))</f>
        <v>1.25</v>
      </c>
      <c r="G77" s="4392" t="str">
        <f>IF(F77*E77=0,"1 de",IF(E87=0,0,IF(E81=0,0,IF(F77*E77=E87,"",IF(H77&gt;0,"Plus 1 de")))))</f>
        <v>Plus 1 de</v>
      </c>
      <c r="H77" s="4393">
        <f>IF(E81=0,0,IF(F77*E77=E87,"",MOD(E87,E81)))</f>
        <v>0.10000000000000142</v>
      </c>
      <c r="I77" s="4385" t="str">
        <f>HYPERLINK("#"&amp;ADDRESS(ROW(F77),COLUMN(F77),4),_xlfn.UNICHAR(128269)&amp;"cellule "&amp;ADDRESS(ROW(F77),COLUMN(F77),4))</f>
        <v>🔍cellule F77</v>
      </c>
      <c r="J77" s="4394">
        <f>F77</f>
        <v>1.25</v>
      </c>
      <c r="K77" s="4362" t="str">
        <f ca="1">_xlfn.FORMULATEXT(F77)</f>
        <v>=SI(E77=0;0;SI(E88=0;0;E81))</v>
      </c>
      <c r="L77" s="4325"/>
      <c r="M77" s="4325"/>
      <c r="N77" s="4325"/>
      <c r="O77" s="4374"/>
      <c r="P77" s="4374"/>
      <c r="Q77" s="4322">
        <v>1</v>
      </c>
      <c r="R77" s="4322">
        <v>1</v>
      </c>
      <c r="S77" s="4322">
        <v>1</v>
      </c>
      <c r="T77" s="4322"/>
      <c r="U77" s="4513">
        <v>1</v>
      </c>
    </row>
    <row r="78" spans="1:21" ht="18.75">
      <c r="A78" s="4322">
        <v>1</v>
      </c>
      <c r="B78" s="6492"/>
      <c r="C78" s="4395" t="s">
        <v>2516</v>
      </c>
      <c r="D78" s="4396" t="s">
        <v>7689</v>
      </c>
      <c r="E78" s="4397"/>
      <c r="F78" s="4374"/>
      <c r="G78" s="4374"/>
      <c r="H78" s="4398"/>
      <c r="I78" s="4385" t="str">
        <f>HYPERLINK("#"&amp;ADDRESS(ROW(G77),COLUMN(G77),4),_xlfn.UNICHAR(128269)&amp;"cellule "&amp;ADDRESS(ROW(G77),COLUMN(G77),4))</f>
        <v>🔍cellule G77</v>
      </c>
      <c r="J78" s="4399" t="str">
        <f>HYPERLINK("# G31",G77)</f>
        <v>Plus 1 de</v>
      </c>
      <c r="K78" s="4362" t="str">
        <f ca="1">_xlfn.FORMULATEXT(G77)</f>
        <v>=SI(F77*E77=0;"1 de";SI(E87=0;0;SI(E81=0;0;SI(F77*E77=E87;"";SI(H77&gt;0;"Plus 1 de")))))</v>
      </c>
      <c r="L78" s="4325"/>
      <c r="M78" s="4325"/>
      <c r="N78" s="4325"/>
      <c r="O78" s="4374"/>
      <c r="P78" s="4374"/>
      <c r="Q78" s="4322">
        <v>1</v>
      </c>
      <c r="R78" s="4322">
        <v>1</v>
      </c>
      <c r="S78" s="4322">
        <v>1</v>
      </c>
      <c r="T78" s="4322"/>
      <c r="U78" s="4513">
        <v>1</v>
      </c>
    </row>
    <row r="79" spans="1:21">
      <c r="A79" s="4322">
        <v>1</v>
      </c>
      <c r="B79" s="6492"/>
      <c r="C79" s="4374"/>
      <c r="D79" s="4374"/>
      <c r="E79" s="4400" t="s">
        <v>7690</v>
      </c>
      <c r="F79" s="6490" t="s">
        <v>7691</v>
      </c>
      <c r="G79" s="6490"/>
      <c r="H79" s="6491"/>
      <c r="I79" s="4385" t="str">
        <f>HYPERLINK("#"&amp;ADDRESS(ROW(H77),COLUMN(H77),4),_xlfn.UNICHAR(128269)&amp;"cellule "&amp;ADDRESS(ROW(H77),COLUMN(H77),4))</f>
        <v>🔍cellule H77</v>
      </c>
      <c r="J79" s="4401">
        <f>H77</f>
        <v>0.10000000000000142</v>
      </c>
      <c r="K79" s="4362" t="str">
        <f ca="1">_xlfn.FORMULATEXT(H77)</f>
        <v>=SI(E81=0;0;SI(F77*E77=E87;"";MOD(E87;E81)))</v>
      </c>
      <c r="L79" s="4325"/>
      <c r="M79" s="4325"/>
      <c r="N79" s="4325"/>
      <c r="O79" s="4374"/>
      <c r="P79" s="4374"/>
      <c r="Q79" s="4322">
        <v>1</v>
      </c>
      <c r="R79" s="4322">
        <v>1</v>
      </c>
      <c r="S79" s="4322">
        <v>1</v>
      </c>
      <c r="T79" s="4322"/>
      <c r="U79" s="4513">
        <v>1</v>
      </c>
    </row>
    <row r="80" spans="1:21">
      <c r="A80" s="4322">
        <v>1</v>
      </c>
      <c r="B80" s="6492"/>
      <c r="C80" s="4374"/>
      <c r="D80" s="4402"/>
      <c r="E80" s="4403"/>
      <c r="F80" s="4404" t="s">
        <v>7692</v>
      </c>
      <c r="G80" s="4402"/>
      <c r="H80" s="4398"/>
      <c r="I80" s="634"/>
      <c r="J80" s="4405"/>
      <c r="K80" s="4374"/>
      <c r="L80" s="4325"/>
      <c r="M80" s="4325"/>
      <c r="N80" s="4325"/>
      <c r="O80" s="4374"/>
      <c r="P80" s="4374"/>
      <c r="Q80" s="4322">
        <v>1</v>
      </c>
      <c r="R80" s="4322">
        <v>1</v>
      </c>
      <c r="S80" s="4322">
        <v>1</v>
      </c>
      <c r="T80" s="4322"/>
      <c r="U80" s="4513">
        <v>1</v>
      </c>
    </row>
    <row r="81" spans="1:21">
      <c r="A81" s="4322">
        <v>1</v>
      </c>
      <c r="B81" s="6492"/>
      <c r="C81" s="4406"/>
      <c r="D81" s="4407" t="s">
        <v>7693</v>
      </c>
      <c r="E81" s="4408">
        <v>1.25</v>
      </c>
      <c r="F81" s="4409" t="s">
        <v>7683</v>
      </c>
      <c r="G81" s="4410">
        <f>IF(F81=D97,E81-(E81*F82%),IF(F81=D98,E81/(100-F82)*100))</f>
        <v>0.625</v>
      </c>
      <c r="H81" s="4411" t="str">
        <f>H84</f>
        <v>❺ Kg cuit</v>
      </c>
      <c r="I81" s="4385" t="str">
        <f>HYPERLINK("#"&amp;ADDRESS(ROW(G81),COLUMN(G81),4),_xlfn.UNICHAR(128269)&amp;"cellule "&amp;ADDRESS(ROW(G81),COLUMN(G81),4))</f>
        <v>🔍cellule G81</v>
      </c>
      <c r="J81" s="4373">
        <f>G81</f>
        <v>0.625</v>
      </c>
      <c r="K81" s="4362" t="str">
        <f ca="1">_xlfn.FORMULATEXT(G81)</f>
        <v>=SI(F81=D97;E81-(E81*F82%);SI(F81=D98;E81/(100-F82)*100))</v>
      </c>
      <c r="L81" s="4325"/>
      <c r="M81" s="4325"/>
      <c r="N81" s="4325"/>
      <c r="O81" s="4374"/>
      <c r="P81" s="4374"/>
      <c r="Q81" s="4322">
        <v>1</v>
      </c>
      <c r="R81" s="4322">
        <v>1</v>
      </c>
      <c r="S81" s="4322">
        <v>1</v>
      </c>
      <c r="T81" s="4322"/>
      <c r="U81" s="4513">
        <v>1</v>
      </c>
    </row>
    <row r="82" spans="1:21">
      <c r="A82" s="4322">
        <v>1</v>
      </c>
      <c r="B82" s="6492"/>
      <c r="C82" s="4374"/>
      <c r="D82" s="4325"/>
      <c r="E82" s="4412" t="str">
        <f>IF(F84=D98,"❻ % de BONI &gt;",IF(F84=D97,"❻ %  de PERTE &gt;",IF(ISBLANK(F82),0)))</f>
        <v>❻ %  de PERTE &gt;</v>
      </c>
      <c r="F82" s="4413">
        <v>50</v>
      </c>
      <c r="G82" s="4374"/>
      <c r="H82" s="4398"/>
      <c r="I82" s="4385" t="str">
        <f>HYPERLINK("#"&amp;ADDRESS(ROW(E82),COLUMN(E82),4),_xlfn.UNICHAR(128269)&amp;"cellule "&amp;ADDRESS(ROW(E82),COLUMN(E82),4))</f>
        <v>🔍cellule E82</v>
      </c>
      <c r="J82" s="4414" t="str">
        <f>E82</f>
        <v>❻ %  de PERTE &gt;</v>
      </c>
      <c r="K82" s="4362" t="str">
        <f ca="1">_xlfn.FORMULATEXT(E82)</f>
        <v>=SI(F84=D98;"❻ % de BONI &gt;";SI(F84=D97;"❻ %  de PERTE &gt;";SI(ESTVIDE(F82);0)))</v>
      </c>
      <c r="L82" s="4325"/>
      <c r="M82" s="4325"/>
      <c r="N82" s="4325"/>
      <c r="O82" s="4374"/>
      <c r="P82" s="4374"/>
      <c r="Q82" s="4322">
        <v>1</v>
      </c>
      <c r="R82" s="4322">
        <v>1</v>
      </c>
      <c r="S82" s="4322">
        <v>1</v>
      </c>
      <c r="T82" s="4322"/>
      <c r="U82" s="4513">
        <v>1</v>
      </c>
    </row>
    <row r="83" spans="1:21">
      <c r="A83" s="4322">
        <v>1</v>
      </c>
      <c r="B83" s="6492"/>
      <c r="C83" s="4374"/>
      <c r="D83" s="4374"/>
      <c r="E83" s="4374"/>
      <c r="F83" s="4374"/>
      <c r="G83" s="4374"/>
      <c r="H83" s="4398"/>
      <c r="I83" s="634"/>
      <c r="J83" s="4405"/>
      <c r="K83" s="4374"/>
      <c r="L83" s="4325"/>
      <c r="M83" s="4325"/>
      <c r="N83" s="4325"/>
      <c r="O83" s="4374"/>
      <c r="P83" s="4374"/>
      <c r="Q83" s="4322">
        <v>1</v>
      </c>
      <c r="R83" s="4322">
        <v>1</v>
      </c>
      <c r="S83" s="4322">
        <v>1</v>
      </c>
      <c r="T83" s="4322"/>
      <c r="U83" s="4513">
        <v>1</v>
      </c>
    </row>
    <row r="84" spans="1:21">
      <c r="A84" s="4322">
        <v>1</v>
      </c>
      <c r="B84" s="6492"/>
      <c r="C84" s="4374"/>
      <c r="D84" s="4415" t="s">
        <v>7694</v>
      </c>
      <c r="E84" s="4416">
        <v>4.8000000000000001E-2</v>
      </c>
      <c r="F84" s="4417" t="str">
        <f>F81</f>
        <v>❹ Kg cru</v>
      </c>
      <c r="G84" s="4410">
        <f>IF(F84=D97,E84-(E84*F82%),IF(F84=D98,E84/(100-F82)*100))</f>
        <v>2.4E-2</v>
      </c>
      <c r="H84" s="4418" t="str">
        <f>IF(F84=D97,D98,D97)</f>
        <v>❺ Kg cuit</v>
      </c>
      <c r="I84" s="4385" t="str">
        <f>HYPERLINK("#"&amp;ADDRESS(ROW(G84),COLUMN(G84),4),_xlfn.UNICHAR(128269)&amp;"cellule "&amp;ADDRESS(ROW(G84),COLUMN(G84),4))</f>
        <v>🔍cellule G84</v>
      </c>
      <c r="J84" s="4373">
        <f>G84</f>
        <v>2.4E-2</v>
      </c>
      <c r="K84" s="4362" t="str">
        <f ca="1">_xlfn.FORMULATEXT(G84)</f>
        <v>=SI(F84=D97;E84-(E84*F82%);SI(F84=D98;E84/(100-F82)*100))</v>
      </c>
      <c r="L84" s="4325"/>
      <c r="M84" s="4325"/>
      <c r="N84" s="4325"/>
      <c r="O84" s="4374"/>
      <c r="P84" s="4374"/>
      <c r="Q84" s="4322">
        <v>1</v>
      </c>
      <c r="R84" s="4322">
        <v>1</v>
      </c>
      <c r="S84" s="4322">
        <v>1</v>
      </c>
      <c r="T84" s="4322"/>
      <c r="U84" s="4513">
        <v>1</v>
      </c>
    </row>
    <row r="85" spans="1:21">
      <c r="A85" s="4322">
        <v>1</v>
      </c>
      <c r="B85" s="6492"/>
      <c r="C85" s="4374"/>
      <c r="D85" s="4419" t="s">
        <v>7695</v>
      </c>
      <c r="E85" s="4420">
        <v>1200</v>
      </c>
      <c r="F85" s="4421" t="s">
        <v>50</v>
      </c>
      <c r="G85" s="4374"/>
      <c r="H85" s="4422"/>
      <c r="I85" s="634"/>
      <c r="J85" s="4405"/>
      <c r="K85" s="4374"/>
      <c r="L85" s="4325"/>
      <c r="M85" s="4325"/>
      <c r="N85" s="4325"/>
      <c r="O85" s="4374"/>
      <c r="P85" s="4374"/>
      <c r="Q85" s="4322">
        <v>1</v>
      </c>
      <c r="R85" s="4322">
        <v>1</v>
      </c>
      <c r="S85" s="4322">
        <v>1</v>
      </c>
      <c r="T85" s="4322"/>
      <c r="U85" s="4513">
        <v>1</v>
      </c>
    </row>
    <row r="86" spans="1:21">
      <c r="A86" s="4322">
        <v>1</v>
      </c>
      <c r="B86" s="6492"/>
      <c r="C86" s="4374"/>
      <c r="D86" s="4374"/>
      <c r="E86" s="4374"/>
      <c r="F86" s="4374"/>
      <c r="G86" s="4374"/>
      <c r="H86" s="4398"/>
      <c r="I86" s="634"/>
      <c r="J86" s="4405"/>
      <c r="K86" s="4374"/>
      <c r="L86" s="4325"/>
      <c r="M86" s="4325"/>
      <c r="N86" s="4325"/>
      <c r="O86" s="4374"/>
      <c r="P86" s="4374"/>
      <c r="Q86" s="4322">
        <v>1</v>
      </c>
      <c r="R86" s="4322">
        <v>1</v>
      </c>
      <c r="S86" s="4322">
        <v>1</v>
      </c>
      <c r="T86" s="4322"/>
      <c r="U86" s="4513">
        <v>1</v>
      </c>
    </row>
    <row r="87" spans="1:21">
      <c r="A87" s="4322">
        <v>1</v>
      </c>
      <c r="B87" s="6492"/>
      <c r="C87" s="4374"/>
      <c r="D87" s="4423" t="s">
        <v>7696</v>
      </c>
      <c r="E87" s="4424">
        <f>IF(E81=0,0,E84*E85)</f>
        <v>57.6</v>
      </c>
      <c r="F87" s="4425" t="str">
        <f>F81</f>
        <v>❹ Kg cru</v>
      </c>
      <c r="G87" s="4426">
        <f>IF(E81=0,0,G84*E85)</f>
        <v>28.8</v>
      </c>
      <c r="H87" s="4427" t="str">
        <f>H84</f>
        <v>❺ Kg cuit</v>
      </c>
      <c r="I87" s="4385" t="str">
        <f>HYPERLINK("#"&amp;ADDRESS(ROW(E87),COLUMN(E87),4),_xlfn.UNICHAR(128269)&amp;"cellule "&amp;ADDRESS(ROW(E87),COLUMN(E87),4))</f>
        <v>🔍cellule E87</v>
      </c>
      <c r="J87" s="4424">
        <f>E87</f>
        <v>57.6</v>
      </c>
      <c r="K87" s="4362" t="str">
        <f ca="1">_xlfn.FORMULATEXT(E87)</f>
        <v>=SI(E81=0;0;E84*E85)</v>
      </c>
      <c r="L87" s="4325"/>
      <c r="M87" s="4325"/>
      <c r="N87" s="4325"/>
      <c r="O87" s="4374"/>
      <c r="P87" s="4374"/>
      <c r="Q87" s="4322">
        <v>1</v>
      </c>
      <c r="R87" s="4322">
        <v>1</v>
      </c>
      <c r="S87" s="4322">
        <v>1</v>
      </c>
      <c r="T87" s="4322"/>
      <c r="U87" s="4513">
        <v>1</v>
      </c>
    </row>
    <row r="88" spans="1:21">
      <c r="A88" s="4322">
        <v>1</v>
      </c>
      <c r="B88" s="6492"/>
      <c r="C88" s="4325"/>
      <c r="D88" s="4428" t="s">
        <v>7697</v>
      </c>
      <c r="E88" s="4429">
        <f>IF(E81=0,0,IF(MOD(E87,E81)&gt;MOD(E87,E81)/2,INT(E87/E81)+1,INT(E87/E81)))</f>
        <v>47</v>
      </c>
      <c r="F88" s="4430" t="s">
        <v>7698</v>
      </c>
      <c r="G88" s="4431">
        <f>IF(ISBLANK(E84),0,E81/E84)</f>
        <v>26.041666666666668</v>
      </c>
      <c r="H88" s="4398"/>
      <c r="I88" s="4385" t="str">
        <f>HYPERLINK("#"&amp;ADDRESS(ROW(E88),COLUMN(E88),4),_xlfn.UNICHAR(128269)&amp;"cellule "&amp;ADDRESS(ROW(E88),COLUMN(E88),4))</f>
        <v>🔍cellule E88</v>
      </c>
      <c r="J88" s="4429">
        <f>E88</f>
        <v>47</v>
      </c>
      <c r="K88" s="4362" t="str">
        <f ca="1">_xlfn.FORMULATEXT(E88)</f>
        <v>=SI(E81=0;0;SI(MOD(E87;E81)&gt;MOD(E87;E81)/2;ENT(E87/E81)+1;ENT(E87/E81)))</v>
      </c>
      <c r="L88" s="4325"/>
      <c r="M88" s="4325"/>
      <c r="N88" s="4325"/>
      <c r="O88" s="4374"/>
      <c r="P88" s="4374"/>
      <c r="Q88" s="4322">
        <v>1</v>
      </c>
      <c r="R88" s="4322">
        <v>1</v>
      </c>
      <c r="S88" s="4322">
        <v>1</v>
      </c>
      <c r="T88" s="4322"/>
      <c r="U88" s="4513">
        <v>1</v>
      </c>
    </row>
    <row r="89" spans="1:21">
      <c r="A89" s="4322">
        <v>1</v>
      </c>
      <c r="B89" s="6492"/>
      <c r="C89" s="4374"/>
      <c r="D89" s="4428"/>
      <c r="E89" s="4429"/>
      <c r="F89" s="4432"/>
      <c r="G89" s="4431"/>
      <c r="H89" s="4398"/>
      <c r="I89" s="4385" t="str">
        <f>HYPERLINK("#"&amp;ADDRESS(ROW(G88),COLUMN(G88),4),_xlfn.UNICHAR(128269)&amp;"cellule "&amp;ADDRESS(ROW(G88),COLUMN(G88),4))</f>
        <v>🔍cellule G88</v>
      </c>
      <c r="J89" s="4431">
        <f>G88</f>
        <v>26.041666666666668</v>
      </c>
      <c r="K89" s="4362" t="str">
        <f ca="1">_xlfn.FORMULATEXT(G88)</f>
        <v>=SI(ESTVIDE(E84);0;E81/E84)</v>
      </c>
      <c r="L89" s="4325"/>
      <c r="M89" s="4325"/>
      <c r="N89" s="4325"/>
      <c r="O89" s="4374"/>
      <c r="P89" s="4374"/>
      <c r="Q89" s="4322">
        <v>1</v>
      </c>
      <c r="R89" s="4322">
        <v>1</v>
      </c>
      <c r="S89" s="4322">
        <v>1</v>
      </c>
      <c r="T89" s="4322"/>
      <c r="U89" s="4513">
        <v>1</v>
      </c>
    </row>
    <row r="90" spans="1:21">
      <c r="A90" s="4322">
        <v>1</v>
      </c>
      <c r="B90" s="6492"/>
      <c r="C90" s="6481" t="s">
        <v>1386</v>
      </c>
      <c r="D90" s="6481"/>
      <c r="E90" s="6481"/>
      <c r="F90" s="6481"/>
      <c r="G90" s="6481"/>
      <c r="H90" s="6482"/>
      <c r="I90" s="4322">
        <v>1</v>
      </c>
      <c r="J90" s="4322">
        <v>1</v>
      </c>
      <c r="K90" s="4322">
        <v>1</v>
      </c>
      <c r="L90" s="4322">
        <v>1</v>
      </c>
      <c r="M90" s="4322">
        <v>1</v>
      </c>
      <c r="N90" s="4322">
        <v>1</v>
      </c>
      <c r="O90" s="4322">
        <v>1</v>
      </c>
      <c r="P90" s="4322">
        <v>1</v>
      </c>
      <c r="Q90" s="4322">
        <v>1</v>
      </c>
      <c r="R90" s="4322">
        <v>1</v>
      </c>
      <c r="S90" s="4322">
        <v>1</v>
      </c>
      <c r="T90" s="4322"/>
      <c r="U90" s="4513">
        <v>1</v>
      </c>
    </row>
    <row r="91" spans="1:21">
      <c r="A91" s="4322">
        <v>1</v>
      </c>
      <c r="B91" s="6492"/>
      <c r="C91" s="6481"/>
      <c r="D91" s="6481"/>
      <c r="E91" s="6481"/>
      <c r="F91" s="6481"/>
      <c r="G91" s="6481"/>
      <c r="H91" s="6482"/>
      <c r="I91" s="4322">
        <v>1</v>
      </c>
      <c r="J91" s="4322">
        <v>1</v>
      </c>
      <c r="K91" s="4322">
        <v>1</v>
      </c>
      <c r="L91" s="4322">
        <v>1</v>
      </c>
      <c r="M91" s="4322">
        <v>1</v>
      </c>
      <c r="N91" s="4322">
        <v>1</v>
      </c>
      <c r="O91" s="4322">
        <v>1</v>
      </c>
      <c r="P91" s="4322">
        <v>1</v>
      </c>
      <c r="Q91" s="4322">
        <v>1</v>
      </c>
      <c r="R91" s="4322">
        <v>1</v>
      </c>
      <c r="S91" s="4322">
        <v>1</v>
      </c>
      <c r="T91" s="4322"/>
      <c r="U91" s="4513">
        <v>1</v>
      </c>
    </row>
    <row r="92" spans="1:21">
      <c r="A92" s="4322">
        <v>1</v>
      </c>
      <c r="B92" s="6492"/>
      <c r="C92" s="4433" t="s">
        <v>7771</v>
      </c>
      <c r="D92" s="4434"/>
      <c r="E92" s="4434"/>
      <c r="F92" s="4434"/>
      <c r="G92" s="4434"/>
      <c r="H92" s="4435"/>
      <c r="I92" s="4322">
        <v>1</v>
      </c>
      <c r="J92" s="4322">
        <v>1</v>
      </c>
      <c r="K92" s="4322">
        <v>1</v>
      </c>
      <c r="L92" s="4322">
        <v>1</v>
      </c>
      <c r="M92" s="4322">
        <v>1</v>
      </c>
      <c r="N92" s="4322">
        <v>1</v>
      </c>
      <c r="O92" s="4322">
        <v>1</v>
      </c>
      <c r="P92" s="4322">
        <v>1</v>
      </c>
      <c r="Q92" s="4322">
        <v>1</v>
      </c>
      <c r="R92" s="4322">
        <v>1</v>
      </c>
      <c r="S92" s="4322">
        <v>1</v>
      </c>
      <c r="T92" s="4322"/>
      <c r="U92" s="4513">
        <v>1</v>
      </c>
    </row>
    <row r="93" spans="1:21">
      <c r="A93" s="4322">
        <v>1</v>
      </c>
      <c r="B93" s="6492"/>
      <c r="C93" s="6496" t="s">
        <v>7700</v>
      </c>
      <c r="D93" s="6496"/>
      <c r="E93" s="6496"/>
      <c r="F93" s="6496"/>
      <c r="G93" s="6496"/>
      <c r="H93" s="6497"/>
      <c r="I93" s="4322">
        <v>1</v>
      </c>
      <c r="J93" s="4322">
        <v>1</v>
      </c>
      <c r="K93" s="4322">
        <v>1</v>
      </c>
      <c r="L93" s="4322">
        <v>1</v>
      </c>
      <c r="M93" s="4322">
        <v>1</v>
      </c>
      <c r="N93" s="4322">
        <v>1</v>
      </c>
      <c r="O93" s="4322">
        <v>1</v>
      </c>
      <c r="P93" s="4322">
        <v>1</v>
      </c>
      <c r="Q93" s="4322">
        <v>1</v>
      </c>
      <c r="R93" s="4322">
        <v>1</v>
      </c>
      <c r="S93" s="4322">
        <v>1</v>
      </c>
      <c r="T93" s="4322"/>
      <c r="U93" s="4513">
        <v>1</v>
      </c>
    </row>
    <row r="94" spans="1:21">
      <c r="A94" s="4322">
        <v>1</v>
      </c>
      <c r="B94" s="6492"/>
      <c r="C94" s="4442" t="s">
        <v>7702</v>
      </c>
      <c r="D94" s="4374"/>
      <c r="E94" s="4374"/>
      <c r="F94" s="4372" t="s">
        <v>7703</v>
      </c>
      <c r="G94" s="4374"/>
      <c r="H94" s="4398"/>
      <c r="I94" s="4322">
        <v>1</v>
      </c>
      <c r="J94" s="4322">
        <v>1</v>
      </c>
      <c r="K94" s="4322">
        <v>1</v>
      </c>
      <c r="L94" s="4322">
        <v>1</v>
      </c>
      <c r="M94" s="4322">
        <v>1</v>
      </c>
      <c r="N94" s="4322">
        <v>1</v>
      </c>
      <c r="O94" s="4322">
        <v>1</v>
      </c>
      <c r="P94" s="4322">
        <v>1</v>
      </c>
      <c r="Q94" s="4322">
        <v>1</v>
      </c>
      <c r="R94" s="4322">
        <v>1</v>
      </c>
      <c r="S94" s="4322">
        <v>1</v>
      </c>
      <c r="T94" s="4322"/>
      <c r="U94" s="4513">
        <v>1</v>
      </c>
    </row>
    <row r="95" spans="1:21">
      <c r="A95" s="4322">
        <v>1</v>
      </c>
      <c r="B95" s="6492"/>
      <c r="C95" s="4443" t="s">
        <v>7690</v>
      </c>
      <c r="D95" s="4374"/>
      <c r="E95" s="4374"/>
      <c r="F95" s="4444" t="s">
        <v>7705</v>
      </c>
      <c r="G95" s="4374"/>
      <c r="H95" s="4398"/>
      <c r="I95" s="4322">
        <v>1</v>
      </c>
      <c r="J95" s="4322">
        <v>1</v>
      </c>
      <c r="K95" s="4322">
        <v>1</v>
      </c>
      <c r="L95" s="4322">
        <v>1</v>
      </c>
      <c r="M95" s="4322">
        <v>1</v>
      </c>
      <c r="N95" s="4322">
        <v>1</v>
      </c>
      <c r="O95" s="4322">
        <v>1</v>
      </c>
      <c r="P95" s="4322">
        <v>1</v>
      </c>
      <c r="Q95" s="4322">
        <v>1</v>
      </c>
      <c r="R95" s="4322">
        <v>1</v>
      </c>
      <c r="S95" s="4322">
        <v>1</v>
      </c>
      <c r="T95" s="4322">
        <v>1</v>
      </c>
      <c r="U95" s="4513">
        <v>1</v>
      </c>
    </row>
    <row r="96" spans="1:21">
      <c r="A96" s="4322">
        <v>1</v>
      </c>
      <c r="B96" s="6492"/>
      <c r="C96" s="4445" t="s">
        <v>7707</v>
      </c>
      <c r="D96" s="4374"/>
      <c r="E96" s="4374"/>
      <c r="F96" s="4446" t="s">
        <v>7708</v>
      </c>
      <c r="G96" s="4374"/>
      <c r="H96" s="4398"/>
      <c r="I96" s="4322">
        <v>1</v>
      </c>
      <c r="J96" s="4322">
        <v>1</v>
      </c>
      <c r="K96" s="4322">
        <v>1</v>
      </c>
      <c r="L96" s="4322">
        <v>1</v>
      </c>
      <c r="M96" s="4322">
        <v>1</v>
      </c>
      <c r="N96" s="4322">
        <v>1</v>
      </c>
      <c r="O96" s="4322">
        <v>1</v>
      </c>
      <c r="P96" s="4322">
        <v>1</v>
      </c>
      <c r="Q96" s="4322">
        <v>1</v>
      </c>
      <c r="R96" s="4322">
        <v>1</v>
      </c>
      <c r="S96" s="4322">
        <v>1</v>
      </c>
      <c r="T96" s="4322">
        <v>1</v>
      </c>
      <c r="U96" s="4513">
        <v>1</v>
      </c>
    </row>
    <row r="97" spans="1:21">
      <c r="A97" s="4322">
        <v>1</v>
      </c>
      <c r="B97" s="6492"/>
      <c r="C97" s="4372"/>
      <c r="D97" s="4409" t="s">
        <v>7683</v>
      </c>
      <c r="E97" s="4374"/>
      <c r="F97" s="4450" t="s">
        <v>7710</v>
      </c>
      <c r="G97" s="4374"/>
      <c r="H97" s="4398"/>
      <c r="I97" s="4322">
        <v>1</v>
      </c>
      <c r="J97" s="4322">
        <v>1</v>
      </c>
      <c r="K97" s="4322">
        <v>1</v>
      </c>
      <c r="L97" s="4322">
        <v>1</v>
      </c>
      <c r="M97" s="4322">
        <v>1</v>
      </c>
      <c r="N97" s="4322">
        <v>1</v>
      </c>
      <c r="O97" s="4322">
        <v>1</v>
      </c>
      <c r="P97" s="4322">
        <v>1</v>
      </c>
      <c r="Q97" s="4322">
        <v>1</v>
      </c>
      <c r="R97" s="4322">
        <v>1</v>
      </c>
      <c r="S97" s="4322">
        <v>1</v>
      </c>
      <c r="T97" s="4515">
        <v>1</v>
      </c>
      <c r="U97" s="4513">
        <v>1</v>
      </c>
    </row>
    <row r="98" spans="1:21">
      <c r="A98" s="4322">
        <v>1</v>
      </c>
      <c r="B98" s="6492"/>
      <c r="C98" s="4375"/>
      <c r="D98" s="4453" t="s">
        <v>7685</v>
      </c>
      <c r="E98" s="4374"/>
      <c r="F98" s="4454" t="s">
        <v>7712</v>
      </c>
      <c r="G98" s="4374"/>
      <c r="H98" s="4398"/>
      <c r="I98" s="4322">
        <v>1</v>
      </c>
      <c r="J98" s="4322">
        <v>1</v>
      </c>
      <c r="K98" s="4322">
        <v>1</v>
      </c>
      <c r="L98" s="4322">
        <v>1</v>
      </c>
      <c r="M98" s="4322">
        <v>1</v>
      </c>
      <c r="N98" s="4322">
        <v>1</v>
      </c>
      <c r="O98" s="4322">
        <v>1</v>
      </c>
      <c r="P98" s="4322">
        <v>1</v>
      </c>
      <c r="Q98" s="4322">
        <v>1</v>
      </c>
      <c r="R98" s="4322">
        <v>1</v>
      </c>
      <c r="S98" s="4322">
        <v>1</v>
      </c>
      <c r="T98" s="4322">
        <v>1</v>
      </c>
      <c r="U98" s="4513">
        <v>1</v>
      </c>
    </row>
    <row r="99" spans="1:21">
      <c r="A99" s="4322">
        <v>1</v>
      </c>
      <c r="B99" s="6492"/>
      <c r="C99" s="4456"/>
      <c r="D99" s="4374"/>
      <c r="E99" s="4457" t="s">
        <v>7714</v>
      </c>
      <c r="F99" s="4454"/>
      <c r="G99" s="4456" t="s">
        <v>7715</v>
      </c>
      <c r="H99" s="4458" t="str">
        <f>ADDRESS(ROW(F81),COLUMN(F81),4)</f>
        <v>F81</v>
      </c>
      <c r="I99" s="4322">
        <v>1</v>
      </c>
      <c r="J99" s="4322">
        <v>1</v>
      </c>
      <c r="K99" s="4322">
        <v>1</v>
      </c>
      <c r="L99" s="4322">
        <v>1</v>
      </c>
      <c r="M99" s="4322">
        <v>1</v>
      </c>
      <c r="N99" s="4322">
        <v>1</v>
      </c>
      <c r="O99" s="4322">
        <v>1</v>
      </c>
      <c r="P99" s="4322">
        <v>1</v>
      </c>
      <c r="Q99" s="4322">
        <v>1</v>
      </c>
      <c r="R99" s="4322">
        <v>1</v>
      </c>
      <c r="S99" s="4322">
        <v>1</v>
      </c>
      <c r="T99" s="4322">
        <v>1</v>
      </c>
      <c r="U99" s="4513">
        <v>1</v>
      </c>
    </row>
    <row r="100" spans="1:21" ht="16.5" thickBot="1">
      <c r="A100" s="4322">
        <v>1</v>
      </c>
      <c r="B100" s="6493"/>
      <c r="C100" s="4448" t="s">
        <v>7716</v>
      </c>
      <c r="D100" s="4459"/>
      <c r="E100" s="4460"/>
      <c r="F100" s="4448" t="s">
        <v>7717</v>
      </c>
      <c r="G100" s="4461"/>
      <c r="H100" s="4462"/>
      <c r="I100" s="4322">
        <v>1</v>
      </c>
      <c r="J100" s="4322">
        <v>1</v>
      </c>
      <c r="K100" s="4322">
        <v>1</v>
      </c>
      <c r="L100" s="4322">
        <v>1</v>
      </c>
      <c r="M100" s="4322">
        <v>1</v>
      </c>
      <c r="N100" s="4322">
        <v>1</v>
      </c>
      <c r="O100" s="4322">
        <v>1</v>
      </c>
      <c r="U100" s="4513">
        <v>1</v>
      </c>
    </row>
    <row r="101" spans="1:21">
      <c r="A101" s="4322">
        <v>1</v>
      </c>
      <c r="B101" s="4451">
        <v>3</v>
      </c>
      <c r="C101" s="4451">
        <v>11</v>
      </c>
      <c r="D101" s="4451">
        <v>11</v>
      </c>
      <c r="E101" s="4451">
        <v>11</v>
      </c>
      <c r="F101" s="4451">
        <v>11</v>
      </c>
      <c r="G101" s="4451">
        <v>11</v>
      </c>
      <c r="H101" s="4451">
        <v>11</v>
      </c>
      <c r="I101" s="4452" t="s">
        <v>7711</v>
      </c>
      <c r="J101" s="4325"/>
      <c r="K101" s="4325"/>
      <c r="L101" s="4322">
        <v>1</v>
      </c>
      <c r="M101" s="4322">
        <v>1</v>
      </c>
      <c r="N101" s="4322">
        <v>1</v>
      </c>
      <c r="O101" s="4322">
        <v>1</v>
      </c>
      <c r="P101" s="4322">
        <v>1</v>
      </c>
      <c r="Q101" s="4322">
        <v>1</v>
      </c>
      <c r="R101" s="4322">
        <v>1</v>
      </c>
      <c r="S101" s="4322">
        <v>1</v>
      </c>
      <c r="T101" s="4322">
        <v>1</v>
      </c>
      <c r="U101" s="4513">
        <v>1</v>
      </c>
    </row>
    <row r="102" spans="1:21">
      <c r="A102" s="4322">
        <v>1</v>
      </c>
      <c r="B102" s="4455">
        <f ca="1">CELL("largeur",B102)</f>
        <v>3</v>
      </c>
      <c r="C102" s="4455">
        <f ca="1">CELL("largeur",C102)</f>
        <v>11</v>
      </c>
      <c r="D102" s="4455">
        <f t="shared" ref="D102:H102" ca="1" si="1">CELL("largeur",D102)</f>
        <v>18</v>
      </c>
      <c r="E102" s="4455">
        <f t="shared" ca="1" si="1"/>
        <v>11</v>
      </c>
      <c r="F102" s="4455">
        <f t="shared" ca="1" si="1"/>
        <v>11</v>
      </c>
      <c r="G102" s="4455">
        <f t="shared" ca="1" si="1"/>
        <v>11</v>
      </c>
      <c r="H102" s="4455">
        <f t="shared" ca="1" si="1"/>
        <v>11</v>
      </c>
      <c r="I102" s="4452" t="s">
        <v>7713</v>
      </c>
      <c r="J102" s="4325"/>
      <c r="K102" s="4322">
        <v>1</v>
      </c>
      <c r="L102" s="4322">
        <v>1</v>
      </c>
      <c r="M102" s="4322">
        <v>1</v>
      </c>
      <c r="N102" s="4322">
        <v>1</v>
      </c>
      <c r="O102" s="4322">
        <v>1</v>
      </c>
      <c r="P102" s="4322">
        <v>1</v>
      </c>
      <c r="Q102" s="4322">
        <v>1</v>
      </c>
      <c r="R102" s="4322">
        <v>1</v>
      </c>
      <c r="S102" s="4322">
        <v>1</v>
      </c>
      <c r="T102" s="4322">
        <v>1</v>
      </c>
      <c r="U102" s="4513">
        <v>1</v>
      </c>
    </row>
    <row r="103" spans="1:21">
      <c r="A103" s="4322">
        <v>1</v>
      </c>
      <c r="B103" s="4322"/>
      <c r="C103" s="4322">
        <v>1</v>
      </c>
      <c r="D103" s="4322">
        <v>1</v>
      </c>
      <c r="E103" s="4322">
        <v>1</v>
      </c>
      <c r="F103" s="4322">
        <v>1</v>
      </c>
      <c r="G103" s="4322">
        <v>1</v>
      </c>
      <c r="H103" s="4322">
        <v>1</v>
      </c>
      <c r="I103" s="4322">
        <v>1</v>
      </c>
      <c r="J103" s="4322">
        <v>1</v>
      </c>
      <c r="K103" s="4463" t="s">
        <v>7679</v>
      </c>
      <c r="L103" s="4322"/>
      <c r="M103" s="4322"/>
      <c r="N103" s="4322"/>
      <c r="O103" s="4322"/>
      <c r="P103" s="4322">
        <v>1</v>
      </c>
      <c r="Q103" s="4322">
        <v>1</v>
      </c>
      <c r="R103" s="4322">
        <v>1</v>
      </c>
      <c r="S103" s="4322">
        <v>1</v>
      </c>
      <c r="T103" s="4322">
        <v>1</v>
      </c>
      <c r="U103" s="4513">
        <v>1</v>
      </c>
    </row>
    <row r="104" spans="1:21" ht="16.5" thickBot="1">
      <c r="A104" s="4322"/>
      <c r="B104" s="4324" t="s">
        <v>7732</v>
      </c>
      <c r="C104" s="4324"/>
      <c r="D104" s="4322"/>
      <c r="E104" s="4322"/>
      <c r="F104" s="4322"/>
      <c r="G104" s="4322"/>
      <c r="H104" s="4322"/>
      <c r="I104" s="4464" t="s">
        <v>7718</v>
      </c>
      <c r="J104" s="4322"/>
      <c r="K104" s="4463" t="s">
        <v>7681</v>
      </c>
      <c r="L104" s="4322"/>
      <c r="M104" s="4322"/>
      <c r="N104" s="4322"/>
      <c r="O104" s="4322"/>
      <c r="P104" s="4322">
        <v>1</v>
      </c>
      <c r="Q104" s="4322">
        <v>1</v>
      </c>
      <c r="R104" s="4322">
        <v>1</v>
      </c>
      <c r="S104" s="4322">
        <v>1</v>
      </c>
      <c r="T104" s="4322">
        <v>1</v>
      </c>
      <c r="U104" s="4513">
        <v>1</v>
      </c>
    </row>
    <row r="105" spans="1:21" ht="23.25">
      <c r="A105" s="4322">
        <v>1</v>
      </c>
      <c r="B105" s="6478" t="s">
        <v>70</v>
      </c>
      <c r="C105" s="6485" t="s">
        <v>7686</v>
      </c>
      <c r="D105" s="6485"/>
      <c r="E105" s="6485"/>
      <c r="F105" s="6485"/>
      <c r="G105" s="4465"/>
      <c r="H105" s="4466" t="str">
        <f>E113</f>
        <v>❻ Foisonnement</v>
      </c>
      <c r="I105" s="4467" t="s">
        <v>7719</v>
      </c>
      <c r="J105" s="4325"/>
      <c r="K105" s="4325"/>
      <c r="L105" s="4468" t="s">
        <v>7720</v>
      </c>
      <c r="M105" s="4322"/>
      <c r="N105" s="4322"/>
      <c r="O105" s="4322"/>
      <c r="P105" s="4322">
        <v>1</v>
      </c>
      <c r="Q105" s="4322">
        <v>1</v>
      </c>
      <c r="R105" s="4322">
        <v>1</v>
      </c>
      <c r="S105" s="4322">
        <v>1</v>
      </c>
      <c r="T105" s="4322">
        <v>1</v>
      </c>
      <c r="U105" s="4513">
        <v>1</v>
      </c>
    </row>
    <row r="106" spans="1:21">
      <c r="A106" s="4322"/>
      <c r="B106" s="6479"/>
      <c r="C106" s="4469"/>
      <c r="D106" s="4469"/>
      <c r="E106" s="4470"/>
      <c r="F106" s="4471" t="s">
        <v>7721</v>
      </c>
      <c r="G106" s="4472" t="str">
        <f>IF(F112=D128,"CRU- Brut ou à cuire","CUIT - Net à servir")</f>
        <v>CUIT - Net à servir</v>
      </c>
      <c r="H106" s="4473"/>
      <c r="I106" s="4474" t="str">
        <f>HYPERLINK("#"&amp;ADDRESS(ROW(G106),COLUMN(G106),4),"◀"&amp;ADDRESS(ROW(G106),COLUMN(G106),4))</f>
        <v>◀G106</v>
      </c>
      <c r="J106" s="4475" t="str">
        <f>G106</f>
        <v>CUIT - Net à servir</v>
      </c>
      <c r="K106" s="4362" t="str">
        <f ca="1">_xlfn.FORMULATEXT(G106)</f>
        <v>=SI(F112=D128;"CRU- Brut ou à cuire";"CUIT - Net à servir")</v>
      </c>
      <c r="L106" s="4322"/>
      <c r="M106" s="4322"/>
      <c r="N106" s="4322"/>
      <c r="O106" s="4322"/>
      <c r="P106" s="4322"/>
      <c r="Q106" s="4322">
        <v>1</v>
      </c>
      <c r="R106" s="4322">
        <v>1</v>
      </c>
      <c r="S106" s="4322">
        <v>1</v>
      </c>
      <c r="T106" s="4322">
        <v>1</v>
      </c>
      <c r="U106" s="4513">
        <v>1</v>
      </c>
    </row>
    <row r="107" spans="1:21" ht="23.25">
      <c r="A107" s="4322"/>
      <c r="B107" s="6486" t="str">
        <f>C105</f>
        <v>Nombre de contenants</v>
      </c>
      <c r="C107" s="6488" t="str">
        <f>D109</f>
        <v>Semoule (poids cru)</v>
      </c>
      <c r="D107" s="6488"/>
      <c r="E107" s="6488"/>
      <c r="F107" s="6488"/>
      <c r="G107" s="6488"/>
      <c r="H107" s="6489"/>
      <c r="I107" s="4474" t="str">
        <f>HYPERLINK("#"&amp;ADDRESS(ROW(E108),COLUMN(E108),4),"◀"&amp;ADDRESS(ROW(E108),COLUMN(E108),4))</f>
        <v>◀E108</v>
      </c>
      <c r="J107" s="4476">
        <f>E108</f>
        <v>5</v>
      </c>
      <c r="K107" s="4362" t="str">
        <f ca="1">_xlfn.FORMULATEXT(E108)</f>
        <v>=ENT(E118/E112)</v>
      </c>
      <c r="L107" s="4322"/>
      <c r="M107" s="4322"/>
      <c r="N107" s="4322"/>
      <c r="O107" s="4322"/>
      <c r="P107" s="4322"/>
      <c r="Q107" s="4322">
        <v>1</v>
      </c>
      <c r="R107" s="4322">
        <v>1</v>
      </c>
      <c r="S107" s="4322">
        <v>1</v>
      </c>
      <c r="T107" s="4322">
        <v>1</v>
      </c>
      <c r="U107" s="4513">
        <v>1</v>
      </c>
    </row>
    <row r="108" spans="1:21">
      <c r="A108" s="4322"/>
      <c r="B108" s="6486"/>
      <c r="C108" s="4477"/>
      <c r="D108" s="4478" t="s">
        <v>7688</v>
      </c>
      <c r="E108" s="4479">
        <f>INT(E118/E112)</f>
        <v>5</v>
      </c>
      <c r="F108" s="4480">
        <f>IF(E108=0,0,IF(E119=0,0,E112))</f>
        <v>1</v>
      </c>
      <c r="G108" s="4481" t="str">
        <f>IF(F108*E108=0,"1 de",IF(E118=0,0,IF(E112=0,0,IF(F108*E108=E118,"",IF(H108&gt;0,"Plus 1 de")))))</f>
        <v/>
      </c>
      <c r="H108" s="4482" t="str">
        <f>IF(E112=0,0,IF(F108*E108=E118,"",MOD(E118,E112)))</f>
        <v/>
      </c>
      <c r="I108" s="4474" t="str">
        <f>HYPERLINK("#"&amp;ADDRESS(ROW(F108),COLUMN(F108),4),"◀"&amp;ADDRESS(ROW(F108),COLUMN(F108),4))</f>
        <v>◀F108</v>
      </c>
      <c r="J108" s="4483">
        <f>F108</f>
        <v>1</v>
      </c>
      <c r="K108" s="4362" t="str">
        <f ca="1">_xlfn.FORMULATEXT(F108)</f>
        <v>=SI(E108=0;0;SI(E119=0;0;E112))</v>
      </c>
      <c r="L108" s="4322"/>
      <c r="M108" s="4322"/>
      <c r="N108" s="4322"/>
      <c r="O108" s="4322"/>
      <c r="P108" s="4322"/>
      <c r="Q108" s="4322">
        <v>1</v>
      </c>
      <c r="R108" s="4322">
        <v>1</v>
      </c>
      <c r="S108" s="4322">
        <v>1</v>
      </c>
      <c r="T108" s="4322">
        <v>1</v>
      </c>
      <c r="U108" s="4513">
        <v>1</v>
      </c>
    </row>
    <row r="109" spans="1:21" ht="18.75">
      <c r="A109" s="4322"/>
      <c r="B109" s="6486"/>
      <c r="C109" s="4484" t="s">
        <v>7722</v>
      </c>
      <c r="D109" s="4485" t="s">
        <v>7723</v>
      </c>
      <c r="E109" s="4397"/>
      <c r="F109" s="4374"/>
      <c r="G109" s="4374"/>
      <c r="H109" s="4398"/>
      <c r="I109" s="4474" t="str">
        <f>HYPERLINK("#"&amp;ADDRESS(ROW(G108),COLUMN(G108),4),"◀"&amp;ADDRESS(ROW(G108),COLUMN(G108),4))</f>
        <v>◀G108</v>
      </c>
      <c r="J109" s="4486" t="str">
        <f>G108</f>
        <v/>
      </c>
      <c r="K109" s="4362" t="str">
        <f ca="1">_xlfn.FORMULATEXT(G108)</f>
        <v>=SI(F108*E108=0;"1 de";SI(E118=0;0;SI(E112=0;0;SI(F108*E108=E118;"";SI(H108&gt;0;"Plus 1 de")))))</v>
      </c>
      <c r="L109" s="4322"/>
      <c r="M109" s="4322"/>
      <c r="N109" s="4322"/>
      <c r="O109" s="4322"/>
      <c r="P109" s="4322"/>
      <c r="Q109" s="4322">
        <v>1</v>
      </c>
      <c r="R109" s="4322">
        <v>1</v>
      </c>
      <c r="S109" s="4322">
        <v>1</v>
      </c>
      <c r="T109" s="4322">
        <v>1</v>
      </c>
      <c r="U109" s="4513">
        <v>1</v>
      </c>
    </row>
    <row r="110" spans="1:21">
      <c r="A110" s="4322"/>
      <c r="B110" s="6486"/>
      <c r="C110" s="4374"/>
      <c r="D110" s="4374"/>
      <c r="E110" s="4400" t="s">
        <v>7690</v>
      </c>
      <c r="F110" s="6490" t="s">
        <v>7691</v>
      </c>
      <c r="G110" s="6490"/>
      <c r="H110" s="6491"/>
      <c r="I110" s="4474" t="str">
        <f>HYPERLINK("#"&amp;ADDRESS(ROW(H108),COLUMN(H108),4),"◀"&amp;ADDRESS(ROW(H108),COLUMN(H108),4))</f>
        <v>◀H108</v>
      </c>
      <c r="J110" s="4487" t="str">
        <f>H108</f>
        <v/>
      </c>
      <c r="K110" s="4362" t="str">
        <f ca="1">_xlfn.FORMULATEXT(H108)</f>
        <v>=SI(E112=0;0;SI(F108*E108=E118;"";MOD(E118;E112)))</v>
      </c>
      <c r="L110" s="4322"/>
      <c r="M110" s="4322"/>
      <c r="N110" s="4322"/>
      <c r="O110" s="4322"/>
      <c r="P110" s="4322"/>
      <c r="Q110" s="4322">
        <v>1</v>
      </c>
      <c r="R110" s="4322">
        <v>1</v>
      </c>
      <c r="S110" s="4322">
        <v>1</v>
      </c>
      <c r="T110" s="4322">
        <v>1</v>
      </c>
      <c r="U110" s="4513">
        <v>1</v>
      </c>
    </row>
    <row r="111" spans="1:21">
      <c r="A111" s="4322"/>
      <c r="B111" s="6486"/>
      <c r="C111" s="4374"/>
      <c r="D111" s="4402"/>
      <c r="E111" s="4403"/>
      <c r="F111" s="4404" t="s">
        <v>7692</v>
      </c>
      <c r="G111" s="4402"/>
      <c r="H111" s="4398"/>
      <c r="I111" s="4474"/>
      <c r="J111" s="4488"/>
      <c r="K111" s="4374"/>
      <c r="L111" s="4322"/>
      <c r="M111" s="4322"/>
      <c r="N111" s="4322"/>
      <c r="O111" s="4322"/>
      <c r="P111" s="4322"/>
      <c r="Q111" s="4322">
        <v>1</v>
      </c>
      <c r="R111" s="4322">
        <v>1</v>
      </c>
      <c r="S111" s="4322">
        <v>1</v>
      </c>
      <c r="T111" s="4322">
        <v>1</v>
      </c>
      <c r="U111" s="4513">
        <v>1</v>
      </c>
    </row>
    <row r="112" spans="1:21">
      <c r="A112" s="4322"/>
      <c r="B112" s="6486"/>
      <c r="C112" s="4406"/>
      <c r="D112" s="4407" t="s">
        <v>7693</v>
      </c>
      <c r="E112" s="4489">
        <v>1</v>
      </c>
      <c r="F112" s="4453" t="s">
        <v>7685</v>
      </c>
      <c r="G112" s="4410">
        <f>IF(F112=D128,E112*F113,IF(F112=D129,E112/F113))</f>
        <v>0.5</v>
      </c>
      <c r="H112" s="4411" t="str">
        <f>H115</f>
        <v>❹ Kg cru</v>
      </c>
      <c r="I112" s="4474" t="str">
        <f>HYPERLINK("#"&amp;ADDRESS(ROW(G112),COLUMN(G112),4),"◀"&amp;ADDRESS(ROW(G112),COLUMN(G112),4))</f>
        <v>◀G112</v>
      </c>
      <c r="J112" s="4373">
        <f>G112</f>
        <v>0.5</v>
      </c>
      <c r="K112" s="4362" t="str">
        <f ca="1">_xlfn.FORMULATEXT(G112)</f>
        <v>=SI(F112=D128;E112*F113;SI(F112=D129;E112/F113))</v>
      </c>
      <c r="L112" s="4322"/>
      <c r="M112" s="4322"/>
      <c r="N112" s="4322"/>
      <c r="O112" s="4322"/>
      <c r="P112" s="4322"/>
      <c r="Q112" s="4322">
        <v>1</v>
      </c>
      <c r="R112" s="4322">
        <v>1</v>
      </c>
      <c r="S112" s="4322">
        <v>1</v>
      </c>
      <c r="T112" s="4322">
        <v>1</v>
      </c>
      <c r="U112" s="4513">
        <v>1</v>
      </c>
    </row>
    <row r="113" spans="1:21">
      <c r="A113" s="4322"/>
      <c r="B113" s="6486"/>
      <c r="C113" s="4374"/>
      <c r="D113" s="4325"/>
      <c r="E113" s="4490" t="s">
        <v>7708</v>
      </c>
      <c r="F113" s="4491">
        <v>2</v>
      </c>
      <c r="G113" s="4492" t="str">
        <f>IF(F112=D128,"cru X par","cuit / par")</f>
        <v>cuit / par</v>
      </c>
      <c r="H113" s="4493">
        <f>F113</f>
        <v>2</v>
      </c>
      <c r="I113" s="4474" t="str">
        <f>HYPERLINK("#"&amp;ADDRESS(ROW(G113),COLUMN(G113),4),"◀"&amp;ADDRESS(ROW(G113),COLUMN(G113),4))</f>
        <v>◀G113</v>
      </c>
      <c r="J113" s="4494" t="str">
        <f>G113</f>
        <v>cuit / par</v>
      </c>
      <c r="K113" s="4362" t="str">
        <f ca="1">_xlfn.FORMULATEXT(G113)</f>
        <v>=SI(F112=D128;"cru X par";"cuit / par")</v>
      </c>
      <c r="L113" s="4322"/>
      <c r="M113" s="4322"/>
      <c r="N113" s="4322"/>
      <c r="O113" s="4322"/>
      <c r="P113" s="4322"/>
      <c r="Q113" s="4322">
        <v>1</v>
      </c>
      <c r="R113" s="4322">
        <v>1</v>
      </c>
      <c r="S113" s="4322">
        <v>1</v>
      </c>
      <c r="T113" s="4322">
        <v>1</v>
      </c>
      <c r="U113" s="4513">
        <v>1</v>
      </c>
    </row>
    <row r="114" spans="1:21">
      <c r="A114" s="4322"/>
      <c r="B114" s="6486"/>
      <c r="C114" s="4374"/>
      <c r="D114" s="4374"/>
      <c r="E114" s="4374"/>
      <c r="F114" s="4374"/>
      <c r="G114" s="4374"/>
      <c r="H114" s="4398"/>
      <c r="I114" s="4474"/>
      <c r="J114" s="4488"/>
      <c r="K114" s="4374"/>
      <c r="L114" s="4322"/>
      <c r="M114" s="4322"/>
      <c r="N114" s="4322"/>
      <c r="O114" s="4322"/>
      <c r="P114" s="4322"/>
      <c r="Q114" s="4322">
        <v>1</v>
      </c>
      <c r="R114" s="4322">
        <v>1</v>
      </c>
      <c r="S114" s="4322">
        <v>1</v>
      </c>
      <c r="T114" s="4322">
        <v>1</v>
      </c>
      <c r="U114" s="4513">
        <v>1</v>
      </c>
    </row>
    <row r="115" spans="1:21">
      <c r="A115" s="4322"/>
      <c r="B115" s="6486"/>
      <c r="C115" s="4374"/>
      <c r="D115" s="4415" t="s">
        <v>7694</v>
      </c>
      <c r="E115" s="4495">
        <v>0.05</v>
      </c>
      <c r="F115" s="4417" t="str">
        <f>F112</f>
        <v>❺ Kg cuit</v>
      </c>
      <c r="G115" s="4410">
        <f>IF(F112=D128,E115*F113,IF(F112=D129,E115/F113))</f>
        <v>2.5000000000000001E-2</v>
      </c>
      <c r="H115" s="4418" t="str">
        <f>IF(F115=D128,D129,D128)</f>
        <v>❹ Kg cru</v>
      </c>
      <c r="I115" s="4474" t="str">
        <f>HYPERLINK("#"&amp;ADDRESS(ROW(G115),COLUMN(G115),4),"◀"&amp;ADDRESS(ROW(G115),COLUMN(G115),4))</f>
        <v>◀G115</v>
      </c>
      <c r="J115" s="4373">
        <f>G115</f>
        <v>2.5000000000000001E-2</v>
      </c>
      <c r="K115" s="4496" t="str">
        <f ca="1">_xlfn.FORMULATEXT(G115)</f>
        <v>=SI(F112=D128;E115*F113;SI(F112=D129;E115/F113))</v>
      </c>
      <c r="L115" s="4322"/>
      <c r="M115" s="4322"/>
      <c r="N115" s="4322"/>
      <c r="O115" s="4322"/>
      <c r="P115" s="4322"/>
      <c r="Q115" s="4322">
        <v>1</v>
      </c>
      <c r="R115" s="4322">
        <v>1</v>
      </c>
      <c r="S115" s="4322">
        <v>1</v>
      </c>
      <c r="T115" s="4322">
        <v>1</v>
      </c>
      <c r="U115" s="4513">
        <v>1</v>
      </c>
    </row>
    <row r="116" spans="1:21">
      <c r="A116" s="4322"/>
      <c r="B116" s="6486"/>
      <c r="C116" s="4374"/>
      <c r="D116" s="4419" t="s">
        <v>7695</v>
      </c>
      <c r="E116" s="4497">
        <v>100</v>
      </c>
      <c r="F116" s="4498" t="s">
        <v>50</v>
      </c>
      <c r="G116" s="4374"/>
      <c r="H116" s="4422"/>
      <c r="I116" s="4474" t="str">
        <f>HYPERLINK("#"&amp;ADDRESS(ROW(H115),COLUMN(H115),4),"◀"&amp;ADDRESS(ROW(H115),COLUMN(H115),4))</f>
        <v>◀H115</v>
      </c>
      <c r="J116" s="4499" t="str">
        <f>H115</f>
        <v>❹ Kg cru</v>
      </c>
      <c r="K116" s="4362" t="str">
        <f ca="1">_xlfn.FORMULATEXT(H115)</f>
        <v>=SI(F115=D128;D129;D128)</v>
      </c>
      <c r="L116" s="4322"/>
      <c r="M116" s="4322"/>
      <c r="N116" s="4322"/>
      <c r="O116" s="4322"/>
      <c r="P116" s="4322"/>
      <c r="Q116" s="4322">
        <v>1</v>
      </c>
      <c r="R116" s="4322">
        <v>1</v>
      </c>
      <c r="S116" s="4322">
        <v>1</v>
      </c>
      <c r="T116" s="4322">
        <v>1</v>
      </c>
      <c r="U116" s="4513">
        <v>1</v>
      </c>
    </row>
    <row r="117" spans="1:21">
      <c r="A117" s="4322"/>
      <c r="B117" s="6486"/>
      <c r="C117" s="4374"/>
      <c r="D117" s="4374"/>
      <c r="E117" s="4374"/>
      <c r="F117" s="4374"/>
      <c r="G117" s="4374"/>
      <c r="H117" s="4398"/>
      <c r="I117" s="4474"/>
      <c r="J117" s="4488"/>
      <c r="K117" s="4374"/>
      <c r="L117" s="4322"/>
      <c r="M117" s="4322"/>
      <c r="N117" s="4322"/>
      <c r="O117" s="4322"/>
      <c r="P117" s="4322"/>
      <c r="Q117" s="4322">
        <v>1</v>
      </c>
      <c r="R117" s="4322">
        <v>1</v>
      </c>
      <c r="S117" s="4322">
        <v>1</v>
      </c>
      <c r="T117" s="4322">
        <v>1</v>
      </c>
      <c r="U117" s="4513">
        <v>1</v>
      </c>
    </row>
    <row r="118" spans="1:21">
      <c r="A118" s="4322"/>
      <c r="B118" s="6486"/>
      <c r="C118" s="4374"/>
      <c r="D118" s="4423" t="s">
        <v>7696</v>
      </c>
      <c r="E118" s="4424">
        <f>IF(E112=0,0,E115*E116)</f>
        <v>5</v>
      </c>
      <c r="F118" s="4425" t="str">
        <f>F112</f>
        <v>❺ Kg cuit</v>
      </c>
      <c r="G118" s="4426">
        <f>IF(E112=0,0,G115*E116)</f>
        <v>2.5</v>
      </c>
      <c r="H118" s="4427" t="str">
        <f>H115</f>
        <v>❹ Kg cru</v>
      </c>
      <c r="I118" s="4474" t="str">
        <f>HYPERLINK("#"&amp;ADDRESS(ROW(E118),COLUMN(E118),4),"◀"&amp;ADDRESS(ROW(E118),COLUMN(E118),4))</f>
        <v>◀E118</v>
      </c>
      <c r="J118" s="4424">
        <f>E118</f>
        <v>5</v>
      </c>
      <c r="K118" s="4362" t="str">
        <f ca="1">_xlfn.FORMULATEXT(E118)</f>
        <v>=SI(E112=0;0;E115*E116)</v>
      </c>
      <c r="L118" s="4322"/>
      <c r="M118" s="4500" t="str">
        <f>ADDRESS(ROW(G118),COLUMN(G118),4)</f>
        <v>G118</v>
      </c>
      <c r="N118" s="4362" t="str">
        <f ca="1">_xlfn.FORMULATEXT(G118)</f>
        <v>=SI(E112=0;0;G115*E116)</v>
      </c>
      <c r="O118" s="4322"/>
      <c r="P118" s="4322">
        <v>1</v>
      </c>
      <c r="Q118" s="4322">
        <v>1</v>
      </c>
      <c r="R118" s="4322">
        <v>1</v>
      </c>
      <c r="S118" s="4322">
        <v>1</v>
      </c>
      <c r="T118" s="4322">
        <v>1</v>
      </c>
      <c r="U118" s="4513">
        <v>1</v>
      </c>
    </row>
    <row r="119" spans="1:21">
      <c r="A119" s="4322"/>
      <c r="B119" s="6486"/>
      <c r="C119" s="4374"/>
      <c r="D119" s="4428" t="s">
        <v>7697</v>
      </c>
      <c r="E119" s="4429">
        <f>IF(E112=0,0,IF(MOD(E118,E112)&gt;MOD(E118,E112)/2,INT(E118/E112)+1,INT(E118/E112)))</f>
        <v>5</v>
      </c>
      <c r="F119" s="4432" t="s">
        <v>7698</v>
      </c>
      <c r="G119" s="4431">
        <f>IF(ISBLANK(E115),0,E112/E115)</f>
        <v>20</v>
      </c>
      <c r="H119" s="4398"/>
      <c r="I119" s="4474" t="str">
        <f>HYPERLINK("#"&amp;ADDRESS(ROW(E119),COLUMN(E119),4),"◀"&amp;ADDRESS(ROW(E119),COLUMN(E119),4))</f>
        <v>◀E119</v>
      </c>
      <c r="J119" s="4429">
        <f>E119</f>
        <v>5</v>
      </c>
      <c r="K119" s="4362" t="str">
        <f ca="1">_xlfn.FORMULATEXT(E119)</f>
        <v>=SI(E112=0;0;SI(MOD(E118;E112)&gt;MOD(E118;E112)/2;ENT(E118/E112)+1;ENT(E118/E112)))</v>
      </c>
      <c r="L119" s="4322"/>
      <c r="M119" s="4322"/>
      <c r="N119" s="4322"/>
      <c r="O119" s="4322"/>
      <c r="P119" s="4322">
        <v>1</v>
      </c>
      <c r="Q119" s="4502"/>
      <c r="R119" s="4502"/>
      <c r="S119" s="4502"/>
      <c r="T119" s="4502"/>
      <c r="U119" s="4516"/>
    </row>
    <row r="120" spans="1:21">
      <c r="A120" s="4322"/>
      <c r="B120" s="6486"/>
      <c r="C120" s="4374"/>
      <c r="D120" s="4428"/>
      <c r="E120" s="4429"/>
      <c r="F120" s="4432"/>
      <c r="G120" s="4431"/>
      <c r="H120" s="4398"/>
      <c r="I120" s="4474" t="str">
        <f>HYPERLINK("#"&amp;ADDRESS(ROW(G119),COLUMN(G119),4),"◀"&amp;ADDRESS(ROW(G119),COLUMN(G119),4))</f>
        <v>◀G119</v>
      </c>
      <c r="J120" s="4431">
        <f>G119</f>
        <v>20</v>
      </c>
      <c r="K120" s="4362" t="str">
        <f ca="1">_xlfn.FORMULATEXT(G119)</f>
        <v>=SI(ESTVIDE(E115);0;E112/E115)</v>
      </c>
      <c r="L120" s="4322"/>
      <c r="M120" s="4322"/>
      <c r="N120" s="4322"/>
      <c r="O120" s="4322"/>
      <c r="P120" s="4322">
        <v>1</v>
      </c>
      <c r="Q120" s="4502"/>
      <c r="R120" s="4502"/>
      <c r="S120" s="4502"/>
      <c r="T120" s="4502"/>
      <c r="U120" s="4516"/>
    </row>
    <row r="121" spans="1:21">
      <c r="A121" s="4322"/>
      <c r="B121" s="6486"/>
      <c r="C121" s="6481" t="s">
        <v>1386</v>
      </c>
      <c r="D121" s="6481"/>
      <c r="E121" s="6481"/>
      <c r="F121" s="6481"/>
      <c r="G121" s="6481"/>
      <c r="H121" s="6482"/>
      <c r="I121" s="4322">
        <v>1</v>
      </c>
      <c r="J121" s="4322">
        <v>1</v>
      </c>
      <c r="K121" s="4322">
        <v>1</v>
      </c>
      <c r="L121" s="4322">
        <v>1</v>
      </c>
      <c r="M121" s="4322">
        <v>1</v>
      </c>
      <c r="N121" s="4322">
        <v>1</v>
      </c>
      <c r="O121" s="4322">
        <v>1</v>
      </c>
      <c r="P121" s="4322">
        <v>1</v>
      </c>
      <c r="Q121" s="4502"/>
      <c r="R121" s="4502"/>
      <c r="S121" s="4502"/>
      <c r="T121" s="4502"/>
      <c r="U121" s="4516"/>
    </row>
    <row r="122" spans="1:21">
      <c r="A122" s="4322"/>
      <c r="B122" s="6486"/>
      <c r="C122" s="6481"/>
      <c r="D122" s="6481"/>
      <c r="E122" s="6481"/>
      <c r="F122" s="6481"/>
      <c r="G122" s="6481"/>
      <c r="H122" s="6482"/>
      <c r="I122" s="4322">
        <v>1</v>
      </c>
      <c r="J122" s="4322">
        <v>1</v>
      </c>
      <c r="K122" s="4322">
        <v>1</v>
      </c>
      <c r="L122" s="4322">
        <v>1</v>
      </c>
      <c r="M122" s="4322">
        <v>1</v>
      </c>
      <c r="N122" s="4322">
        <v>1</v>
      </c>
      <c r="O122" s="4322">
        <v>1</v>
      </c>
      <c r="P122" s="4322">
        <v>1</v>
      </c>
      <c r="Q122" s="4502"/>
      <c r="R122" s="4502"/>
      <c r="S122" s="4502"/>
      <c r="T122" s="4502"/>
      <c r="U122" s="4516"/>
    </row>
    <row r="123" spans="1:21">
      <c r="A123" s="4322"/>
      <c r="B123" s="6486"/>
      <c r="C123" s="4433" t="s">
        <v>7771</v>
      </c>
      <c r="D123" s="4434"/>
      <c r="E123" s="4434"/>
      <c r="F123" s="4434"/>
      <c r="G123" s="4434"/>
      <c r="H123" s="4435"/>
      <c r="I123" s="4322">
        <v>1</v>
      </c>
      <c r="J123" s="4322">
        <v>1</v>
      </c>
      <c r="K123" s="4322">
        <v>1</v>
      </c>
      <c r="L123" s="4322">
        <v>1</v>
      </c>
      <c r="M123" s="4322">
        <v>1</v>
      </c>
      <c r="N123" s="4322">
        <v>1</v>
      </c>
      <c r="O123" s="4322">
        <v>1</v>
      </c>
      <c r="P123" s="4322">
        <v>1</v>
      </c>
      <c r="Q123" s="4502"/>
      <c r="R123" s="4502"/>
      <c r="S123" s="4502"/>
      <c r="T123" s="4502"/>
      <c r="U123" s="4516"/>
    </row>
    <row r="124" spans="1:21">
      <c r="A124" s="4322"/>
      <c r="B124" s="6486"/>
      <c r="C124" s="6483" t="s">
        <v>7700</v>
      </c>
      <c r="D124" s="6483"/>
      <c r="E124" s="6483"/>
      <c r="F124" s="6483"/>
      <c r="G124" s="6483"/>
      <c r="H124" s="6484"/>
      <c r="I124" s="4322">
        <v>1</v>
      </c>
      <c r="J124" s="4322">
        <v>1</v>
      </c>
      <c r="K124" s="4322">
        <v>1</v>
      </c>
      <c r="L124" s="4322">
        <v>1</v>
      </c>
      <c r="M124" s="4322">
        <v>1</v>
      </c>
      <c r="N124" s="4322">
        <v>1</v>
      </c>
      <c r="O124" s="4322">
        <v>1</v>
      </c>
      <c r="Q124" s="4322"/>
      <c r="R124" s="4322"/>
      <c r="S124" s="4322"/>
      <c r="T124" s="4322"/>
      <c r="U124" s="4513"/>
    </row>
    <row r="125" spans="1:21">
      <c r="A125" s="4322"/>
      <c r="B125" s="6486"/>
      <c r="C125" s="4442" t="s">
        <v>7702</v>
      </c>
      <c r="D125" s="4374"/>
      <c r="E125" s="4374"/>
      <c r="F125" s="4446" t="s">
        <v>7708</v>
      </c>
      <c r="G125" s="4374"/>
      <c r="H125" s="4398"/>
      <c r="I125" s="4322">
        <v>1</v>
      </c>
      <c r="J125" s="4322">
        <v>1</v>
      </c>
      <c r="K125" s="4322">
        <v>1</v>
      </c>
      <c r="L125" s="4322">
        <v>1</v>
      </c>
      <c r="M125" s="4322">
        <v>1</v>
      </c>
      <c r="N125" s="4322">
        <v>1</v>
      </c>
      <c r="O125" s="4322">
        <v>1</v>
      </c>
      <c r="P125" s="4322">
        <v>1</v>
      </c>
      <c r="Q125" s="4322">
        <v>1</v>
      </c>
      <c r="R125" s="4322">
        <v>1</v>
      </c>
      <c r="S125" s="4322">
        <v>1</v>
      </c>
      <c r="T125" s="4322">
        <v>1</v>
      </c>
      <c r="U125" s="4513">
        <v>1</v>
      </c>
    </row>
    <row r="126" spans="1:21">
      <c r="A126" s="4322"/>
      <c r="B126" s="6486"/>
      <c r="C126" s="4443" t="s">
        <v>7690</v>
      </c>
      <c r="D126" s="4374"/>
      <c r="E126" s="4374"/>
      <c r="F126" s="4450" t="s">
        <v>7710</v>
      </c>
      <c r="G126" s="4374"/>
      <c r="H126" s="4398"/>
      <c r="I126" s="4322">
        <v>1</v>
      </c>
      <c r="J126" s="4322">
        <v>1</v>
      </c>
      <c r="K126" s="4322">
        <v>1</v>
      </c>
      <c r="L126" s="4322">
        <v>1</v>
      </c>
      <c r="M126" s="4322">
        <v>1</v>
      </c>
      <c r="N126" s="4322">
        <v>1</v>
      </c>
      <c r="O126" s="4322">
        <v>1</v>
      </c>
      <c r="P126" s="4322">
        <v>1</v>
      </c>
      <c r="Q126" s="4322">
        <v>1</v>
      </c>
      <c r="R126" s="4322">
        <v>1</v>
      </c>
      <c r="S126" s="4322">
        <v>1</v>
      </c>
      <c r="T126" s="4322">
        <v>1</v>
      </c>
      <c r="U126" s="4513">
        <v>1</v>
      </c>
    </row>
    <row r="127" spans="1:21">
      <c r="A127" s="4322"/>
      <c r="B127" s="6486"/>
      <c r="C127" s="4445" t="s">
        <v>7707</v>
      </c>
      <c r="D127" s="4374"/>
      <c r="E127" s="4374"/>
      <c r="F127" s="4454" t="s">
        <v>7712</v>
      </c>
      <c r="G127" s="4374"/>
      <c r="H127" s="4398"/>
      <c r="I127" s="4322">
        <v>1</v>
      </c>
      <c r="J127" s="4322">
        <v>1</v>
      </c>
      <c r="K127" s="4322">
        <v>1</v>
      </c>
      <c r="L127" s="4322">
        <v>1</v>
      </c>
      <c r="M127" s="4322">
        <v>1</v>
      </c>
      <c r="N127" s="4322">
        <v>1</v>
      </c>
      <c r="O127" s="4322">
        <v>1</v>
      </c>
      <c r="P127" s="4322">
        <v>1</v>
      </c>
      <c r="Q127" s="4322">
        <v>1</v>
      </c>
      <c r="R127" s="4322">
        <v>1</v>
      </c>
      <c r="S127" s="4322">
        <v>1</v>
      </c>
      <c r="T127" s="4322">
        <v>1</v>
      </c>
      <c r="U127" s="4513">
        <v>1</v>
      </c>
    </row>
    <row r="128" spans="1:21">
      <c r="A128" s="4322"/>
      <c r="B128" s="6486"/>
      <c r="C128" s="4372"/>
      <c r="D128" s="4409" t="s">
        <v>7683</v>
      </c>
      <c r="E128" s="4374"/>
      <c r="F128" s="4450"/>
      <c r="G128" s="4374"/>
      <c r="H128" s="4398"/>
      <c r="I128" s="4322">
        <v>1</v>
      </c>
      <c r="J128" s="4322">
        <v>1</v>
      </c>
      <c r="K128" s="4322">
        <v>1</v>
      </c>
      <c r="L128" s="4322">
        <v>1</v>
      </c>
      <c r="M128" s="4322">
        <v>1</v>
      </c>
      <c r="N128" s="4322">
        <v>1</v>
      </c>
      <c r="O128" s="4322">
        <v>1</v>
      </c>
      <c r="P128" s="4322">
        <v>1</v>
      </c>
      <c r="Q128" s="4322">
        <v>1</v>
      </c>
      <c r="R128" s="4322">
        <v>1</v>
      </c>
      <c r="S128" s="4322">
        <v>1</v>
      </c>
      <c r="T128" s="4322">
        <v>1</v>
      </c>
      <c r="U128" s="4513">
        <v>1</v>
      </c>
    </row>
    <row r="129" spans="1:21">
      <c r="A129" s="4322"/>
      <c r="B129" s="6486"/>
      <c r="C129" s="4375"/>
      <c r="D129" s="4453" t="s">
        <v>7685</v>
      </c>
      <c r="E129" s="4374"/>
      <c r="F129" s="4454"/>
      <c r="G129" s="4374"/>
      <c r="H129" s="4398"/>
      <c r="I129" s="4322">
        <v>1</v>
      </c>
      <c r="J129" s="4322">
        <v>1</v>
      </c>
      <c r="K129" s="4322">
        <v>1</v>
      </c>
      <c r="L129" s="4322">
        <v>1</v>
      </c>
      <c r="M129" s="4322">
        <v>1</v>
      </c>
      <c r="N129" s="4322">
        <v>1</v>
      </c>
      <c r="O129" s="4322">
        <v>1</v>
      </c>
      <c r="P129" s="4322">
        <v>1</v>
      </c>
      <c r="Q129" s="4322">
        <v>1</v>
      </c>
      <c r="R129" s="4322">
        <v>1</v>
      </c>
      <c r="S129" s="4322">
        <v>1</v>
      </c>
      <c r="T129" s="4322">
        <v>1</v>
      </c>
      <c r="U129" s="4513">
        <v>1</v>
      </c>
    </row>
    <row r="130" spans="1:21">
      <c r="A130" s="4322"/>
      <c r="B130" s="6486"/>
      <c r="C130" s="4456"/>
      <c r="D130" s="4374"/>
      <c r="E130" s="4457" t="s">
        <v>7714</v>
      </c>
      <c r="F130" s="4454"/>
      <c r="G130" s="4456" t="s">
        <v>7715</v>
      </c>
      <c r="H130" s="4458" t="str">
        <f>ADDRESS(ROW(F112),COLUMN(F112),4)</f>
        <v>F112</v>
      </c>
      <c r="I130" s="4322">
        <v>1</v>
      </c>
      <c r="J130" s="4322">
        <v>1</v>
      </c>
      <c r="K130" s="4322">
        <v>1</v>
      </c>
      <c r="L130" s="4322">
        <v>1</v>
      </c>
      <c r="M130" s="4322">
        <v>1</v>
      </c>
      <c r="N130" s="4322">
        <v>1</v>
      </c>
      <c r="O130" s="4322">
        <v>1</v>
      </c>
      <c r="P130" s="4322">
        <v>1</v>
      </c>
      <c r="Q130" s="4322">
        <v>1</v>
      </c>
      <c r="R130" s="4322">
        <v>1</v>
      </c>
      <c r="S130" s="4322">
        <v>1</v>
      </c>
      <c r="T130" s="4322">
        <v>1</v>
      </c>
      <c r="U130" s="4513">
        <v>1</v>
      </c>
    </row>
    <row r="131" spans="1:21" ht="16.5" thickBot="1">
      <c r="A131" s="4322"/>
      <c r="B131" s="6487"/>
      <c r="C131" s="4448" t="s">
        <v>7730</v>
      </c>
      <c r="D131" s="4459"/>
      <c r="E131" s="4460"/>
      <c r="F131" s="4448" t="s">
        <v>7731</v>
      </c>
      <c r="G131" s="4461"/>
      <c r="H131" s="4462"/>
      <c r="I131" s="4322">
        <v>1</v>
      </c>
      <c r="J131" s="4322">
        <v>1</v>
      </c>
      <c r="K131" s="4322">
        <v>1</v>
      </c>
      <c r="L131" s="4322">
        <v>1</v>
      </c>
      <c r="M131" s="4322">
        <v>1</v>
      </c>
      <c r="N131" s="4322">
        <v>1</v>
      </c>
      <c r="O131" s="4322">
        <v>1</v>
      </c>
      <c r="P131" s="4322">
        <v>1</v>
      </c>
      <c r="Q131" s="4322">
        <v>1</v>
      </c>
      <c r="R131" s="4322">
        <v>1</v>
      </c>
      <c r="S131" s="4322">
        <v>1</v>
      </c>
      <c r="T131" s="4322">
        <v>1</v>
      </c>
      <c r="U131" s="4513">
        <v>1</v>
      </c>
    </row>
    <row r="132" spans="1:21">
      <c r="A132" s="4322"/>
      <c r="B132" s="4451">
        <v>3</v>
      </c>
      <c r="C132" s="4451">
        <v>12</v>
      </c>
      <c r="D132" s="4451">
        <v>11</v>
      </c>
      <c r="E132" s="4451">
        <v>11</v>
      </c>
      <c r="F132" s="4451">
        <v>11</v>
      </c>
      <c r="G132" s="4451">
        <v>11</v>
      </c>
      <c r="H132" s="4451">
        <v>11</v>
      </c>
      <c r="I132" s="4452" t="s">
        <v>7711</v>
      </c>
      <c r="J132" s="4322"/>
      <c r="K132" s="4322"/>
      <c r="L132" s="4322">
        <v>1</v>
      </c>
      <c r="M132" s="4322">
        <v>1</v>
      </c>
      <c r="N132" s="4322">
        <v>1</v>
      </c>
      <c r="O132" s="4322">
        <v>1</v>
      </c>
      <c r="P132" s="4322">
        <v>1</v>
      </c>
      <c r="Q132" s="4322">
        <v>1</v>
      </c>
      <c r="R132" s="4322">
        <v>1</v>
      </c>
      <c r="S132" s="4322">
        <v>1</v>
      </c>
      <c r="T132" s="4322">
        <v>1</v>
      </c>
      <c r="U132" s="4513">
        <v>1</v>
      </c>
    </row>
    <row r="133" spans="1:21">
      <c r="A133" s="4322"/>
      <c r="B133" s="4455">
        <f ca="1">CELL("largeur",B133)</f>
        <v>3</v>
      </c>
      <c r="C133" s="4455">
        <f ca="1">CELL("largeur",C133)</f>
        <v>11</v>
      </c>
      <c r="D133" s="4455">
        <f t="shared" ref="D133:H133" ca="1" si="2">CELL("largeur",D133)</f>
        <v>18</v>
      </c>
      <c r="E133" s="4455">
        <f t="shared" ca="1" si="2"/>
        <v>11</v>
      </c>
      <c r="F133" s="4455">
        <f t="shared" ca="1" si="2"/>
        <v>11</v>
      </c>
      <c r="G133" s="4455">
        <f t="shared" ca="1" si="2"/>
        <v>11</v>
      </c>
      <c r="H133" s="4455">
        <f t="shared" ca="1" si="2"/>
        <v>11</v>
      </c>
      <c r="I133" s="4452" t="s">
        <v>7713</v>
      </c>
      <c r="J133" s="4322"/>
      <c r="K133" s="4322"/>
      <c r="L133" s="4322">
        <v>1</v>
      </c>
      <c r="M133" s="4322">
        <v>1</v>
      </c>
      <c r="N133" s="4322">
        <v>1</v>
      </c>
      <c r="O133" s="4322">
        <v>1</v>
      </c>
      <c r="P133" s="4322">
        <v>1</v>
      </c>
      <c r="Q133" s="4322">
        <v>1</v>
      </c>
      <c r="R133" s="4322">
        <v>1</v>
      </c>
      <c r="S133" s="4322">
        <v>1</v>
      </c>
      <c r="T133" s="4322">
        <v>1</v>
      </c>
      <c r="U133" s="4513">
        <v>1</v>
      </c>
    </row>
    <row r="134" spans="1:21">
      <c r="R134" s="4322">
        <v>1</v>
      </c>
      <c r="S134" s="4322">
        <v>1</v>
      </c>
      <c r="T134" s="4322">
        <v>1</v>
      </c>
      <c r="U134" s="4513">
        <v>1</v>
      </c>
    </row>
    <row r="135" spans="1:21">
      <c r="B135" s="4322">
        <v>1</v>
      </c>
      <c r="C135" s="4322">
        <v>1</v>
      </c>
      <c r="D135" s="4322">
        <v>1</v>
      </c>
      <c r="E135" s="4322">
        <v>1</v>
      </c>
      <c r="F135" s="4322">
        <v>1</v>
      </c>
      <c r="G135" s="4322">
        <v>1</v>
      </c>
      <c r="H135" s="4322">
        <v>1</v>
      </c>
      <c r="I135" s="4322">
        <v>1</v>
      </c>
      <c r="J135" s="4322">
        <v>1</v>
      </c>
      <c r="K135" s="4322">
        <v>1</v>
      </c>
      <c r="L135" s="4322">
        <v>1</v>
      </c>
      <c r="M135" s="4322">
        <v>1</v>
      </c>
      <c r="N135" s="4322">
        <v>1</v>
      </c>
      <c r="O135" s="4322">
        <v>1</v>
      </c>
      <c r="P135" s="4322">
        <v>1</v>
      </c>
      <c r="Q135" s="4322">
        <v>1</v>
      </c>
      <c r="R135" s="4322">
        <v>1</v>
      </c>
      <c r="S135" s="4322">
        <v>1</v>
      </c>
      <c r="T135" s="4322">
        <v>1</v>
      </c>
      <c r="U135" s="4513">
        <v>1</v>
      </c>
    </row>
    <row r="136" spans="1:21">
      <c r="B136" s="4322">
        <v>1</v>
      </c>
      <c r="C136" s="4322">
        <v>1</v>
      </c>
      <c r="D136" s="4322">
        <v>1</v>
      </c>
      <c r="E136" s="4322">
        <v>1</v>
      </c>
      <c r="F136" s="4322">
        <v>1</v>
      </c>
      <c r="G136" s="4322">
        <v>1</v>
      </c>
      <c r="H136" s="4322">
        <v>1</v>
      </c>
      <c r="I136" s="4322">
        <v>1</v>
      </c>
      <c r="J136" s="4322">
        <v>1</v>
      </c>
      <c r="K136" s="4322">
        <v>1</v>
      </c>
      <c r="L136" s="4322">
        <v>1</v>
      </c>
      <c r="M136" s="4322">
        <v>1</v>
      </c>
      <c r="N136" s="4322">
        <v>1</v>
      </c>
      <c r="O136" s="4322">
        <v>1</v>
      </c>
      <c r="P136" s="4322">
        <v>1</v>
      </c>
      <c r="Q136" s="4322">
        <v>1</v>
      </c>
      <c r="R136" s="4322">
        <v>1</v>
      </c>
      <c r="S136" s="4322">
        <v>1</v>
      </c>
      <c r="T136" s="4322">
        <v>1</v>
      </c>
      <c r="U136" s="4513">
        <v>1</v>
      </c>
    </row>
    <row r="137" spans="1:21">
      <c r="B137" s="4322">
        <v>1</v>
      </c>
      <c r="C137" s="4322">
        <v>1</v>
      </c>
      <c r="D137" s="4322">
        <v>1</v>
      </c>
      <c r="E137" s="4322">
        <v>1</v>
      </c>
      <c r="F137" s="4322">
        <v>1</v>
      </c>
      <c r="G137" s="4322">
        <v>1</v>
      </c>
      <c r="H137" s="4322">
        <v>1</v>
      </c>
      <c r="I137" s="4322">
        <v>1</v>
      </c>
      <c r="J137" s="4322">
        <v>1</v>
      </c>
      <c r="K137" s="4322">
        <v>1</v>
      </c>
      <c r="L137" s="4322">
        <v>1</v>
      </c>
      <c r="M137" s="4322">
        <v>1</v>
      </c>
      <c r="N137" s="4322">
        <v>1</v>
      </c>
      <c r="O137" s="4322">
        <v>1</v>
      </c>
      <c r="P137" s="4322">
        <v>1</v>
      </c>
      <c r="Q137" s="4322">
        <v>1</v>
      </c>
      <c r="R137" s="4322">
        <v>1</v>
      </c>
      <c r="S137" s="4322">
        <v>1</v>
      </c>
      <c r="T137" s="4322">
        <v>1</v>
      </c>
      <c r="U137" s="4513">
        <v>1</v>
      </c>
    </row>
    <row r="138" spans="1:21">
      <c r="B138" s="4322">
        <v>1</v>
      </c>
      <c r="C138" s="4322">
        <v>1</v>
      </c>
      <c r="D138" s="4322">
        <v>1</v>
      </c>
      <c r="E138" s="4322">
        <v>1</v>
      </c>
      <c r="F138" s="4322">
        <v>1</v>
      </c>
      <c r="G138" s="4322">
        <v>1</v>
      </c>
      <c r="H138" s="4322">
        <v>1</v>
      </c>
      <c r="I138" s="4322">
        <v>1</v>
      </c>
      <c r="J138" s="4322">
        <v>1</v>
      </c>
      <c r="K138" s="4322">
        <v>1</v>
      </c>
      <c r="L138" s="4322">
        <v>1</v>
      </c>
      <c r="M138" s="4322">
        <v>1</v>
      </c>
      <c r="N138" s="4322">
        <v>1</v>
      </c>
      <c r="O138" s="4322">
        <v>1</v>
      </c>
      <c r="P138" s="4322">
        <v>1</v>
      </c>
      <c r="Q138" s="4322">
        <v>1</v>
      </c>
      <c r="R138" s="4322">
        <v>1</v>
      </c>
      <c r="S138" s="4322">
        <v>1</v>
      </c>
      <c r="T138" s="4322">
        <v>1</v>
      </c>
      <c r="U138" s="4513">
        <v>1</v>
      </c>
    </row>
    <row r="139" spans="1:21">
      <c r="B139" s="4322">
        <v>1</v>
      </c>
      <c r="C139" s="4322">
        <v>1</v>
      </c>
      <c r="D139" s="4322">
        <v>1</v>
      </c>
      <c r="E139" s="4322">
        <v>1</v>
      </c>
      <c r="F139" s="4322">
        <v>1</v>
      </c>
      <c r="G139" s="4322">
        <v>1</v>
      </c>
      <c r="H139" s="4322">
        <v>1</v>
      </c>
      <c r="I139" s="4322">
        <v>1</v>
      </c>
      <c r="J139" s="4322">
        <v>1</v>
      </c>
      <c r="K139" s="4322">
        <v>1</v>
      </c>
      <c r="L139" s="4322">
        <v>1</v>
      </c>
      <c r="M139" s="4322">
        <v>1</v>
      </c>
      <c r="N139" s="4322">
        <v>1</v>
      </c>
      <c r="O139" s="4322">
        <v>1</v>
      </c>
      <c r="P139" s="4322">
        <v>1</v>
      </c>
      <c r="Q139" s="4322">
        <v>1</v>
      </c>
      <c r="R139" s="4322">
        <v>1</v>
      </c>
      <c r="S139" s="4322">
        <v>1</v>
      </c>
      <c r="T139" s="4322">
        <v>1</v>
      </c>
      <c r="U139" s="4513">
        <v>1</v>
      </c>
    </row>
    <row r="140" spans="1:21">
      <c r="B140" s="4322">
        <v>1</v>
      </c>
      <c r="C140" s="4322">
        <v>1</v>
      </c>
      <c r="D140" s="4322">
        <v>1</v>
      </c>
      <c r="E140" s="4322">
        <v>1</v>
      </c>
      <c r="F140" s="4322">
        <v>1</v>
      </c>
      <c r="G140" s="4322">
        <v>1</v>
      </c>
      <c r="H140" s="4322">
        <v>1</v>
      </c>
      <c r="I140" s="4322">
        <v>1</v>
      </c>
      <c r="J140" s="4322">
        <v>1</v>
      </c>
      <c r="K140" s="4322">
        <v>1</v>
      </c>
      <c r="L140" s="4322">
        <v>1</v>
      </c>
      <c r="M140" s="4322">
        <v>1</v>
      </c>
      <c r="N140" s="4322">
        <v>1</v>
      </c>
      <c r="O140" s="4322">
        <v>1</v>
      </c>
      <c r="P140" s="4322">
        <v>1</v>
      </c>
      <c r="Q140" s="4322">
        <v>1</v>
      </c>
      <c r="R140" s="4322">
        <v>1</v>
      </c>
      <c r="S140" s="4322">
        <v>1</v>
      </c>
      <c r="T140" s="4322">
        <v>1</v>
      </c>
      <c r="U140" s="4513">
        <v>1</v>
      </c>
    </row>
    <row r="141" spans="1:21">
      <c r="B141" s="4322">
        <v>1</v>
      </c>
      <c r="C141" s="4322">
        <v>1</v>
      </c>
      <c r="D141" s="4322">
        <v>1</v>
      </c>
      <c r="E141" s="4322">
        <v>1</v>
      </c>
      <c r="F141" s="4322">
        <v>1</v>
      </c>
      <c r="G141" s="4322">
        <v>1</v>
      </c>
      <c r="H141" s="4322">
        <v>1</v>
      </c>
      <c r="I141" s="4322">
        <v>1</v>
      </c>
      <c r="J141" s="4322">
        <v>1</v>
      </c>
      <c r="K141" s="4322">
        <v>1</v>
      </c>
      <c r="L141" s="4322">
        <v>1</v>
      </c>
      <c r="M141" s="4322">
        <v>1</v>
      </c>
      <c r="N141" s="4322">
        <v>1</v>
      </c>
      <c r="O141" s="4322">
        <v>1</v>
      </c>
      <c r="P141" s="4322">
        <v>1</v>
      </c>
      <c r="Q141" s="4322">
        <v>1</v>
      </c>
      <c r="R141" s="4322">
        <v>1</v>
      </c>
      <c r="S141" s="4322">
        <v>1</v>
      </c>
      <c r="T141" s="4322">
        <v>1</v>
      </c>
      <c r="U141" s="4513">
        <v>1</v>
      </c>
    </row>
    <row r="142" spans="1:21">
      <c r="B142" s="4322">
        <v>1</v>
      </c>
      <c r="C142" s="4322">
        <v>1</v>
      </c>
      <c r="D142" s="4322">
        <v>1</v>
      </c>
      <c r="E142" s="4322">
        <v>1</v>
      </c>
      <c r="F142" s="4322">
        <v>1</v>
      </c>
      <c r="G142" s="4322">
        <v>1</v>
      </c>
      <c r="H142" s="4322">
        <v>1</v>
      </c>
      <c r="I142" s="4322">
        <v>1</v>
      </c>
      <c r="J142" s="4322">
        <v>1</v>
      </c>
      <c r="K142" s="4322">
        <v>1</v>
      </c>
      <c r="L142" s="4322">
        <v>1</v>
      </c>
      <c r="M142" s="4322">
        <v>1</v>
      </c>
      <c r="N142" s="4322">
        <v>1</v>
      </c>
      <c r="O142" s="4322">
        <v>1</v>
      </c>
      <c r="P142" s="4322">
        <v>1</v>
      </c>
      <c r="Q142" s="4322">
        <v>1</v>
      </c>
      <c r="R142" s="4322">
        <v>1</v>
      </c>
      <c r="S142" s="4322">
        <v>1</v>
      </c>
      <c r="T142" s="4322">
        <v>1</v>
      </c>
      <c r="U142" s="4513">
        <v>1</v>
      </c>
    </row>
    <row r="143" spans="1:21">
      <c r="B143" s="4322">
        <v>1</v>
      </c>
      <c r="C143" s="4322">
        <v>1</v>
      </c>
      <c r="D143" s="4322">
        <v>1</v>
      </c>
      <c r="E143" s="4322">
        <v>1</v>
      </c>
      <c r="F143" s="4322">
        <v>1</v>
      </c>
      <c r="G143" s="4322">
        <v>1</v>
      </c>
      <c r="H143" s="4322">
        <v>1</v>
      </c>
      <c r="I143" s="4322">
        <v>1</v>
      </c>
      <c r="J143" s="4322">
        <v>1</v>
      </c>
      <c r="K143" s="4322">
        <v>1</v>
      </c>
      <c r="L143" s="4322">
        <v>1</v>
      </c>
      <c r="M143" s="4322">
        <v>1</v>
      </c>
      <c r="N143" s="4322">
        <v>1</v>
      </c>
      <c r="O143" s="4322">
        <v>1</v>
      </c>
      <c r="P143" s="4322">
        <v>1</v>
      </c>
      <c r="Q143" s="4322">
        <v>1</v>
      </c>
      <c r="R143" s="4322">
        <v>1</v>
      </c>
      <c r="S143" s="4322">
        <v>1</v>
      </c>
      <c r="T143" s="4322">
        <v>1</v>
      </c>
      <c r="U143" s="4513">
        <v>1</v>
      </c>
    </row>
    <row r="144" spans="1:21">
      <c r="B144" s="4322">
        <v>1</v>
      </c>
      <c r="C144" s="4322">
        <v>1</v>
      </c>
      <c r="D144" s="4322">
        <v>1</v>
      </c>
      <c r="E144" s="4322">
        <v>1</v>
      </c>
      <c r="F144" s="4322">
        <v>1</v>
      </c>
      <c r="G144" s="4322">
        <v>1</v>
      </c>
      <c r="H144" s="4322">
        <v>1</v>
      </c>
      <c r="I144" s="4322">
        <v>1</v>
      </c>
      <c r="J144" s="4322">
        <v>1</v>
      </c>
      <c r="K144" s="4322">
        <v>1</v>
      </c>
      <c r="L144" s="4322">
        <v>1</v>
      </c>
      <c r="M144" s="4322">
        <v>1</v>
      </c>
      <c r="N144" s="4322">
        <v>1</v>
      </c>
      <c r="O144" s="4322">
        <v>1</v>
      </c>
      <c r="P144" s="4322">
        <v>1</v>
      </c>
      <c r="Q144" s="4322">
        <v>1</v>
      </c>
      <c r="R144" s="4322">
        <v>1</v>
      </c>
      <c r="S144" s="4322">
        <v>1</v>
      </c>
      <c r="T144" s="4322">
        <v>1</v>
      </c>
      <c r="U144" s="4513">
        <v>1</v>
      </c>
    </row>
    <row r="145" spans="2:21">
      <c r="B145" s="4322">
        <v>1</v>
      </c>
      <c r="C145" s="4322">
        <v>1</v>
      </c>
      <c r="D145" s="4322">
        <v>1</v>
      </c>
      <c r="E145" s="4322">
        <v>1</v>
      </c>
      <c r="F145" s="4322">
        <v>1</v>
      </c>
      <c r="G145" s="4322">
        <v>1</v>
      </c>
      <c r="H145" s="4322">
        <v>1</v>
      </c>
      <c r="I145" s="4322">
        <v>1</v>
      </c>
      <c r="J145" s="4322">
        <v>1</v>
      </c>
      <c r="K145" s="4322">
        <v>1</v>
      </c>
      <c r="L145" s="4322">
        <v>1</v>
      </c>
      <c r="M145" s="4322">
        <v>1</v>
      </c>
      <c r="N145" s="4322">
        <v>1</v>
      </c>
      <c r="O145" s="4322">
        <v>1</v>
      </c>
      <c r="P145" s="4322">
        <v>1</v>
      </c>
      <c r="Q145" s="4322">
        <v>1</v>
      </c>
      <c r="R145" s="4322">
        <v>1</v>
      </c>
      <c r="S145" s="4322">
        <v>1</v>
      </c>
      <c r="T145" s="4322">
        <v>1</v>
      </c>
      <c r="U145" s="4513">
        <v>1</v>
      </c>
    </row>
    <row r="146" spans="2:21">
      <c r="B146" s="4322">
        <v>1</v>
      </c>
      <c r="C146" s="4322">
        <v>1</v>
      </c>
      <c r="D146" s="4322">
        <v>1</v>
      </c>
      <c r="E146" s="4322">
        <v>1</v>
      </c>
      <c r="F146" s="4322">
        <v>1</v>
      </c>
      <c r="G146" s="4322">
        <v>1</v>
      </c>
      <c r="H146" s="4322">
        <v>1</v>
      </c>
      <c r="I146" s="4322">
        <v>1</v>
      </c>
      <c r="J146" s="4322">
        <v>1</v>
      </c>
      <c r="K146" s="4322">
        <v>1</v>
      </c>
      <c r="L146" s="4322">
        <v>1</v>
      </c>
      <c r="M146" s="4322">
        <v>1</v>
      </c>
      <c r="N146" s="4322">
        <v>1</v>
      </c>
      <c r="O146" s="4322">
        <v>1</v>
      </c>
      <c r="P146" s="4322">
        <v>1</v>
      </c>
      <c r="Q146" s="4322">
        <v>1</v>
      </c>
      <c r="R146" s="4322">
        <v>1</v>
      </c>
      <c r="S146" s="4322">
        <v>1</v>
      </c>
      <c r="T146" s="4322">
        <v>1</v>
      </c>
      <c r="U146" s="4513">
        <v>1</v>
      </c>
    </row>
    <row r="147" spans="2:21">
      <c r="B147" s="4322">
        <v>1</v>
      </c>
      <c r="C147" s="4322">
        <v>1</v>
      </c>
      <c r="D147" s="4322">
        <v>1</v>
      </c>
      <c r="E147" s="4322">
        <v>1</v>
      </c>
      <c r="F147" s="4322">
        <v>1</v>
      </c>
      <c r="G147" s="4322">
        <v>1</v>
      </c>
      <c r="H147" s="4322">
        <v>1</v>
      </c>
      <c r="I147" s="4322">
        <v>1</v>
      </c>
      <c r="J147" s="4322">
        <v>1</v>
      </c>
      <c r="K147" s="4322">
        <v>1</v>
      </c>
      <c r="L147" s="4322">
        <v>1</v>
      </c>
      <c r="M147" s="4322">
        <v>1</v>
      </c>
      <c r="N147" s="4322">
        <v>1</v>
      </c>
      <c r="O147" s="4322">
        <v>1</v>
      </c>
      <c r="P147" s="4322">
        <v>1</v>
      </c>
      <c r="Q147" s="4322">
        <v>1</v>
      </c>
      <c r="R147" s="4322">
        <v>1</v>
      </c>
      <c r="S147" s="4322">
        <v>1</v>
      </c>
      <c r="T147" s="4322">
        <v>1</v>
      </c>
      <c r="U147" s="4513">
        <v>1</v>
      </c>
    </row>
    <row r="148" spans="2:21">
      <c r="B148" s="4322">
        <v>1</v>
      </c>
      <c r="C148" s="4322">
        <v>1</v>
      </c>
      <c r="D148" s="4322">
        <v>1</v>
      </c>
      <c r="E148" s="4322">
        <v>1</v>
      </c>
      <c r="F148" s="4322">
        <v>1</v>
      </c>
      <c r="G148" s="4322">
        <v>1</v>
      </c>
      <c r="H148" s="4322">
        <v>1</v>
      </c>
      <c r="I148" s="4322">
        <v>1</v>
      </c>
      <c r="J148" s="4322">
        <v>1</v>
      </c>
      <c r="K148" s="4322">
        <v>1</v>
      </c>
      <c r="L148" s="4322">
        <v>1</v>
      </c>
      <c r="M148" s="4322">
        <v>1</v>
      </c>
      <c r="N148" s="4322">
        <v>1</v>
      </c>
      <c r="O148" s="4322">
        <v>1</v>
      </c>
      <c r="P148" s="4322">
        <v>1</v>
      </c>
      <c r="Q148" s="4322">
        <v>1</v>
      </c>
      <c r="R148" s="4322">
        <v>1</v>
      </c>
      <c r="U148" s="4514"/>
    </row>
    <row r="149" spans="2:21">
      <c r="B149" s="4322">
        <v>1</v>
      </c>
      <c r="C149" s="4322">
        <v>1</v>
      </c>
      <c r="D149" s="4322">
        <v>1</v>
      </c>
      <c r="E149" s="4322">
        <v>1</v>
      </c>
      <c r="F149" s="4322">
        <v>1</v>
      </c>
      <c r="G149" s="4322">
        <v>1</v>
      </c>
      <c r="H149" s="4322">
        <v>1</v>
      </c>
      <c r="I149" s="4322">
        <v>1</v>
      </c>
      <c r="J149" s="4322">
        <v>1</v>
      </c>
      <c r="K149" s="4322">
        <v>1</v>
      </c>
      <c r="L149" s="4322">
        <v>1</v>
      </c>
      <c r="M149" s="4322">
        <v>1</v>
      </c>
      <c r="N149" s="4322">
        <v>1</v>
      </c>
      <c r="O149" s="4322">
        <v>1</v>
      </c>
      <c r="P149" s="4322">
        <v>1</v>
      </c>
      <c r="Q149" s="4322">
        <v>1</v>
      </c>
      <c r="R149" s="4322">
        <v>1</v>
      </c>
      <c r="U149" s="4514"/>
    </row>
    <row r="150" spans="2:21">
      <c r="B150" s="4322">
        <v>1</v>
      </c>
      <c r="C150" s="4322">
        <v>1</v>
      </c>
      <c r="D150" s="4322">
        <v>1</v>
      </c>
      <c r="E150" s="4322">
        <v>1</v>
      </c>
      <c r="F150" s="4322">
        <v>1</v>
      </c>
      <c r="G150" s="4322">
        <v>1</v>
      </c>
      <c r="H150" s="4322">
        <v>1</v>
      </c>
      <c r="I150" s="4322">
        <v>1</v>
      </c>
      <c r="J150" s="4322">
        <v>1</v>
      </c>
      <c r="K150" s="4322">
        <v>1</v>
      </c>
      <c r="L150" s="4322">
        <v>1</v>
      </c>
      <c r="M150" s="4322">
        <v>1</v>
      </c>
      <c r="N150" s="4322">
        <v>1</v>
      </c>
      <c r="O150" s="4322">
        <v>1</v>
      </c>
      <c r="P150" s="4322">
        <v>1</v>
      </c>
      <c r="Q150" s="4322">
        <v>1</v>
      </c>
      <c r="R150" s="4322">
        <v>1</v>
      </c>
      <c r="S150" s="4322">
        <v>1</v>
      </c>
      <c r="T150" s="4322">
        <v>1</v>
      </c>
      <c r="U150" s="4513">
        <v>1</v>
      </c>
    </row>
    <row r="151" spans="2:21">
      <c r="B151" s="4322">
        <v>1</v>
      </c>
      <c r="C151" s="4322">
        <v>1</v>
      </c>
      <c r="D151" s="4322">
        <v>1</v>
      </c>
      <c r="E151" s="4322">
        <v>1</v>
      </c>
      <c r="F151" s="4322">
        <v>1</v>
      </c>
      <c r="G151" s="4322">
        <v>1</v>
      </c>
      <c r="H151" s="4322">
        <v>1</v>
      </c>
      <c r="I151" s="4322">
        <v>1</v>
      </c>
      <c r="J151" s="4322">
        <v>1</v>
      </c>
      <c r="K151" s="4322">
        <v>1</v>
      </c>
      <c r="L151" s="4322">
        <v>1</v>
      </c>
      <c r="M151" s="4322">
        <v>1</v>
      </c>
      <c r="N151" s="4322">
        <v>1</v>
      </c>
      <c r="O151" s="4322">
        <v>1</v>
      </c>
      <c r="P151" s="4322">
        <v>1</v>
      </c>
      <c r="Q151" s="4322">
        <v>1</v>
      </c>
      <c r="R151" s="4322">
        <v>1</v>
      </c>
      <c r="S151" s="4322">
        <v>1</v>
      </c>
      <c r="T151" s="4322">
        <v>1</v>
      </c>
      <c r="U151" s="4513">
        <v>1</v>
      </c>
    </row>
    <row r="152" spans="2:21">
      <c r="B152" s="4322">
        <v>1</v>
      </c>
      <c r="C152" s="4322">
        <v>1</v>
      </c>
      <c r="D152" s="4322">
        <v>1</v>
      </c>
      <c r="E152" s="4322">
        <v>1</v>
      </c>
      <c r="F152" s="4322">
        <v>1</v>
      </c>
      <c r="G152" s="4322">
        <v>1</v>
      </c>
      <c r="H152" s="4322">
        <v>1</v>
      </c>
      <c r="I152" s="4322">
        <v>1</v>
      </c>
      <c r="J152" s="4322">
        <v>1</v>
      </c>
      <c r="K152" s="4322">
        <v>1</v>
      </c>
      <c r="L152" s="4322">
        <v>1</v>
      </c>
      <c r="M152" s="4322">
        <v>1</v>
      </c>
      <c r="N152" s="4322">
        <v>1</v>
      </c>
      <c r="O152" s="4322">
        <v>1</v>
      </c>
      <c r="P152" s="4322">
        <v>1</v>
      </c>
      <c r="Q152" s="4322">
        <v>1</v>
      </c>
      <c r="R152" s="4322">
        <v>1</v>
      </c>
      <c r="S152" s="4322">
        <v>1</v>
      </c>
      <c r="T152" s="4322">
        <v>1</v>
      </c>
      <c r="U152" s="4513">
        <v>1</v>
      </c>
    </row>
    <row r="153" spans="2:21">
      <c r="B153" s="4322">
        <v>1</v>
      </c>
      <c r="C153" s="4322">
        <v>1</v>
      </c>
      <c r="D153" s="4322">
        <v>1</v>
      </c>
      <c r="E153" s="4322">
        <v>1</v>
      </c>
      <c r="F153" s="4322">
        <v>1</v>
      </c>
      <c r="G153" s="4322">
        <v>1</v>
      </c>
      <c r="H153" s="4322">
        <v>1</v>
      </c>
      <c r="I153" s="4322">
        <v>1</v>
      </c>
      <c r="J153" s="4322">
        <v>1</v>
      </c>
      <c r="K153" s="4322">
        <v>1</v>
      </c>
      <c r="L153" s="4322">
        <v>1</v>
      </c>
      <c r="M153" s="4322">
        <v>1</v>
      </c>
      <c r="N153" s="4322">
        <v>1</v>
      </c>
      <c r="O153" s="4322">
        <v>1</v>
      </c>
      <c r="P153" s="4322">
        <v>1</v>
      </c>
      <c r="Q153" s="4322">
        <v>1</v>
      </c>
      <c r="R153" s="4322">
        <v>1</v>
      </c>
      <c r="S153" s="4322">
        <v>1</v>
      </c>
      <c r="T153" s="4322">
        <v>1</v>
      </c>
      <c r="U153" s="4513">
        <v>1</v>
      </c>
    </row>
    <row r="154" spans="2:21">
      <c r="B154" s="4322">
        <v>1</v>
      </c>
      <c r="C154" s="4322">
        <v>1</v>
      </c>
      <c r="D154" s="4322">
        <v>1</v>
      </c>
      <c r="E154" s="4322">
        <v>1</v>
      </c>
      <c r="F154" s="4322">
        <v>1</v>
      </c>
      <c r="G154" s="4322">
        <v>1</v>
      </c>
      <c r="H154" s="4322">
        <v>1</v>
      </c>
      <c r="I154" s="4322">
        <v>1</v>
      </c>
      <c r="J154" s="4322">
        <v>1</v>
      </c>
      <c r="K154" s="4322">
        <v>1</v>
      </c>
      <c r="L154" s="4322">
        <v>1</v>
      </c>
      <c r="M154" s="4322">
        <v>1</v>
      </c>
      <c r="N154" s="4322">
        <v>1</v>
      </c>
      <c r="O154" s="4322">
        <v>1</v>
      </c>
      <c r="P154" s="4322">
        <v>1</v>
      </c>
      <c r="Q154" s="4322">
        <v>1</v>
      </c>
      <c r="R154" s="4322">
        <v>1</v>
      </c>
      <c r="S154" s="4322">
        <v>1</v>
      </c>
      <c r="T154" s="4322">
        <v>1</v>
      </c>
      <c r="U154" s="4513">
        <v>1</v>
      </c>
    </row>
    <row r="155" spans="2:21">
      <c r="B155" s="4322">
        <v>1</v>
      </c>
      <c r="C155" s="4322">
        <v>1</v>
      </c>
      <c r="D155" s="4322">
        <v>1</v>
      </c>
      <c r="E155" s="4322">
        <v>1</v>
      </c>
      <c r="F155" s="4322">
        <v>1</v>
      </c>
      <c r="G155" s="4322">
        <v>1</v>
      </c>
      <c r="H155" s="4322">
        <v>1</v>
      </c>
      <c r="I155" s="4322">
        <v>1</v>
      </c>
      <c r="J155" s="4322">
        <v>1</v>
      </c>
      <c r="K155" s="4322">
        <v>1</v>
      </c>
      <c r="L155" s="4322">
        <v>1</v>
      </c>
      <c r="M155" s="4322">
        <v>1</v>
      </c>
      <c r="N155" s="4322">
        <v>1</v>
      </c>
      <c r="O155" s="4322">
        <v>1</v>
      </c>
      <c r="P155" s="4322">
        <v>1</v>
      </c>
      <c r="Q155" s="4322">
        <v>1</v>
      </c>
      <c r="R155" s="4322">
        <v>1</v>
      </c>
      <c r="S155" s="4322">
        <v>1</v>
      </c>
      <c r="T155" s="4322">
        <v>1</v>
      </c>
      <c r="U155" s="4513">
        <v>1</v>
      </c>
    </row>
    <row r="156" spans="2:21">
      <c r="B156" s="4322">
        <v>1</v>
      </c>
      <c r="C156" s="4322">
        <v>1</v>
      </c>
      <c r="D156" s="4322">
        <v>1</v>
      </c>
      <c r="E156" s="4322">
        <v>1</v>
      </c>
      <c r="F156" s="4322">
        <v>1</v>
      </c>
      <c r="G156" s="4322">
        <v>1</v>
      </c>
      <c r="H156" s="4322">
        <v>1</v>
      </c>
      <c r="I156" s="4322">
        <v>1</v>
      </c>
      <c r="J156" s="4322">
        <v>1</v>
      </c>
      <c r="K156" s="4322">
        <v>1</v>
      </c>
      <c r="L156" s="4322">
        <v>1</v>
      </c>
      <c r="M156" s="4322">
        <v>1</v>
      </c>
      <c r="N156" s="4322">
        <v>1</v>
      </c>
      <c r="O156" s="4322">
        <v>1</v>
      </c>
      <c r="P156" s="4322">
        <v>1</v>
      </c>
      <c r="Q156" s="4322">
        <v>1</v>
      </c>
      <c r="R156" s="4322">
        <v>1</v>
      </c>
      <c r="S156" s="4322">
        <v>1</v>
      </c>
      <c r="T156" s="4322">
        <v>1</v>
      </c>
      <c r="U156" s="4513">
        <v>1</v>
      </c>
    </row>
    <row r="157" spans="2:21">
      <c r="B157" s="4322">
        <v>1</v>
      </c>
      <c r="C157" s="4322">
        <v>1</v>
      </c>
      <c r="D157" s="4322">
        <v>1</v>
      </c>
      <c r="E157" s="4322">
        <v>1</v>
      </c>
      <c r="F157" s="4322">
        <v>1</v>
      </c>
      <c r="G157" s="4322">
        <v>1</v>
      </c>
      <c r="H157" s="4322">
        <v>1</v>
      </c>
      <c r="I157" s="4322">
        <v>1</v>
      </c>
      <c r="J157" s="4322">
        <v>1</v>
      </c>
      <c r="K157" s="4322">
        <v>1</v>
      </c>
      <c r="L157" s="4322">
        <v>1</v>
      </c>
      <c r="M157" s="4322">
        <v>1</v>
      </c>
      <c r="N157" s="4322">
        <v>1</v>
      </c>
      <c r="O157" s="4322">
        <v>1</v>
      </c>
      <c r="P157" s="4322">
        <v>1</v>
      </c>
      <c r="Q157" s="4322">
        <v>1</v>
      </c>
      <c r="R157" s="4322">
        <v>1</v>
      </c>
      <c r="S157" s="4322">
        <v>1</v>
      </c>
      <c r="T157" s="4322">
        <v>1</v>
      </c>
      <c r="U157" s="4513">
        <v>1</v>
      </c>
    </row>
    <row r="158" spans="2:21">
      <c r="B158" s="4322">
        <v>1</v>
      </c>
      <c r="C158" s="4322">
        <v>1</v>
      </c>
      <c r="D158" s="4322">
        <v>1</v>
      </c>
      <c r="E158" s="4322">
        <v>1</v>
      </c>
      <c r="F158" s="4322">
        <v>1</v>
      </c>
      <c r="G158" s="4322">
        <v>1</v>
      </c>
      <c r="H158" s="4322">
        <v>1</v>
      </c>
      <c r="I158" s="4322">
        <v>1</v>
      </c>
      <c r="J158" s="4322">
        <v>1</v>
      </c>
      <c r="K158" s="4322">
        <v>1</v>
      </c>
      <c r="L158" s="4322">
        <v>1</v>
      </c>
      <c r="M158" s="4322">
        <v>1</v>
      </c>
      <c r="N158" s="4322">
        <v>1</v>
      </c>
      <c r="O158" s="4322">
        <v>1</v>
      </c>
      <c r="P158" s="4322">
        <v>1</v>
      </c>
      <c r="Q158" s="4322">
        <v>1</v>
      </c>
      <c r="R158" s="4322">
        <v>1</v>
      </c>
      <c r="S158" s="4322">
        <v>1</v>
      </c>
      <c r="T158" s="4322">
        <v>1</v>
      </c>
      <c r="U158" s="4513">
        <v>1</v>
      </c>
    </row>
    <row r="159" spans="2:21">
      <c r="B159" s="4322">
        <v>1</v>
      </c>
      <c r="C159" s="4322">
        <v>1</v>
      </c>
      <c r="D159" s="4322">
        <v>1</v>
      </c>
      <c r="E159" s="4322">
        <v>1</v>
      </c>
      <c r="F159" s="4322">
        <v>1</v>
      </c>
      <c r="G159" s="4322">
        <v>1</v>
      </c>
      <c r="H159" s="4322">
        <v>1</v>
      </c>
      <c r="I159" s="4322">
        <v>1</v>
      </c>
      <c r="J159" s="4322">
        <v>1</v>
      </c>
      <c r="K159" s="4322">
        <v>1</v>
      </c>
      <c r="L159" s="4322">
        <v>1</v>
      </c>
      <c r="M159" s="4322">
        <v>1</v>
      </c>
      <c r="N159" s="4322">
        <v>1</v>
      </c>
      <c r="O159" s="4322">
        <v>1</v>
      </c>
      <c r="P159" s="4322">
        <v>1</v>
      </c>
      <c r="Q159" s="4322">
        <v>1</v>
      </c>
      <c r="R159" s="4322">
        <v>1</v>
      </c>
      <c r="S159" s="4322">
        <v>1</v>
      </c>
      <c r="T159" s="4322">
        <v>1</v>
      </c>
      <c r="U159" s="4513">
        <v>1</v>
      </c>
    </row>
    <row r="160" spans="2:21">
      <c r="B160" s="4322">
        <v>1</v>
      </c>
      <c r="C160" s="4322">
        <v>1</v>
      </c>
      <c r="D160" s="4322">
        <v>1</v>
      </c>
      <c r="E160" s="4322">
        <v>1</v>
      </c>
      <c r="F160" s="4322">
        <v>1</v>
      </c>
      <c r="G160" s="4322">
        <v>1</v>
      </c>
      <c r="H160" s="4322">
        <v>1</v>
      </c>
      <c r="I160" s="4322">
        <v>1</v>
      </c>
      <c r="J160" s="4322">
        <v>1</v>
      </c>
      <c r="K160" s="4322">
        <v>1</v>
      </c>
      <c r="L160" s="4322">
        <v>1</v>
      </c>
      <c r="M160" s="4322">
        <v>1</v>
      </c>
      <c r="N160" s="4322">
        <v>1</v>
      </c>
      <c r="O160" s="4322">
        <v>1</v>
      </c>
      <c r="P160" s="4322">
        <v>1</v>
      </c>
      <c r="Q160" s="4322">
        <v>1</v>
      </c>
      <c r="R160" s="4322">
        <v>1</v>
      </c>
      <c r="S160" s="4322">
        <v>1</v>
      </c>
      <c r="T160" s="4322">
        <v>1</v>
      </c>
      <c r="U160" s="4513">
        <v>1</v>
      </c>
    </row>
    <row r="161" spans="2:21">
      <c r="B161" s="4322">
        <v>1</v>
      </c>
      <c r="C161" s="4322">
        <v>1</v>
      </c>
      <c r="D161" s="4322">
        <v>1</v>
      </c>
      <c r="E161" s="4322">
        <v>1</v>
      </c>
      <c r="F161" s="4322">
        <v>1</v>
      </c>
      <c r="G161" s="4322">
        <v>1</v>
      </c>
      <c r="H161" s="4322">
        <v>1</v>
      </c>
      <c r="I161" s="4322">
        <v>1</v>
      </c>
      <c r="J161" s="4322">
        <v>1</v>
      </c>
      <c r="K161" s="4322">
        <v>1</v>
      </c>
      <c r="L161" s="4322">
        <v>1</v>
      </c>
      <c r="M161" s="4322">
        <v>1</v>
      </c>
      <c r="N161" s="4322">
        <v>1</v>
      </c>
      <c r="O161" s="4322">
        <v>1</v>
      </c>
      <c r="P161" s="4322">
        <v>1</v>
      </c>
      <c r="Q161" s="4322">
        <v>1</v>
      </c>
      <c r="R161" s="4322">
        <v>1</v>
      </c>
      <c r="S161" s="4322">
        <v>1</v>
      </c>
      <c r="T161" s="4322">
        <v>1</v>
      </c>
      <c r="U161" s="4513">
        <v>1</v>
      </c>
    </row>
    <row r="162" spans="2:21">
      <c r="B162" s="4322">
        <v>1</v>
      </c>
      <c r="C162" s="4322">
        <v>1</v>
      </c>
      <c r="D162" s="4322">
        <v>1</v>
      </c>
      <c r="E162" s="4322">
        <v>1</v>
      </c>
      <c r="F162" s="4322">
        <v>1</v>
      </c>
      <c r="G162" s="4322">
        <v>1</v>
      </c>
      <c r="H162" s="4322">
        <v>1</v>
      </c>
      <c r="I162" s="4322">
        <v>1</v>
      </c>
      <c r="J162" s="4322">
        <v>1</v>
      </c>
      <c r="K162" s="4322">
        <v>1</v>
      </c>
      <c r="L162" s="4322">
        <v>1</v>
      </c>
      <c r="M162" s="4322">
        <v>1</v>
      </c>
      <c r="N162" s="4322">
        <v>1</v>
      </c>
      <c r="O162" s="4322">
        <v>1</v>
      </c>
      <c r="P162" s="4322">
        <v>1</v>
      </c>
      <c r="Q162" s="4322">
        <v>1</v>
      </c>
      <c r="R162" s="4322">
        <v>1</v>
      </c>
      <c r="U162" s="4513">
        <v>1</v>
      </c>
    </row>
    <row r="163" spans="2:21">
      <c r="B163" s="4322">
        <v>1</v>
      </c>
      <c r="C163" s="4322">
        <v>1</v>
      </c>
      <c r="D163" s="4322">
        <v>1</v>
      </c>
      <c r="E163" s="4322">
        <v>1</v>
      </c>
      <c r="F163" s="4322">
        <v>1</v>
      </c>
      <c r="G163" s="4322">
        <v>1</v>
      </c>
      <c r="H163" s="4322">
        <v>1</v>
      </c>
      <c r="I163" s="4322">
        <v>1</v>
      </c>
      <c r="J163" s="4322">
        <v>1</v>
      </c>
      <c r="K163" s="4322">
        <v>1</v>
      </c>
      <c r="L163" s="4322">
        <v>1</v>
      </c>
      <c r="M163" s="4322">
        <v>1</v>
      </c>
      <c r="N163" s="4322">
        <v>1</v>
      </c>
      <c r="O163" s="4322">
        <v>1</v>
      </c>
      <c r="P163" s="4322">
        <v>1</v>
      </c>
      <c r="Q163" s="4322">
        <v>1</v>
      </c>
      <c r="R163" s="4322">
        <v>1</v>
      </c>
      <c r="U163" s="4513">
        <v>1</v>
      </c>
    </row>
    <row r="164" spans="2:21">
      <c r="B164" s="4322">
        <v>1</v>
      </c>
      <c r="C164" s="4322">
        <v>1</v>
      </c>
      <c r="D164" s="4322">
        <v>1</v>
      </c>
      <c r="E164" s="4322">
        <v>1</v>
      </c>
      <c r="F164" s="4322">
        <v>1</v>
      </c>
      <c r="G164" s="4322">
        <v>1</v>
      </c>
      <c r="H164" s="4322">
        <v>1</v>
      </c>
      <c r="I164" s="4322">
        <v>1</v>
      </c>
      <c r="J164" s="4322">
        <v>1</v>
      </c>
      <c r="K164" s="4322">
        <v>1</v>
      </c>
      <c r="L164" s="4322">
        <v>1</v>
      </c>
      <c r="M164" s="4322">
        <v>1</v>
      </c>
      <c r="N164" s="4322">
        <v>1</v>
      </c>
      <c r="O164" s="4322">
        <v>1</v>
      </c>
      <c r="P164" s="4322">
        <v>1</v>
      </c>
      <c r="Q164" s="4322">
        <v>1</v>
      </c>
      <c r="R164" s="4322">
        <v>1</v>
      </c>
      <c r="S164" s="4322">
        <v>1</v>
      </c>
      <c r="T164" s="4322">
        <v>1</v>
      </c>
      <c r="U164" s="4513">
        <v>1</v>
      </c>
    </row>
    <row r="165" spans="2:21">
      <c r="B165" s="4322">
        <v>1</v>
      </c>
      <c r="C165" s="4322">
        <v>1</v>
      </c>
      <c r="D165" s="4322">
        <v>1</v>
      </c>
      <c r="E165" s="4322">
        <v>1</v>
      </c>
      <c r="F165" s="4322">
        <v>1</v>
      </c>
      <c r="G165" s="4322">
        <v>1</v>
      </c>
      <c r="H165" s="4322">
        <v>1</v>
      </c>
      <c r="I165" s="4322">
        <v>1</v>
      </c>
      <c r="J165" s="4322">
        <v>1</v>
      </c>
      <c r="K165" s="4322">
        <v>1</v>
      </c>
      <c r="L165" s="4322">
        <v>1</v>
      </c>
      <c r="M165" s="4322">
        <v>1</v>
      </c>
      <c r="N165" s="4322">
        <v>1</v>
      </c>
      <c r="O165" s="4322">
        <v>1</v>
      </c>
      <c r="P165" s="4322">
        <v>1</v>
      </c>
      <c r="Q165" s="4322">
        <v>1</v>
      </c>
      <c r="R165" s="4322">
        <v>1</v>
      </c>
      <c r="S165" s="4322">
        <v>1</v>
      </c>
      <c r="T165" s="4322">
        <v>1</v>
      </c>
      <c r="U165" s="4513">
        <v>1</v>
      </c>
    </row>
    <row r="166" spans="2:21">
      <c r="B166" s="4322">
        <v>1</v>
      </c>
      <c r="C166" s="4322">
        <v>1</v>
      </c>
      <c r="D166" s="4322">
        <v>1</v>
      </c>
      <c r="E166" s="4322">
        <v>1</v>
      </c>
      <c r="F166" s="4322">
        <v>1</v>
      </c>
      <c r="G166" s="4322">
        <v>1</v>
      </c>
      <c r="H166" s="4322">
        <v>1</v>
      </c>
      <c r="I166" s="4322">
        <v>1</v>
      </c>
      <c r="J166" s="4322">
        <v>1</v>
      </c>
      <c r="K166" s="4322">
        <v>1</v>
      </c>
      <c r="L166" s="4322">
        <v>1</v>
      </c>
      <c r="M166" s="4322">
        <v>1</v>
      </c>
      <c r="N166" s="4322">
        <v>1</v>
      </c>
      <c r="O166" s="4322">
        <v>1</v>
      </c>
      <c r="P166" s="4322">
        <v>1</v>
      </c>
      <c r="Q166" s="4322">
        <v>1</v>
      </c>
      <c r="R166" s="4322">
        <v>1</v>
      </c>
      <c r="S166" s="4322">
        <v>1</v>
      </c>
      <c r="T166" s="4322">
        <v>1</v>
      </c>
      <c r="U166" s="4513">
        <v>1</v>
      </c>
    </row>
    <row r="167" spans="2:21">
      <c r="B167" s="4322">
        <v>1</v>
      </c>
      <c r="C167" s="4322">
        <v>1</v>
      </c>
      <c r="D167" s="4322">
        <v>1</v>
      </c>
      <c r="E167" s="4322">
        <v>1</v>
      </c>
      <c r="F167" s="4322">
        <v>1</v>
      </c>
      <c r="G167" s="4322">
        <v>1</v>
      </c>
      <c r="H167" s="4322">
        <v>1</v>
      </c>
      <c r="I167" s="4322">
        <v>1</v>
      </c>
      <c r="J167" s="4322">
        <v>1</v>
      </c>
      <c r="K167" s="4322">
        <v>1</v>
      </c>
      <c r="L167" s="4322">
        <v>1</v>
      </c>
      <c r="M167" s="4322">
        <v>1</v>
      </c>
      <c r="N167" s="4322">
        <v>1</v>
      </c>
      <c r="O167" s="4322">
        <v>1</v>
      </c>
      <c r="P167" s="4322">
        <v>1</v>
      </c>
      <c r="Q167" s="4322">
        <v>1</v>
      </c>
      <c r="R167" s="4322">
        <v>1</v>
      </c>
      <c r="S167" s="4322">
        <v>1</v>
      </c>
      <c r="T167" s="4322">
        <v>1</v>
      </c>
      <c r="U167" s="4513">
        <v>1</v>
      </c>
    </row>
    <row r="168" spans="2:21">
      <c r="B168" s="4322">
        <v>1</v>
      </c>
      <c r="C168" s="4322">
        <v>1</v>
      </c>
      <c r="D168" s="4322">
        <v>1</v>
      </c>
      <c r="E168" s="4322">
        <v>1</v>
      </c>
      <c r="F168" s="4322">
        <v>1</v>
      </c>
      <c r="G168" s="4322">
        <v>1</v>
      </c>
      <c r="H168" s="4322">
        <v>1</v>
      </c>
      <c r="I168" s="4322">
        <v>1</v>
      </c>
      <c r="J168" s="4322">
        <v>1</v>
      </c>
      <c r="K168" s="4322">
        <v>1</v>
      </c>
      <c r="L168" s="4322">
        <v>1</v>
      </c>
      <c r="M168" s="4322">
        <v>1</v>
      </c>
      <c r="N168" s="4322">
        <v>1</v>
      </c>
      <c r="O168" s="4322">
        <v>1</v>
      </c>
      <c r="P168" s="4322">
        <v>1</v>
      </c>
      <c r="Q168" s="4322">
        <v>1</v>
      </c>
      <c r="R168" s="4322">
        <v>1</v>
      </c>
      <c r="S168" s="4322">
        <v>1</v>
      </c>
      <c r="T168" s="4322">
        <v>1</v>
      </c>
      <c r="U168" s="4513">
        <v>1</v>
      </c>
    </row>
    <row r="169" spans="2:21">
      <c r="B169" s="4322">
        <v>1</v>
      </c>
      <c r="C169" s="4322">
        <v>1</v>
      </c>
      <c r="D169" s="4322">
        <v>1</v>
      </c>
      <c r="E169" s="4322">
        <v>1</v>
      </c>
      <c r="F169" s="4322">
        <v>1</v>
      </c>
      <c r="G169" s="4322">
        <v>1</v>
      </c>
      <c r="H169" s="4322">
        <v>1</v>
      </c>
      <c r="I169" s="4322">
        <v>1</v>
      </c>
      <c r="J169" s="4322">
        <v>1</v>
      </c>
      <c r="K169" s="4322">
        <v>1</v>
      </c>
      <c r="L169" s="4322">
        <v>1</v>
      </c>
      <c r="M169" s="4322">
        <v>1</v>
      </c>
      <c r="N169" s="4322">
        <v>1</v>
      </c>
      <c r="O169" s="4322">
        <v>1</v>
      </c>
      <c r="P169" s="4322">
        <v>1</v>
      </c>
      <c r="Q169" s="4322">
        <v>1</v>
      </c>
      <c r="R169" s="4322">
        <v>1</v>
      </c>
      <c r="S169" s="4322">
        <v>1</v>
      </c>
      <c r="T169" s="4322">
        <v>1</v>
      </c>
      <c r="U169" s="4513">
        <v>1</v>
      </c>
    </row>
    <row r="170" spans="2:21">
      <c r="B170" s="4322">
        <v>1</v>
      </c>
      <c r="C170" s="4322">
        <v>1</v>
      </c>
      <c r="D170" s="4322">
        <v>1</v>
      </c>
      <c r="E170" s="4322">
        <v>1</v>
      </c>
      <c r="F170" s="4322">
        <v>1</v>
      </c>
      <c r="G170" s="4322">
        <v>1</v>
      </c>
      <c r="H170" s="4322">
        <v>1</v>
      </c>
      <c r="I170" s="4322">
        <v>1</v>
      </c>
      <c r="J170" s="4322">
        <v>1</v>
      </c>
      <c r="K170" s="4322">
        <v>1</v>
      </c>
      <c r="L170" s="4322">
        <v>1</v>
      </c>
      <c r="M170" s="4322">
        <v>1</v>
      </c>
      <c r="N170" s="4322">
        <v>1</v>
      </c>
      <c r="O170" s="4322">
        <v>1</v>
      </c>
      <c r="P170" s="4322">
        <v>1</v>
      </c>
      <c r="Q170" s="4322">
        <v>1</v>
      </c>
      <c r="R170" s="4322">
        <v>1</v>
      </c>
      <c r="S170" s="4322">
        <v>1</v>
      </c>
      <c r="T170" s="4322">
        <v>1</v>
      </c>
      <c r="U170" s="4513">
        <v>1</v>
      </c>
    </row>
    <row r="171" spans="2:21">
      <c r="B171" s="4322">
        <v>1</v>
      </c>
      <c r="C171" s="4322">
        <v>1</v>
      </c>
      <c r="D171" s="4322">
        <v>1</v>
      </c>
      <c r="E171" s="4322">
        <v>1</v>
      </c>
      <c r="F171" s="4322">
        <v>1</v>
      </c>
      <c r="G171" s="4322">
        <v>1</v>
      </c>
      <c r="H171" s="4322">
        <v>1</v>
      </c>
      <c r="I171" s="4322">
        <v>1</v>
      </c>
      <c r="J171" s="4322">
        <v>1</v>
      </c>
      <c r="K171" s="4322">
        <v>1</v>
      </c>
      <c r="L171" s="4322">
        <v>1</v>
      </c>
      <c r="M171" s="4322">
        <v>1</v>
      </c>
      <c r="N171" s="4322">
        <v>1</v>
      </c>
      <c r="O171" s="4322">
        <v>1</v>
      </c>
      <c r="P171" s="4322">
        <v>1</v>
      </c>
      <c r="Q171" s="4322">
        <v>1</v>
      </c>
      <c r="R171" s="4322">
        <v>1</v>
      </c>
      <c r="S171" s="4322">
        <v>1</v>
      </c>
      <c r="T171" s="4322">
        <v>1</v>
      </c>
      <c r="U171" s="4513">
        <v>1</v>
      </c>
    </row>
    <row r="172" spans="2:21">
      <c r="B172" s="4322">
        <v>1</v>
      </c>
      <c r="C172" s="4322">
        <v>1</v>
      </c>
      <c r="D172" s="4322">
        <v>1</v>
      </c>
      <c r="E172" s="4322">
        <v>1</v>
      </c>
      <c r="F172" s="4322">
        <v>1</v>
      </c>
      <c r="G172" s="4322">
        <v>1</v>
      </c>
      <c r="H172" s="4322">
        <v>1</v>
      </c>
      <c r="I172" s="4322">
        <v>1</v>
      </c>
      <c r="J172" s="4322">
        <v>1</v>
      </c>
      <c r="K172" s="4322">
        <v>1</v>
      </c>
      <c r="L172" s="4322">
        <v>1</v>
      </c>
      <c r="M172" s="4322">
        <v>1</v>
      </c>
      <c r="N172" s="4322">
        <v>1</v>
      </c>
      <c r="O172" s="4322">
        <v>1</v>
      </c>
      <c r="P172" s="4322">
        <v>1</v>
      </c>
      <c r="Q172" s="4322">
        <v>1</v>
      </c>
      <c r="R172" s="4322">
        <v>1</v>
      </c>
      <c r="S172" s="4322">
        <v>1</v>
      </c>
      <c r="T172" s="4322">
        <v>1</v>
      </c>
      <c r="U172" s="4513">
        <v>1</v>
      </c>
    </row>
    <row r="173" spans="2:21">
      <c r="B173" s="4322">
        <v>1</v>
      </c>
      <c r="C173" s="4322">
        <v>1</v>
      </c>
      <c r="D173" s="4322">
        <v>1</v>
      </c>
      <c r="E173" s="4322">
        <v>1</v>
      </c>
      <c r="F173" s="4322">
        <v>1</v>
      </c>
      <c r="G173" s="4322">
        <v>1</v>
      </c>
      <c r="H173" s="4322">
        <v>1</v>
      </c>
      <c r="I173" s="4322">
        <v>1</v>
      </c>
      <c r="J173" s="4322">
        <v>1</v>
      </c>
      <c r="K173" s="4322">
        <v>1</v>
      </c>
      <c r="L173" s="4322">
        <v>1</v>
      </c>
      <c r="M173" s="4322">
        <v>1</v>
      </c>
      <c r="N173" s="4322">
        <v>1</v>
      </c>
      <c r="O173" s="4322">
        <v>1</v>
      </c>
      <c r="P173" s="4322">
        <v>1</v>
      </c>
      <c r="Q173" s="4322">
        <v>1</v>
      </c>
      <c r="R173" s="4322">
        <v>1</v>
      </c>
      <c r="S173" s="4322">
        <v>1</v>
      </c>
      <c r="T173" s="4322">
        <v>1</v>
      </c>
      <c r="U173" s="4513">
        <v>1</v>
      </c>
    </row>
    <row r="174" spans="2:21">
      <c r="B174" s="4322">
        <v>1</v>
      </c>
      <c r="C174" s="4322">
        <v>1</v>
      </c>
      <c r="D174" s="4322">
        <v>1</v>
      </c>
      <c r="E174" s="4322">
        <v>1</v>
      </c>
      <c r="F174" s="4322">
        <v>1</v>
      </c>
      <c r="G174" s="4322">
        <v>1</v>
      </c>
      <c r="H174" s="4322">
        <v>1</v>
      </c>
      <c r="I174" s="4322">
        <v>1</v>
      </c>
      <c r="J174" s="4322">
        <v>1</v>
      </c>
      <c r="K174" s="4322">
        <v>1</v>
      </c>
      <c r="L174" s="4322">
        <v>1</v>
      </c>
      <c r="M174" s="4322">
        <v>1</v>
      </c>
      <c r="N174" s="4322">
        <v>1</v>
      </c>
      <c r="O174" s="4322">
        <v>1</v>
      </c>
      <c r="P174" s="4322">
        <v>1</v>
      </c>
      <c r="Q174" s="4322">
        <v>1</v>
      </c>
      <c r="R174" s="4322">
        <v>1</v>
      </c>
      <c r="S174" s="4322">
        <v>1</v>
      </c>
      <c r="T174" s="4322">
        <v>1</v>
      </c>
      <c r="U174" s="4513">
        <v>1</v>
      </c>
    </row>
    <row r="175" spans="2:21">
      <c r="B175" s="4322">
        <v>1</v>
      </c>
      <c r="C175" s="4322">
        <v>1</v>
      </c>
      <c r="D175" s="4322">
        <v>1</v>
      </c>
      <c r="E175" s="4322">
        <v>1</v>
      </c>
      <c r="F175" s="4322">
        <v>1</v>
      </c>
      <c r="G175" s="4322">
        <v>1</v>
      </c>
      <c r="H175" s="4322">
        <v>1</v>
      </c>
      <c r="I175" s="4322">
        <v>1</v>
      </c>
      <c r="J175" s="4322">
        <v>1</v>
      </c>
      <c r="K175" s="4322">
        <v>1</v>
      </c>
      <c r="L175" s="4322">
        <v>1</v>
      </c>
      <c r="M175" s="4322">
        <v>1</v>
      </c>
      <c r="N175" s="4322">
        <v>1</v>
      </c>
      <c r="O175" s="4322">
        <v>1</v>
      </c>
      <c r="P175" s="4322">
        <v>1</v>
      </c>
      <c r="Q175" s="4322">
        <v>1</v>
      </c>
      <c r="R175" s="4322">
        <v>1</v>
      </c>
      <c r="S175" s="4322">
        <v>1</v>
      </c>
      <c r="T175" s="4322">
        <v>1</v>
      </c>
      <c r="U175" s="4513">
        <v>1</v>
      </c>
    </row>
    <row r="176" spans="2:21">
      <c r="B176" s="4322">
        <v>1</v>
      </c>
      <c r="C176" s="4322">
        <v>1</v>
      </c>
      <c r="D176" s="4322">
        <v>1</v>
      </c>
      <c r="E176" s="4322">
        <v>1</v>
      </c>
      <c r="F176" s="4322">
        <v>1</v>
      </c>
      <c r="G176" s="4322">
        <v>1</v>
      </c>
      <c r="H176" s="4322">
        <v>1</v>
      </c>
      <c r="I176" s="4322">
        <v>1</v>
      </c>
      <c r="J176" s="4322">
        <v>1</v>
      </c>
      <c r="K176" s="4322">
        <v>1</v>
      </c>
      <c r="L176" s="4322">
        <v>1</v>
      </c>
      <c r="M176" s="4322">
        <v>1</v>
      </c>
      <c r="N176" s="4322">
        <v>1</v>
      </c>
      <c r="O176" s="4322">
        <v>1</v>
      </c>
      <c r="P176" s="4322">
        <v>1</v>
      </c>
      <c r="Q176" s="4322">
        <v>1</v>
      </c>
      <c r="R176" s="4322">
        <v>1</v>
      </c>
      <c r="S176" s="4322">
        <v>1</v>
      </c>
      <c r="T176" s="4322">
        <v>1</v>
      </c>
      <c r="U176" s="4513">
        <v>1</v>
      </c>
    </row>
    <row r="177" spans="1:21">
      <c r="B177" s="4322">
        <v>1</v>
      </c>
      <c r="C177" s="4322">
        <v>1</v>
      </c>
      <c r="D177" s="4322">
        <v>1</v>
      </c>
      <c r="E177" s="4322">
        <v>1</v>
      </c>
      <c r="F177" s="4322">
        <v>1</v>
      </c>
      <c r="G177" s="4322">
        <v>1</v>
      </c>
      <c r="H177" s="4322">
        <v>1</v>
      </c>
      <c r="I177" s="4322">
        <v>1</v>
      </c>
      <c r="J177" s="4322">
        <v>1</v>
      </c>
      <c r="K177" s="4322">
        <v>1</v>
      </c>
      <c r="L177" s="4322">
        <v>1</v>
      </c>
      <c r="M177" s="4322">
        <v>1</v>
      </c>
      <c r="N177" s="4322">
        <v>1</v>
      </c>
      <c r="O177" s="4322">
        <v>1</v>
      </c>
      <c r="P177" s="4322">
        <v>1</v>
      </c>
      <c r="Q177" s="4322">
        <v>1</v>
      </c>
      <c r="R177" s="4322">
        <v>1</v>
      </c>
      <c r="S177" s="4322">
        <v>1</v>
      </c>
      <c r="T177" s="4322">
        <v>1</v>
      </c>
      <c r="U177" s="4513">
        <v>1</v>
      </c>
    </row>
    <row r="178" spans="1:21">
      <c r="B178" s="4322">
        <v>1</v>
      </c>
      <c r="C178" s="4322">
        <v>1</v>
      </c>
      <c r="D178" s="4322">
        <v>1</v>
      </c>
      <c r="E178" s="4322">
        <v>1</v>
      </c>
      <c r="F178" s="4322">
        <v>1</v>
      </c>
      <c r="G178" s="4322">
        <v>1</v>
      </c>
      <c r="H178" s="4322">
        <v>1</v>
      </c>
      <c r="I178" s="4322">
        <v>1</v>
      </c>
      <c r="J178" s="4322">
        <v>1</v>
      </c>
      <c r="K178" s="4322">
        <v>1</v>
      </c>
      <c r="L178" s="4322">
        <v>1</v>
      </c>
      <c r="M178" s="4322">
        <v>1</v>
      </c>
      <c r="N178" s="4322">
        <v>1</v>
      </c>
      <c r="O178" s="4322">
        <v>1</v>
      </c>
      <c r="P178" s="4322">
        <v>1</v>
      </c>
      <c r="Q178" s="4322">
        <v>1</v>
      </c>
      <c r="R178" s="4322">
        <v>1</v>
      </c>
      <c r="S178" s="4322">
        <v>1</v>
      </c>
      <c r="T178" s="4322">
        <v>1</v>
      </c>
      <c r="U178" s="4513">
        <v>1</v>
      </c>
    </row>
    <row r="179" spans="1:21">
      <c r="B179" s="4322">
        <v>1</v>
      </c>
      <c r="C179" s="4322">
        <v>1</v>
      </c>
      <c r="D179" s="4322">
        <v>1</v>
      </c>
      <c r="E179" s="4322">
        <v>1</v>
      </c>
      <c r="F179" s="4322">
        <v>1</v>
      </c>
      <c r="G179" s="4322">
        <v>1</v>
      </c>
      <c r="H179" s="4322">
        <v>1</v>
      </c>
      <c r="I179" s="4322">
        <v>1</v>
      </c>
      <c r="J179" s="4322">
        <v>1</v>
      </c>
      <c r="K179" s="4322">
        <v>1</v>
      </c>
      <c r="L179" s="4322">
        <v>1</v>
      </c>
      <c r="M179" s="4322">
        <v>1</v>
      </c>
      <c r="N179" s="4322">
        <v>1</v>
      </c>
      <c r="O179" s="4322">
        <v>1</v>
      </c>
      <c r="P179" s="4322">
        <v>1</v>
      </c>
      <c r="Q179" s="4322">
        <v>1</v>
      </c>
      <c r="R179" s="4322">
        <v>1</v>
      </c>
      <c r="S179" s="4322">
        <v>1</v>
      </c>
      <c r="T179" s="4322">
        <v>1</v>
      </c>
      <c r="U179" s="4513">
        <v>1</v>
      </c>
    </row>
    <row r="180" spans="1:21">
      <c r="B180" s="4322">
        <v>1</v>
      </c>
      <c r="C180" s="4322">
        <v>1</v>
      </c>
      <c r="D180" s="4322">
        <v>1</v>
      </c>
      <c r="E180" s="4322">
        <v>1</v>
      </c>
      <c r="F180" s="4322">
        <v>1</v>
      </c>
      <c r="G180" s="4322">
        <v>1</v>
      </c>
      <c r="H180" s="4322">
        <v>1</v>
      </c>
      <c r="I180" s="4322">
        <v>1</v>
      </c>
      <c r="J180" s="4322">
        <v>1</v>
      </c>
      <c r="K180" s="4322">
        <v>1</v>
      </c>
      <c r="L180" s="4322">
        <v>1</v>
      </c>
      <c r="M180" s="4322">
        <v>1</v>
      </c>
      <c r="N180" s="4322">
        <v>1</v>
      </c>
      <c r="O180" s="4322">
        <v>1</v>
      </c>
      <c r="P180" s="4322">
        <v>1</v>
      </c>
      <c r="Q180" s="4322">
        <v>1</v>
      </c>
      <c r="R180" s="4322">
        <v>1</v>
      </c>
      <c r="S180" s="4322">
        <v>1</v>
      </c>
      <c r="T180" s="4322">
        <v>1</v>
      </c>
      <c r="U180" s="4513">
        <v>1</v>
      </c>
    </row>
    <row r="181" spans="1:21">
      <c r="B181" s="4322">
        <v>1</v>
      </c>
      <c r="C181" s="4322">
        <v>1</v>
      </c>
      <c r="D181" s="4322">
        <v>1</v>
      </c>
      <c r="E181" s="4322">
        <v>1</v>
      </c>
      <c r="F181" s="4322">
        <v>1</v>
      </c>
      <c r="G181" s="4322">
        <v>1</v>
      </c>
      <c r="H181" s="4322">
        <v>1</v>
      </c>
      <c r="I181" s="4322">
        <v>1</v>
      </c>
      <c r="J181" s="4322">
        <v>1</v>
      </c>
      <c r="K181" s="4322">
        <v>1</v>
      </c>
      <c r="L181" s="4322">
        <v>1</v>
      </c>
      <c r="M181" s="4322">
        <v>1</v>
      </c>
      <c r="N181" s="4322">
        <v>1</v>
      </c>
      <c r="O181" s="4322">
        <v>1</v>
      </c>
      <c r="P181" s="4322">
        <v>1</v>
      </c>
      <c r="Q181" s="4322">
        <v>1</v>
      </c>
      <c r="R181" s="4322">
        <v>1</v>
      </c>
      <c r="S181" s="4322">
        <v>1</v>
      </c>
      <c r="T181" s="4322">
        <v>1</v>
      </c>
      <c r="U181" s="4513">
        <v>1</v>
      </c>
    </row>
    <row r="182" spans="1:21">
      <c r="B182" s="4322">
        <v>1</v>
      </c>
      <c r="C182" s="4322">
        <v>1</v>
      </c>
      <c r="D182" s="4322">
        <v>1</v>
      </c>
      <c r="E182" s="4322">
        <v>1</v>
      </c>
      <c r="F182" s="4322">
        <v>1</v>
      </c>
      <c r="G182" s="4322">
        <v>1</v>
      </c>
      <c r="H182" s="4322">
        <v>1</v>
      </c>
      <c r="I182" s="4322">
        <v>1</v>
      </c>
      <c r="J182" s="4322">
        <v>1</v>
      </c>
      <c r="K182" s="4322">
        <v>1</v>
      </c>
      <c r="L182" s="4322">
        <v>1</v>
      </c>
      <c r="M182" s="4322">
        <v>1</v>
      </c>
      <c r="N182" s="4322">
        <v>1</v>
      </c>
      <c r="O182" s="4322">
        <v>1</v>
      </c>
      <c r="P182" s="4322">
        <v>1</v>
      </c>
      <c r="Q182" s="4322">
        <v>1</v>
      </c>
      <c r="R182" s="4322">
        <v>1</v>
      </c>
      <c r="S182" s="4322">
        <v>1</v>
      </c>
      <c r="T182" s="4322">
        <v>1</v>
      </c>
      <c r="U182" s="4513">
        <v>1</v>
      </c>
    </row>
    <row r="183" spans="1:21">
      <c r="A183" s="4517"/>
      <c r="B183" s="4322">
        <v>1</v>
      </c>
      <c r="C183" s="4322">
        <v>1</v>
      </c>
      <c r="D183" s="4322">
        <v>1</v>
      </c>
      <c r="E183" s="4322">
        <v>1</v>
      </c>
      <c r="F183" s="4322">
        <v>1</v>
      </c>
      <c r="G183" s="4322">
        <v>1</v>
      </c>
      <c r="H183" s="4322">
        <v>1</v>
      </c>
      <c r="I183" s="4322">
        <v>1</v>
      </c>
      <c r="J183" s="4322">
        <v>1</v>
      </c>
      <c r="K183" s="4322">
        <v>1</v>
      </c>
      <c r="L183" s="4322">
        <v>1</v>
      </c>
      <c r="M183" s="4322">
        <v>1</v>
      </c>
      <c r="N183" s="4322">
        <v>1</v>
      </c>
      <c r="O183" s="4322">
        <v>1</v>
      </c>
      <c r="P183" s="4322">
        <v>1</v>
      </c>
      <c r="Q183" s="4322">
        <v>1</v>
      </c>
      <c r="R183" s="4322">
        <v>1</v>
      </c>
      <c r="S183" s="4322">
        <v>1</v>
      </c>
      <c r="T183" s="4322">
        <v>1</v>
      </c>
      <c r="U183" s="4518"/>
    </row>
    <row r="184" spans="1:21">
      <c r="B184" s="4322">
        <v>1</v>
      </c>
      <c r="C184" s="4322">
        <v>1</v>
      </c>
      <c r="D184" s="4322">
        <v>1</v>
      </c>
      <c r="E184" s="4322">
        <v>1</v>
      </c>
      <c r="F184" s="4322">
        <v>1</v>
      </c>
      <c r="G184" s="4322">
        <v>1</v>
      </c>
      <c r="H184" s="4322">
        <v>1</v>
      </c>
      <c r="I184" s="4322">
        <v>1</v>
      </c>
      <c r="J184" s="4322">
        <v>1</v>
      </c>
      <c r="K184" s="4322">
        <v>1</v>
      </c>
      <c r="L184" s="4322">
        <v>1</v>
      </c>
      <c r="M184" s="4322">
        <v>1</v>
      </c>
      <c r="N184" s="4322">
        <v>1</v>
      </c>
      <c r="O184" s="4322">
        <v>1</v>
      </c>
      <c r="P184" s="4322">
        <v>1</v>
      </c>
      <c r="Q184" s="4322">
        <v>1</v>
      </c>
      <c r="R184" s="4322">
        <v>1</v>
      </c>
    </row>
  </sheetData>
  <mergeCells count="28">
    <mergeCell ref="B7:B8"/>
    <mergeCell ref="C7:H7"/>
    <mergeCell ref="O70:O71"/>
    <mergeCell ref="P70:P71"/>
    <mergeCell ref="B9:B66"/>
    <mergeCell ref="O73:O74"/>
    <mergeCell ref="D20:H21"/>
    <mergeCell ref="D23:H24"/>
    <mergeCell ref="D26:H27"/>
    <mergeCell ref="C14:H15"/>
    <mergeCell ref="D29:H30"/>
    <mergeCell ref="D32:H33"/>
    <mergeCell ref="C36:H37"/>
    <mergeCell ref="C41:H42"/>
    <mergeCell ref="B74:B75"/>
    <mergeCell ref="C74:F74"/>
    <mergeCell ref="C121:H122"/>
    <mergeCell ref="C124:H124"/>
    <mergeCell ref="B105:B106"/>
    <mergeCell ref="C105:F105"/>
    <mergeCell ref="B107:B131"/>
    <mergeCell ref="C107:H107"/>
    <mergeCell ref="F110:H110"/>
    <mergeCell ref="B76:B100"/>
    <mergeCell ref="C76:H76"/>
    <mergeCell ref="F79:H79"/>
    <mergeCell ref="C90:H91"/>
    <mergeCell ref="C93:H93"/>
  </mergeCells>
  <conditionalFormatting sqref="E87 E81">
    <cfRule type="cellIs" dxfId="22" priority="19" operator="equal">
      <formula>#REF!</formula>
    </cfRule>
    <cfRule type="cellIs" dxfId="21" priority="20" operator="equal">
      <formula>#REF!</formula>
    </cfRule>
  </conditionalFormatting>
  <conditionalFormatting sqref="G81">
    <cfRule type="cellIs" dxfId="20" priority="15" operator="equal">
      <formula>#REF!</formula>
    </cfRule>
    <cfRule type="cellIs" dxfId="19" priority="16" operator="equal">
      <formula>#REF!</formula>
    </cfRule>
  </conditionalFormatting>
  <conditionalFormatting sqref="E81">
    <cfRule type="cellIs" dxfId="18" priority="17" operator="equal">
      <formula>#REF!</formula>
    </cfRule>
    <cfRule type="cellIs" dxfId="17" priority="18" operator="equal">
      <formula>#REF!</formula>
    </cfRule>
  </conditionalFormatting>
  <conditionalFormatting sqref="I71">
    <cfRule type="cellIs" dxfId="16" priority="13" operator="equal">
      <formula>#REF!</formula>
    </cfRule>
    <cfRule type="cellIs" dxfId="15" priority="14" operator="equal">
      <formula>#REF!</formula>
    </cfRule>
  </conditionalFormatting>
  <conditionalFormatting sqref="I72">
    <cfRule type="cellIs" dxfId="14" priority="11" operator="equal">
      <formula>#REF!</formula>
    </cfRule>
    <cfRule type="cellIs" dxfId="13" priority="12" operator="equal">
      <formula>#REF!</formula>
    </cfRule>
  </conditionalFormatting>
  <conditionalFormatting sqref="E118 E112">
    <cfRule type="cellIs" dxfId="12" priority="9" operator="equal">
      <formula>#REF!</formula>
    </cfRule>
    <cfRule type="cellIs" dxfId="11" priority="10" operator="equal">
      <formula>#REF!</formula>
    </cfRule>
  </conditionalFormatting>
  <conditionalFormatting sqref="E112">
    <cfRule type="cellIs" dxfId="10" priority="7" operator="equal">
      <formula>#REF!</formula>
    </cfRule>
    <cfRule type="cellIs" dxfId="9" priority="8" operator="equal">
      <formula>#REF!</formula>
    </cfRule>
  </conditionalFormatting>
  <conditionalFormatting sqref="J81">
    <cfRule type="cellIs" dxfId="8" priority="5" operator="equal">
      <formula>#REF!</formula>
    </cfRule>
    <cfRule type="cellIs" dxfId="7" priority="6" operator="equal">
      <formula>#REF!</formula>
    </cfRule>
  </conditionalFormatting>
  <conditionalFormatting sqref="J87">
    <cfRule type="cellIs" dxfId="6" priority="3" operator="equal">
      <formula>#REF!</formula>
    </cfRule>
    <cfRule type="cellIs" dxfId="5" priority="4" operator="equal">
      <formula>#REF!</formula>
    </cfRule>
  </conditionalFormatting>
  <conditionalFormatting sqref="J118">
    <cfRule type="cellIs" dxfId="4" priority="1" operator="equal">
      <formula>#REF!</formula>
    </cfRule>
    <cfRule type="cellIs" dxfId="3" priority="2" operator="equal">
      <formula>#REF!</formula>
    </cfRule>
  </conditionalFormatting>
  <hyperlinks>
    <hyperlink ref="D58" r:id="rId1" xr:uid="{23DB8919-F16F-42D6-93C7-EB734819E992}"/>
    <hyperlink ref="D60" r:id="rId2" xr:uid="{22E28692-58FB-4C21-98E0-D4EA0B89D095}"/>
    <hyperlink ref="F60" r:id="rId3" xr:uid="{489DA06D-D105-4115-91FE-4F47D320DF07}"/>
    <hyperlink ref="F58" r:id="rId4" xr:uid="{97D5D917-F6BC-4C11-81F6-CD9D3753BC4F}"/>
    <hyperlink ref="D65" r:id="rId5" xr:uid="{DC8003D5-F5F3-4C7D-AA8E-3E69F04D6BDA}"/>
    <hyperlink ref="R26" r:id="rId6" xr:uid="{32C56A67-6587-471F-9915-B9DD0E0B945C}"/>
    <hyperlink ref="Q38" r:id="rId7" xr:uid="{D6126B53-2D2C-4D28-97C0-58D9F767E8C6}"/>
  </hyperlinks>
  <pageMargins left="0.7" right="0.7" top="0.75" bottom="0.75" header="0.3" footer="0.3"/>
  <pageSetup paperSize="9"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K495"/>
  <sheetViews>
    <sheetView zoomScale="75" zoomScaleNormal="75" workbookViewId="0">
      <selection activeCell="X19" sqref="X19"/>
    </sheetView>
  </sheetViews>
  <sheetFormatPr baseColWidth="10" defaultRowHeight="15.75"/>
  <cols>
    <col min="1" max="1" width="5.75" customWidth="1"/>
    <col min="5" max="5" width="14.25" customWidth="1"/>
    <col min="15" max="15" width="17" customWidth="1"/>
  </cols>
  <sheetData>
    <row r="2" spans="1:18" s="1" customFormat="1" ht="33">
      <c r="A2" s="635">
        <f>(ROW())</f>
        <v>2</v>
      </c>
      <c r="B2" s="5298" t="s">
        <v>708</v>
      </c>
      <c r="C2" s="5298"/>
      <c r="D2" s="5298"/>
      <c r="E2" s="5298"/>
      <c r="F2" s="5298"/>
      <c r="G2" s="5298"/>
      <c r="H2" s="5298"/>
      <c r="I2" s="5298"/>
      <c r="J2" s="5298"/>
      <c r="K2" s="5298"/>
      <c r="L2" s="5298"/>
      <c r="M2" s="5298"/>
      <c r="N2" s="5298"/>
      <c r="O2" s="5298"/>
      <c r="P2" s="5298"/>
      <c r="Q2" s="5298"/>
    </row>
    <row r="3" spans="1:18" s="1" customFormat="1" ht="15">
      <c r="A3" s="2"/>
      <c r="B3" s="3"/>
      <c r="C3" s="3"/>
      <c r="D3" s="3"/>
      <c r="E3" s="3"/>
      <c r="F3" s="3"/>
      <c r="G3" s="3"/>
      <c r="H3" s="2"/>
      <c r="I3" s="2"/>
      <c r="J3" s="2"/>
      <c r="K3" s="2"/>
      <c r="L3" s="2"/>
      <c r="M3" s="2"/>
      <c r="N3" s="2"/>
      <c r="O3" s="2"/>
      <c r="P3" s="2"/>
      <c r="Q3" s="2"/>
    </row>
    <row r="4" spans="1:18" s="1" customFormat="1" ht="23.25">
      <c r="A4" s="2"/>
      <c r="B4" s="3"/>
      <c r="C4" s="1174" t="s">
        <v>363</v>
      </c>
      <c r="D4" s="1174"/>
      <c r="E4" s="1184"/>
      <c r="F4" s="1184"/>
      <c r="G4" s="1184"/>
      <c r="H4" s="1184"/>
      <c r="I4" s="2"/>
      <c r="J4" s="1175" t="s">
        <v>518</v>
      </c>
      <c r="K4" s="1185"/>
      <c r="L4" s="1185"/>
      <c r="M4" s="1185"/>
      <c r="N4" s="1185"/>
      <c r="O4" s="1185"/>
      <c r="P4" s="2"/>
      <c r="Q4" s="2"/>
      <c r="R4" s="1177" t="str">
        <f ca="1">RIGHT(CELL("filename",A1),LEN(CELL("filename",A1))-SEARCH("]",CELL("filename",A1)))</f>
        <v>aides cuisine</v>
      </c>
    </row>
    <row r="5" spans="1:18" s="1" customFormat="1" ht="21">
      <c r="A5" s="2"/>
      <c r="B5" s="3"/>
      <c r="C5" s="4607" t="str">
        <f>B54</f>
        <v>B54</v>
      </c>
      <c r="D5" s="661" t="s">
        <v>691</v>
      </c>
      <c r="E5" s="1184"/>
      <c r="F5" s="1184"/>
      <c r="G5" s="1184"/>
      <c r="H5" s="1184"/>
      <c r="I5" s="2"/>
      <c r="J5" s="4607" t="str">
        <f>J54</f>
        <v>J54</v>
      </c>
      <c r="K5" s="661" t="s">
        <v>691</v>
      </c>
      <c r="L5" s="913"/>
      <c r="M5" s="913"/>
      <c r="N5" s="913"/>
      <c r="O5" s="913"/>
      <c r="P5" s="2"/>
      <c r="Q5" s="2"/>
    </row>
    <row r="6" spans="1:18" s="1" customFormat="1" ht="18.75">
      <c r="A6" s="2"/>
      <c r="B6" s="3"/>
      <c r="E6" s="913"/>
      <c r="F6" s="1186"/>
      <c r="G6" s="1556"/>
      <c r="H6" s="1556"/>
      <c r="I6" s="2"/>
      <c r="J6" s="2"/>
      <c r="K6" s="2"/>
      <c r="L6" s="2"/>
      <c r="M6" s="2"/>
      <c r="N6" s="2"/>
      <c r="O6" s="2"/>
      <c r="P6" s="2"/>
      <c r="Q6" s="2"/>
    </row>
    <row r="7" spans="1:18" s="1" customFormat="1" ht="15" customHeight="1">
      <c r="A7" s="2"/>
      <c r="B7" s="3"/>
      <c r="C7" s="1174" t="s">
        <v>362</v>
      </c>
      <c r="D7" s="1184"/>
      <c r="E7" s="1187"/>
      <c r="F7" s="1187"/>
      <c r="G7" s="1174"/>
      <c r="H7" s="1187"/>
      <c r="I7" s="2"/>
      <c r="J7" s="1174" t="s">
        <v>859</v>
      </c>
      <c r="K7" s="1190"/>
      <c r="L7" s="1190"/>
      <c r="M7" s="2"/>
      <c r="N7" s="2"/>
      <c r="O7" s="2"/>
      <c r="P7" s="2"/>
      <c r="Q7" s="2"/>
    </row>
    <row r="8" spans="1:18" s="1" customFormat="1" ht="21">
      <c r="A8" s="2"/>
      <c r="B8" s="3"/>
      <c r="C8" s="4607" t="str">
        <f>B71</f>
        <v>B71</v>
      </c>
      <c r="D8" s="661" t="s">
        <v>691</v>
      </c>
      <c r="E8" s="913"/>
      <c r="F8" s="1186"/>
      <c r="G8" s="1186"/>
      <c r="H8" s="1186"/>
      <c r="I8" s="2"/>
      <c r="J8" s="4607" t="str">
        <f>H185</f>
        <v>H185</v>
      </c>
      <c r="K8" s="661" t="s">
        <v>691</v>
      </c>
      <c r="L8" s="913"/>
      <c r="M8" s="2"/>
      <c r="N8" s="2"/>
      <c r="O8" s="2"/>
      <c r="P8" s="2"/>
      <c r="Q8" s="2"/>
    </row>
    <row r="9" spans="1:18" s="1" customFormat="1" ht="18.75">
      <c r="A9" s="2"/>
      <c r="B9" s="913"/>
      <c r="C9" s="913"/>
      <c r="D9" s="913"/>
      <c r="E9" s="913"/>
      <c r="F9" s="1186"/>
      <c r="G9" s="1186"/>
      <c r="H9" s="1186"/>
      <c r="I9" s="2"/>
      <c r="J9" s="814"/>
      <c r="K9" s="814"/>
      <c r="L9" s="913"/>
      <c r="M9" s="2"/>
      <c r="N9" s="2"/>
      <c r="O9" s="2"/>
      <c r="P9" s="2"/>
      <c r="Q9" s="2"/>
    </row>
    <row r="10" spans="1:18" s="1" customFormat="1" ht="30">
      <c r="A10" s="2"/>
      <c r="B10" s="3"/>
      <c r="C10" s="1174" t="s">
        <v>875</v>
      </c>
      <c r="D10" s="1188"/>
      <c r="E10" s="1188"/>
      <c r="F10" s="1174"/>
      <c r="G10" s="1174"/>
      <c r="H10" s="1174"/>
      <c r="I10" s="1174"/>
      <c r="J10" s="1174" t="s">
        <v>860</v>
      </c>
      <c r="K10" s="1190"/>
      <c r="L10" s="1188"/>
      <c r="M10" s="1188"/>
      <c r="N10" s="1188"/>
      <c r="O10" s="1188"/>
      <c r="P10" s="1188"/>
      <c r="Q10" s="1188"/>
    </row>
    <row r="11" spans="1:18" s="1" customFormat="1" ht="21">
      <c r="A11" s="2"/>
      <c r="B11" s="3"/>
      <c r="C11" s="4607" t="str">
        <f>B101</f>
        <v>B101</v>
      </c>
      <c r="D11" s="661" t="s">
        <v>691</v>
      </c>
      <c r="E11" s="1040"/>
      <c r="F11" s="1040"/>
      <c r="G11" s="1040"/>
      <c r="H11" s="1040"/>
      <c r="I11" s="1040"/>
      <c r="J11" s="4607" t="str">
        <f>H200</f>
        <v>H200</v>
      </c>
      <c r="K11" s="661" t="s">
        <v>691</v>
      </c>
      <c r="L11" s="2"/>
      <c r="M11" s="1040"/>
      <c r="N11" s="1040"/>
      <c r="O11" s="1040"/>
      <c r="P11" s="1041"/>
      <c r="Q11" s="1040"/>
    </row>
    <row r="12" spans="1:18" s="1" customFormat="1" ht="15">
      <c r="A12" s="2"/>
      <c r="B12" s="3"/>
      <c r="C12" s="3"/>
      <c r="D12" s="3"/>
      <c r="E12" s="3"/>
      <c r="F12" s="3"/>
      <c r="G12" s="3"/>
      <c r="H12" s="2"/>
      <c r="I12" s="2"/>
      <c r="J12" s="2"/>
      <c r="K12" s="2"/>
      <c r="L12" s="2"/>
      <c r="M12" s="2"/>
      <c r="N12" s="2"/>
      <c r="O12" s="2"/>
      <c r="P12" s="2"/>
      <c r="Q12" s="2"/>
    </row>
    <row r="13" spans="1:18" s="1" customFormat="1" ht="21">
      <c r="A13" s="2"/>
      <c r="B13" s="3"/>
      <c r="C13" s="1174" t="s">
        <v>880</v>
      </c>
      <c r="D13" s="659"/>
      <c r="E13" s="659"/>
      <c r="F13" s="659"/>
      <c r="G13" s="659"/>
      <c r="H13" s="2"/>
      <c r="I13" s="2"/>
      <c r="J13" s="1174" t="s">
        <v>903</v>
      </c>
      <c r="K13" s="1190"/>
      <c r="L13" s="2"/>
      <c r="M13" s="2"/>
      <c r="N13" s="2"/>
      <c r="O13" s="2"/>
      <c r="P13" s="2"/>
      <c r="Q13" s="2"/>
    </row>
    <row r="14" spans="1:18" s="1" customFormat="1" ht="21">
      <c r="A14" s="2"/>
      <c r="B14" s="3"/>
      <c r="C14" s="4607" t="str">
        <f>B121</f>
        <v>B121</v>
      </c>
      <c r="D14" s="661" t="s">
        <v>691</v>
      </c>
      <c r="E14" s="1103"/>
      <c r="F14" s="1103"/>
      <c r="G14" s="1103"/>
      <c r="H14" s="2"/>
      <c r="I14" s="2"/>
      <c r="J14" s="4607" t="str">
        <f>N219</f>
        <v>N219</v>
      </c>
      <c r="K14" s="661" t="s">
        <v>691</v>
      </c>
      <c r="L14" s="2"/>
      <c r="M14" s="2"/>
      <c r="N14" s="2"/>
      <c r="O14" s="2"/>
      <c r="P14" s="2"/>
      <c r="Q14" s="2"/>
    </row>
    <row r="15" spans="1:18" s="1" customFormat="1" ht="20.25">
      <c r="A15" s="2"/>
      <c r="B15" s="3"/>
      <c r="C15" s="3"/>
      <c r="D15" s="3"/>
      <c r="E15" s="3"/>
      <c r="F15" s="3"/>
      <c r="G15" s="3"/>
      <c r="H15" s="2"/>
      <c r="I15" s="2"/>
      <c r="J15" s="1189"/>
      <c r="K15" s="1189"/>
      <c r="L15" s="2"/>
      <c r="M15" s="2"/>
      <c r="N15" s="2"/>
      <c r="O15" s="2"/>
      <c r="P15" s="2"/>
      <c r="Q15" s="2"/>
    </row>
    <row r="16" spans="1:18" s="1" customFormat="1" ht="21">
      <c r="A16" s="2"/>
      <c r="B16" s="3"/>
      <c r="C16" s="1174" t="s">
        <v>768</v>
      </c>
      <c r="D16" s="1189"/>
      <c r="E16" s="1189"/>
      <c r="F16" s="1189"/>
      <c r="G16" s="1189"/>
      <c r="H16" s="1189"/>
      <c r="I16" s="1189"/>
      <c r="J16" s="1174" t="s">
        <v>923</v>
      </c>
      <c r="K16" s="1190"/>
      <c r="L16" s="2"/>
      <c r="M16" s="1189"/>
      <c r="N16" s="2"/>
      <c r="O16" s="2"/>
      <c r="P16" s="2"/>
      <c r="Q16" s="2"/>
    </row>
    <row r="17" spans="1:17" s="1" customFormat="1" ht="21">
      <c r="A17" s="2"/>
      <c r="B17" s="3"/>
      <c r="C17" s="4607" t="str">
        <f>B136</f>
        <v>B136</v>
      </c>
      <c r="D17" s="661" t="s">
        <v>691</v>
      </c>
      <c r="E17" s="913"/>
      <c r="F17" s="913"/>
      <c r="G17" s="913"/>
      <c r="H17" s="913"/>
      <c r="I17" s="913"/>
      <c r="J17" s="4607" t="str">
        <f>N231</f>
        <v>N231</v>
      </c>
      <c r="K17" s="661" t="s">
        <v>691</v>
      </c>
      <c r="L17" s="2"/>
      <c r="M17" s="913"/>
      <c r="N17" s="2"/>
      <c r="O17" s="2"/>
      <c r="P17" s="2"/>
      <c r="Q17" s="2"/>
    </row>
    <row r="18" spans="1:17" s="1" customFormat="1" ht="15">
      <c r="A18" s="2"/>
      <c r="B18" s="3"/>
      <c r="C18" s="3"/>
      <c r="D18" s="3"/>
      <c r="E18" s="3"/>
      <c r="F18" s="3"/>
      <c r="G18" s="3"/>
      <c r="H18" s="2"/>
      <c r="I18" s="2"/>
      <c r="J18" s="2"/>
      <c r="K18" s="2"/>
      <c r="L18" s="2"/>
      <c r="M18" s="2"/>
      <c r="N18" s="2"/>
      <c r="O18" s="2"/>
      <c r="P18" s="2"/>
      <c r="Q18" s="2"/>
    </row>
    <row r="19" spans="1:17" s="1" customFormat="1" ht="21">
      <c r="A19" s="2"/>
      <c r="B19" s="3"/>
      <c r="C19" s="1174" t="s">
        <v>1387</v>
      </c>
      <c r="D19" s="3"/>
      <c r="E19" s="3"/>
      <c r="F19" s="3"/>
      <c r="G19" s="3"/>
      <c r="H19" s="2"/>
      <c r="I19" s="2"/>
      <c r="J19" s="1174" t="s">
        <v>117</v>
      </c>
      <c r="K19" s="1190"/>
      <c r="L19" s="2"/>
      <c r="M19" s="2"/>
      <c r="N19" s="2"/>
      <c r="O19" s="2"/>
      <c r="P19" s="2"/>
      <c r="Q19" s="2"/>
    </row>
    <row r="20" spans="1:17" s="1" customFormat="1" ht="21">
      <c r="A20" s="2"/>
      <c r="B20" s="3"/>
      <c r="C20" s="4607" t="str">
        <f>B157</f>
        <v>B157</v>
      </c>
      <c r="D20" s="661" t="s">
        <v>691</v>
      </c>
      <c r="E20" s="3"/>
      <c r="F20" s="3"/>
      <c r="G20" s="3"/>
      <c r="H20" s="2"/>
      <c r="I20" s="2"/>
      <c r="J20" s="4607" t="str">
        <f>M248</f>
        <v>M248</v>
      </c>
      <c r="K20" s="661" t="s">
        <v>691</v>
      </c>
      <c r="L20" s="2"/>
      <c r="M20" s="2"/>
      <c r="N20" s="2"/>
      <c r="O20" s="2"/>
      <c r="P20" s="2"/>
      <c r="Q20" s="2"/>
    </row>
    <row r="21" spans="1:17" s="1" customFormat="1" ht="15">
      <c r="A21" s="2"/>
      <c r="B21" s="3"/>
      <c r="C21" s="3"/>
      <c r="D21" s="3"/>
      <c r="E21" s="3"/>
      <c r="F21" s="3"/>
      <c r="G21" s="3"/>
      <c r="H21" s="2"/>
      <c r="I21" s="2"/>
      <c r="K21" s="2"/>
      <c r="L21" s="2"/>
      <c r="M21" s="2"/>
      <c r="N21" s="2"/>
      <c r="O21" s="2"/>
      <c r="P21" s="2"/>
      <c r="Q21" s="2"/>
    </row>
    <row r="22" spans="1:17" s="1" customFormat="1" ht="21">
      <c r="A22" s="2"/>
      <c r="B22" s="3"/>
      <c r="C22" s="1174" t="s">
        <v>1388</v>
      </c>
      <c r="D22" s="3"/>
      <c r="E22" s="3"/>
      <c r="F22" s="3"/>
      <c r="G22" s="3"/>
      <c r="H22" s="2"/>
      <c r="I22" s="2"/>
      <c r="J22" s="1174" t="s">
        <v>308</v>
      </c>
      <c r="K22" s="659"/>
      <c r="L22" s="2"/>
      <c r="M22" s="2"/>
      <c r="N22" s="2"/>
      <c r="O22" s="2"/>
      <c r="P22" s="2"/>
      <c r="Q22" s="2"/>
    </row>
    <row r="23" spans="1:17" s="1" customFormat="1" ht="21">
      <c r="A23" s="2"/>
      <c r="B23" s="3"/>
      <c r="C23" s="4607" t="str">
        <f>B170</f>
        <v>B170</v>
      </c>
      <c r="D23" s="661" t="s">
        <v>691</v>
      </c>
      <c r="E23" s="3"/>
      <c r="F23" s="3"/>
      <c r="G23" s="3"/>
      <c r="H23" s="2"/>
      <c r="I23" s="2"/>
      <c r="J23" s="4607" t="str">
        <f>B356</f>
        <v>B356</v>
      </c>
      <c r="K23" s="661" t="s">
        <v>691</v>
      </c>
      <c r="L23" s="2"/>
      <c r="M23" s="2"/>
      <c r="N23" s="2"/>
      <c r="O23" s="2"/>
      <c r="P23" s="2"/>
      <c r="Q23" s="2"/>
    </row>
    <row r="24" spans="1:17" s="1" customFormat="1" ht="15">
      <c r="A24" s="2"/>
      <c r="B24" s="3"/>
      <c r="C24" s="3"/>
      <c r="D24" s="3"/>
      <c r="E24" s="3"/>
      <c r="F24" s="3"/>
      <c r="G24" s="3"/>
      <c r="H24" s="2"/>
      <c r="I24" s="2"/>
      <c r="J24" s="3"/>
      <c r="K24" s="3"/>
      <c r="L24" s="2"/>
      <c r="M24" s="2"/>
      <c r="N24" s="2"/>
      <c r="O24" s="2"/>
      <c r="P24" s="2"/>
      <c r="Q24" s="2"/>
    </row>
    <row r="25" spans="1:17" s="1" customFormat="1" ht="21">
      <c r="A25" s="2"/>
      <c r="B25" s="3"/>
      <c r="C25" s="1174" t="s">
        <v>859</v>
      </c>
      <c r="D25" s="1190"/>
      <c r="E25" s="1190"/>
      <c r="F25" s="1190"/>
      <c r="G25" s="3"/>
      <c r="H25" s="2"/>
      <c r="I25" s="2"/>
      <c r="J25" s="1174" t="s">
        <v>324</v>
      </c>
      <c r="K25" s="659"/>
      <c r="L25" s="2"/>
      <c r="M25" s="2"/>
      <c r="N25" s="2"/>
      <c r="O25" s="2"/>
      <c r="P25" s="2"/>
      <c r="Q25" s="2"/>
    </row>
    <row r="26" spans="1:17" s="1" customFormat="1" ht="21">
      <c r="A26" s="2"/>
      <c r="B26" s="3"/>
      <c r="C26" s="4607" t="str">
        <f>B185</f>
        <v>B185</v>
      </c>
      <c r="D26" s="661" t="s">
        <v>691</v>
      </c>
      <c r="E26" s="913"/>
      <c r="F26" s="874"/>
      <c r="G26" s="3"/>
      <c r="H26" s="2"/>
      <c r="I26" s="2"/>
      <c r="J26" s="4607" t="str">
        <f>H343</f>
        <v>H343</v>
      </c>
      <c r="K26" s="661" t="s">
        <v>691</v>
      </c>
      <c r="L26" s="2"/>
      <c r="M26" s="2"/>
      <c r="N26" s="2"/>
      <c r="O26" s="2"/>
      <c r="P26" s="2"/>
      <c r="Q26" s="2"/>
    </row>
    <row r="27" spans="1:17" s="1" customFormat="1" ht="15">
      <c r="A27" s="2"/>
      <c r="B27" s="3"/>
      <c r="C27" s="3"/>
      <c r="D27" s="3"/>
      <c r="E27" s="3"/>
      <c r="F27" s="3"/>
      <c r="G27" s="3"/>
      <c r="H27" s="2"/>
      <c r="I27" s="2"/>
      <c r="L27" s="2"/>
      <c r="M27" s="2"/>
      <c r="N27" s="2"/>
      <c r="O27" s="2"/>
      <c r="P27" s="2"/>
      <c r="Q27" s="2"/>
    </row>
    <row r="28" spans="1:17" s="1" customFormat="1" ht="21">
      <c r="A28" s="2"/>
      <c r="B28" s="3"/>
      <c r="C28" s="1174" t="s">
        <v>860</v>
      </c>
      <c r="D28" s="1190"/>
      <c r="E28" s="1190"/>
      <c r="F28" s="3"/>
      <c r="G28" s="3"/>
      <c r="H28" s="2"/>
      <c r="I28" s="2"/>
      <c r="J28" s="1174" t="s">
        <v>289</v>
      </c>
      <c r="K28" s="659"/>
      <c r="L28" s="659"/>
      <c r="M28" s="659"/>
      <c r="N28" s="659"/>
      <c r="O28" s="2"/>
      <c r="P28" s="2"/>
      <c r="Q28" s="2"/>
    </row>
    <row r="29" spans="1:17" s="1" customFormat="1" ht="21">
      <c r="A29" s="2"/>
      <c r="B29" s="3"/>
      <c r="C29" s="4607" t="str">
        <f>B200</f>
        <v>B200</v>
      </c>
      <c r="D29" s="661" t="s">
        <v>691</v>
      </c>
      <c r="E29" s="913"/>
      <c r="F29" s="3"/>
      <c r="G29" s="3"/>
      <c r="H29" s="2"/>
      <c r="I29" s="2"/>
      <c r="J29" s="4607" t="str">
        <f>B383</f>
        <v>B383</v>
      </c>
      <c r="K29" s="661" t="s">
        <v>691</v>
      </c>
      <c r="L29" s="1103"/>
      <c r="M29" s="1103"/>
      <c r="N29" s="1103"/>
      <c r="O29" s="2"/>
      <c r="P29" s="2"/>
      <c r="Q29" s="2"/>
    </row>
    <row r="30" spans="1:17" s="1" customFormat="1" ht="18.75">
      <c r="A30" s="2"/>
      <c r="B30" s="3"/>
      <c r="C30" s="3"/>
      <c r="D30" s="3"/>
      <c r="E30" s="3"/>
      <c r="F30" s="3"/>
      <c r="G30" s="3"/>
      <c r="H30" s="2"/>
      <c r="I30" s="2"/>
      <c r="J30" s="3"/>
      <c r="K30" s="3"/>
      <c r="L30" s="3"/>
      <c r="M30" s="2"/>
      <c r="N30" s="1103"/>
      <c r="O30" s="1103"/>
      <c r="P30" s="2"/>
      <c r="Q30" s="2"/>
    </row>
    <row r="31" spans="1:17" s="1" customFormat="1" ht="21">
      <c r="A31" s="2"/>
      <c r="B31" s="3"/>
      <c r="C31" s="1174" t="s">
        <v>875</v>
      </c>
      <c r="D31" s="3"/>
      <c r="E31" s="3"/>
      <c r="F31" s="3"/>
      <c r="G31" s="3"/>
      <c r="H31" s="2"/>
      <c r="I31" s="2"/>
      <c r="J31" s="1174" t="s">
        <v>158</v>
      </c>
      <c r="K31" s="659"/>
      <c r="L31" s="659"/>
      <c r="M31" s="659"/>
      <c r="N31" s="1103"/>
      <c r="O31" s="1103"/>
      <c r="P31" s="2"/>
      <c r="Q31" s="2"/>
    </row>
    <row r="32" spans="1:17" s="1" customFormat="1" ht="21">
      <c r="A32" s="2"/>
      <c r="B32" s="3"/>
      <c r="C32" s="4607" t="str">
        <f>B219</f>
        <v>B219</v>
      </c>
      <c r="D32" s="661" t="s">
        <v>691</v>
      </c>
      <c r="E32" s="3"/>
      <c r="F32" s="3"/>
      <c r="G32" s="3"/>
      <c r="H32" s="2"/>
      <c r="I32" s="2"/>
      <c r="J32" s="4607" t="str">
        <f>B403</f>
        <v>B403</v>
      </c>
      <c r="K32" s="661" t="s">
        <v>691</v>
      </c>
      <c r="L32" s="1103"/>
      <c r="M32" s="1103"/>
      <c r="N32" s="1103"/>
      <c r="O32" s="2"/>
      <c r="P32" s="2"/>
      <c r="Q32" s="2"/>
    </row>
    <row r="33" spans="1:17" s="1" customFormat="1" ht="15">
      <c r="A33" s="2"/>
      <c r="B33" s="3"/>
      <c r="C33" s="3"/>
      <c r="D33" s="3"/>
      <c r="E33" s="3"/>
      <c r="F33" s="3"/>
      <c r="G33" s="3"/>
      <c r="H33" s="2"/>
      <c r="I33" s="2"/>
      <c r="J33" s="3"/>
      <c r="K33" s="3"/>
      <c r="L33" s="3"/>
      <c r="M33" s="2"/>
      <c r="N33" s="2"/>
      <c r="O33" s="2"/>
      <c r="P33" s="2"/>
      <c r="Q33" s="2"/>
    </row>
    <row r="34" spans="1:17" s="1" customFormat="1" ht="21">
      <c r="A34" s="2"/>
      <c r="B34" s="3"/>
      <c r="C34" s="1174" t="s">
        <v>921</v>
      </c>
      <c r="D34" s="659"/>
      <c r="E34" s="659"/>
      <c r="F34" s="659"/>
      <c r="G34" s="659"/>
      <c r="H34" s="2"/>
      <c r="I34" s="2"/>
      <c r="J34" s="1174" t="s">
        <v>145</v>
      </c>
      <c r="K34" s="659"/>
      <c r="L34" s="659"/>
      <c r="M34" s="659"/>
      <c r="N34" s="659"/>
      <c r="O34" s="2"/>
      <c r="P34" s="2"/>
      <c r="Q34" s="2"/>
    </row>
    <row r="35" spans="1:17" s="1" customFormat="1" ht="21">
      <c r="A35" s="2"/>
      <c r="B35" s="3"/>
      <c r="C35" s="4607" t="str">
        <f>B239</f>
        <v>B239</v>
      </c>
      <c r="D35" s="661" t="s">
        <v>691</v>
      </c>
      <c r="E35" s="1103"/>
      <c r="F35" s="1103"/>
      <c r="G35" s="1103"/>
      <c r="H35" s="2"/>
      <c r="I35" s="2"/>
      <c r="J35" s="4607" t="str">
        <f>B417</f>
        <v>B417</v>
      </c>
      <c r="K35" s="661" t="s">
        <v>691</v>
      </c>
      <c r="L35" s="1103"/>
      <c r="M35" s="1103"/>
      <c r="N35" s="1103"/>
      <c r="O35" s="2"/>
      <c r="P35" s="2"/>
      <c r="Q35" s="2"/>
    </row>
    <row r="36" spans="1:17" s="1" customFormat="1" ht="15">
      <c r="A36" s="2"/>
      <c r="B36" s="3"/>
      <c r="C36" s="3"/>
      <c r="D36" s="3"/>
      <c r="E36" s="3"/>
      <c r="F36" s="3"/>
      <c r="G36" s="3"/>
      <c r="H36" s="2"/>
      <c r="I36" s="2"/>
      <c r="J36" s="3"/>
      <c r="K36" s="3"/>
      <c r="L36" s="3"/>
      <c r="M36" s="2"/>
      <c r="N36" s="2"/>
      <c r="O36" s="2"/>
      <c r="P36" s="2"/>
      <c r="Q36" s="2"/>
    </row>
    <row r="37" spans="1:17" s="1" customFormat="1" ht="21">
      <c r="A37" s="2"/>
      <c r="B37" s="3"/>
      <c r="C37" s="1174" t="s">
        <v>107</v>
      </c>
      <c r="D37" s="659"/>
      <c r="E37" s="659"/>
      <c r="F37" s="659"/>
      <c r="G37" s="659"/>
      <c r="H37" s="2"/>
      <c r="I37" s="2"/>
      <c r="J37" s="1174" t="s">
        <v>129</v>
      </c>
      <c r="K37" s="659"/>
      <c r="L37" s="659"/>
      <c r="M37" s="659"/>
      <c r="N37" s="659"/>
      <c r="O37" s="2"/>
      <c r="P37" s="2"/>
      <c r="Q37" s="2"/>
    </row>
    <row r="38" spans="1:17" s="1" customFormat="1" ht="21">
      <c r="A38" s="2"/>
      <c r="B38" s="3"/>
      <c r="C38" s="4607" t="str">
        <f>B248</f>
        <v>B248</v>
      </c>
      <c r="D38" s="661" t="s">
        <v>691</v>
      </c>
      <c r="E38" s="1103"/>
      <c r="F38" s="1103"/>
      <c r="G38" s="1103"/>
      <c r="H38" s="2"/>
      <c r="I38" s="2"/>
      <c r="J38" s="4607" t="str">
        <f>B447</f>
        <v>B447</v>
      </c>
      <c r="K38" s="661" t="s">
        <v>691</v>
      </c>
      <c r="L38" s="1103"/>
      <c r="M38" s="1103"/>
      <c r="N38" s="1103"/>
      <c r="O38" s="2"/>
      <c r="P38" s="2"/>
      <c r="Q38" s="2"/>
    </row>
    <row r="39" spans="1:17" s="1" customFormat="1" ht="15">
      <c r="A39" s="2"/>
      <c r="B39" s="3"/>
      <c r="C39" s="3"/>
      <c r="D39" s="3"/>
      <c r="E39" s="3"/>
      <c r="F39" s="3"/>
      <c r="G39" s="3"/>
      <c r="H39" s="2"/>
      <c r="I39" s="2"/>
      <c r="J39" s="3"/>
      <c r="K39" s="3"/>
      <c r="L39" s="3"/>
      <c r="M39" s="2"/>
      <c r="N39" s="2"/>
      <c r="O39" s="2"/>
      <c r="P39" s="2"/>
      <c r="Q39" s="2"/>
    </row>
    <row r="40" spans="1:17" s="1" customFormat="1" ht="21">
      <c r="A40" s="2"/>
      <c r="B40" s="3"/>
      <c r="C40" s="1174" t="s">
        <v>75</v>
      </c>
      <c r="D40" s="659"/>
      <c r="E40" s="659"/>
      <c r="F40" s="659"/>
      <c r="G40" s="659"/>
      <c r="H40" s="2"/>
      <c r="I40" s="2"/>
      <c r="J40" s="1174" t="s">
        <v>88</v>
      </c>
      <c r="K40" s="659"/>
      <c r="L40" s="659"/>
      <c r="M40" s="659"/>
      <c r="N40" s="659"/>
      <c r="O40" s="2"/>
      <c r="P40" s="2"/>
      <c r="Q40" s="2"/>
    </row>
    <row r="41" spans="1:17" s="1" customFormat="1" ht="21">
      <c r="A41" s="2"/>
      <c r="B41" s="3"/>
      <c r="C41" s="4607" t="str">
        <f>B276</f>
        <v>B276</v>
      </c>
      <c r="D41" s="661" t="s">
        <v>691</v>
      </c>
      <c r="E41" s="1103"/>
      <c r="F41" s="1103"/>
      <c r="G41" s="1103"/>
      <c r="H41" s="2"/>
      <c r="I41" s="2"/>
      <c r="J41" s="4607" t="str">
        <f>B480</f>
        <v>B480</v>
      </c>
      <c r="K41" s="661" t="s">
        <v>691</v>
      </c>
      <c r="L41" s="1103"/>
      <c r="M41" s="1103"/>
      <c r="N41" s="1103"/>
      <c r="O41" s="2"/>
      <c r="P41" s="2"/>
      <c r="Q41" s="2"/>
    </row>
    <row r="42" spans="1:17" s="1" customFormat="1" ht="15">
      <c r="A42" s="2"/>
      <c r="B42" s="3"/>
      <c r="D42" s="2"/>
      <c r="E42" s="2"/>
      <c r="F42" s="3"/>
      <c r="G42" s="3"/>
      <c r="H42" s="2"/>
      <c r="I42" s="2"/>
      <c r="J42" s="2"/>
      <c r="K42" s="2"/>
      <c r="L42" s="3"/>
      <c r="M42" s="2"/>
      <c r="N42" s="2"/>
      <c r="O42" s="2"/>
      <c r="P42" s="2"/>
      <c r="Q42" s="2"/>
    </row>
    <row r="43" spans="1:17" s="1" customFormat="1" ht="21">
      <c r="A43" s="2"/>
      <c r="B43" s="3"/>
      <c r="C43" s="1174" t="s">
        <v>69</v>
      </c>
      <c r="D43" s="659"/>
      <c r="E43" s="659"/>
      <c r="F43" s="659"/>
      <c r="G43" s="659"/>
      <c r="H43" s="2"/>
      <c r="I43" s="2"/>
      <c r="J43" s="2"/>
      <c r="K43" s="2"/>
      <c r="L43" s="659"/>
      <c r="M43" s="659"/>
      <c r="N43" s="659"/>
      <c r="O43" s="2"/>
      <c r="P43" s="2"/>
      <c r="Q43" s="2"/>
    </row>
    <row r="44" spans="1:17" s="1" customFormat="1" ht="21">
      <c r="A44" s="2"/>
      <c r="B44" s="3"/>
      <c r="C44" s="4607" t="str">
        <f>B306</f>
        <v>B306</v>
      </c>
      <c r="D44" s="661" t="s">
        <v>691</v>
      </c>
      <c r="E44" s="1103"/>
      <c r="F44" s="1103"/>
      <c r="G44" s="1103"/>
      <c r="H44" s="2"/>
      <c r="I44" s="2"/>
      <c r="J44" s="2"/>
      <c r="K44" s="2"/>
      <c r="L44" s="1103"/>
      <c r="M44" s="1103"/>
      <c r="N44" s="1103"/>
      <c r="O44" s="2"/>
      <c r="P44" s="2"/>
      <c r="Q44" s="2"/>
    </row>
    <row r="45" spans="1:17" s="1" customFormat="1" ht="15">
      <c r="A45" s="2"/>
      <c r="B45" s="3"/>
      <c r="C45" s="3"/>
      <c r="D45" s="3"/>
      <c r="E45" s="3"/>
      <c r="F45" s="3"/>
      <c r="G45" s="3"/>
      <c r="H45" s="2"/>
      <c r="I45" s="2"/>
      <c r="J45" s="2"/>
      <c r="K45" s="2"/>
      <c r="L45" s="2"/>
      <c r="M45" s="2"/>
      <c r="N45" s="2"/>
      <c r="O45" s="2"/>
      <c r="P45" s="2"/>
      <c r="Q45" s="2"/>
    </row>
    <row r="46" spans="1:17" s="1" customFormat="1" ht="21">
      <c r="A46" s="2"/>
      <c r="B46" s="3"/>
      <c r="C46" s="1174" t="s">
        <v>325</v>
      </c>
      <c r="D46" s="659"/>
      <c r="E46" s="659"/>
      <c r="F46" s="659"/>
      <c r="G46" s="659"/>
      <c r="H46" s="2"/>
      <c r="I46" s="2"/>
      <c r="J46" s="2"/>
      <c r="K46" s="2"/>
      <c r="L46" s="2"/>
      <c r="M46" s="2"/>
      <c r="N46" s="2"/>
      <c r="O46" s="2"/>
      <c r="P46" s="2"/>
      <c r="Q46" s="2"/>
    </row>
    <row r="47" spans="1:17" s="1" customFormat="1" ht="21">
      <c r="A47" s="2"/>
      <c r="B47" s="3"/>
      <c r="C47" s="4607" t="str">
        <f>B343</f>
        <v>B343</v>
      </c>
      <c r="D47" s="661" t="s">
        <v>691</v>
      </c>
      <c r="E47" s="1103"/>
      <c r="F47" s="1103"/>
      <c r="G47" s="1103"/>
      <c r="H47" s="2"/>
      <c r="I47" s="2"/>
      <c r="J47" s="2"/>
      <c r="K47" s="2"/>
      <c r="L47" s="2"/>
      <c r="M47" s="2"/>
      <c r="N47" s="2"/>
      <c r="O47" s="2"/>
      <c r="P47" s="2"/>
      <c r="Q47" s="2"/>
    </row>
    <row r="48" spans="1:17" s="1" customFormat="1" ht="15">
      <c r="A48" s="2"/>
      <c r="B48" s="3"/>
      <c r="C48" s="3"/>
      <c r="D48" s="3"/>
      <c r="E48" s="3"/>
      <c r="F48" s="3"/>
      <c r="G48" s="3"/>
      <c r="H48" s="2"/>
      <c r="I48" s="2"/>
      <c r="J48" s="2"/>
      <c r="K48" s="2"/>
      <c r="L48" s="2"/>
      <c r="M48" s="2"/>
      <c r="N48" s="2"/>
      <c r="O48" s="2"/>
      <c r="P48" s="2"/>
      <c r="Q48" s="2"/>
    </row>
    <row r="49" spans="1:17" s="1" customFormat="1" ht="27" customHeight="1">
      <c r="A49" s="1173" t="s">
        <v>70</v>
      </c>
      <c r="B49" s="5299" t="s">
        <v>975</v>
      </c>
      <c r="C49" s="5299"/>
      <c r="D49" s="5299"/>
      <c r="E49" s="5299"/>
      <c r="F49" s="5299"/>
      <c r="G49" s="5299"/>
      <c r="H49" s="5299"/>
      <c r="I49" s="5299"/>
      <c r="J49" s="5299"/>
      <c r="K49" s="5299"/>
      <c r="L49" s="5299"/>
      <c r="M49" s="5299"/>
      <c r="N49" s="5299"/>
      <c r="O49" s="5299"/>
      <c r="P49" s="5299"/>
      <c r="Q49" s="5299"/>
    </row>
    <row r="50" spans="1:17" s="1" customFormat="1" ht="27" customHeight="1">
      <c r="A50" s="1191"/>
      <c r="B50" s="5299"/>
      <c r="C50" s="5299"/>
      <c r="D50" s="5299"/>
      <c r="E50" s="5299"/>
      <c r="F50" s="5299"/>
      <c r="G50" s="5299"/>
      <c r="H50" s="5299"/>
      <c r="I50" s="5299"/>
      <c r="J50" s="5299"/>
      <c r="K50" s="5299"/>
      <c r="L50" s="5299"/>
      <c r="M50" s="5299"/>
      <c r="N50" s="5299"/>
      <c r="O50" s="5299"/>
      <c r="P50" s="5299"/>
      <c r="Q50" s="5299"/>
    </row>
    <row r="51" spans="1:17" s="1" customFormat="1" thickBot="1">
      <c r="A51" s="2"/>
      <c r="B51" s="3"/>
      <c r="C51" s="3"/>
      <c r="D51" s="3"/>
      <c r="E51" s="3"/>
      <c r="F51" s="3"/>
      <c r="G51" s="3"/>
      <c r="H51" s="2"/>
      <c r="I51" s="2"/>
      <c r="J51" s="2"/>
      <c r="K51" s="2"/>
      <c r="L51" s="2"/>
      <c r="M51" s="2"/>
      <c r="N51" s="2"/>
      <c r="O51" s="2"/>
      <c r="P51" s="2"/>
      <c r="Q51" s="2"/>
    </row>
    <row r="52" spans="1:17" s="1" customFormat="1" ht="15" customHeight="1">
      <c r="A52" s="1530" t="s">
        <v>70</v>
      </c>
      <c r="B52" s="5300" t="s">
        <v>363</v>
      </c>
      <c r="C52" s="5301"/>
      <c r="D52" s="5301"/>
      <c r="E52" s="5301"/>
      <c r="F52" s="5301"/>
      <c r="G52" s="5302"/>
      <c r="H52" s="2"/>
      <c r="I52" s="307" t="s">
        <v>70</v>
      </c>
      <c r="J52" s="5306" t="s">
        <v>518</v>
      </c>
      <c r="K52" s="5307"/>
      <c r="L52" s="5307"/>
      <c r="M52" s="5307"/>
      <c r="N52" s="5307"/>
      <c r="O52" s="5308"/>
      <c r="P52" s="2"/>
      <c r="Q52" s="2"/>
    </row>
    <row r="53" spans="1:17" s="1" customFormat="1" ht="15.75" customHeight="1">
      <c r="A53" s="4784" t="str">
        <f>B52</f>
        <v>LIAISON AU TAPIOCA</v>
      </c>
      <c r="B53" s="5303"/>
      <c r="C53" s="5304"/>
      <c r="D53" s="5304"/>
      <c r="E53" s="5304"/>
      <c r="F53" s="5304"/>
      <c r="G53" s="5305"/>
      <c r="H53" s="2"/>
      <c r="I53" s="4717" t="str">
        <f>J52</f>
        <v>Gastro Norm</v>
      </c>
      <c r="J53" s="636" t="s">
        <v>365</v>
      </c>
      <c r="K53" s="5309" t="s">
        <v>517</v>
      </c>
      <c r="L53" s="5309"/>
      <c r="M53" s="5309"/>
      <c r="N53" s="5309"/>
      <c r="O53" s="5310"/>
      <c r="P53" s="2"/>
      <c r="Q53" s="2"/>
    </row>
    <row r="54" spans="1:17" s="1" customFormat="1" ht="15.75" customHeight="1">
      <c r="A54" s="4784"/>
      <c r="B54" s="558" t="str">
        <f>ADDRESS(ROW(),COLUMN(),4)</f>
        <v>B54</v>
      </c>
      <c r="C54" s="534" t="s">
        <v>691</v>
      </c>
      <c r="D54" s="535"/>
      <c r="E54" s="537"/>
      <c r="F54" s="573"/>
      <c r="G54" s="574"/>
      <c r="H54" s="2"/>
      <c r="I54" s="4717"/>
      <c r="J54" s="637" t="str">
        <f>ADDRESS(ROW(),COLUMN(),4)</f>
        <v>J54</v>
      </c>
      <c r="K54" s="534" t="s">
        <v>691</v>
      </c>
      <c r="L54" s="535"/>
      <c r="M54" s="535"/>
      <c r="N54" s="535"/>
      <c r="O54" s="536"/>
      <c r="P54" s="2"/>
      <c r="Q54" s="2"/>
    </row>
    <row r="55" spans="1:17" s="1" customFormat="1" ht="15.75" customHeight="1">
      <c r="A55" s="4784"/>
      <c r="B55" s="5280" t="s">
        <v>358</v>
      </c>
      <c r="C55" s="5281"/>
      <c r="D55" s="5281"/>
      <c r="E55" s="5281"/>
      <c r="F55" s="5281"/>
      <c r="G55" s="5282"/>
      <c r="H55" s="2"/>
      <c r="I55" s="4717"/>
      <c r="J55" s="5311" t="s">
        <v>516</v>
      </c>
      <c r="K55" s="5312"/>
      <c r="L55" s="5312"/>
      <c r="M55" s="5312"/>
      <c r="N55" s="5312"/>
      <c r="O55" s="5313"/>
      <c r="P55" s="2"/>
      <c r="Q55" s="2"/>
    </row>
    <row r="56" spans="1:17" s="1" customFormat="1" ht="16.5" customHeight="1">
      <c r="A56" s="4784"/>
      <c r="B56" s="5280"/>
      <c r="C56" s="5281"/>
      <c r="D56" s="5281"/>
      <c r="E56" s="5281"/>
      <c r="F56" s="5281"/>
      <c r="G56" s="5282"/>
      <c r="H56" s="2"/>
      <c r="I56" s="4717"/>
      <c r="J56" s="5311"/>
      <c r="K56" s="5312"/>
      <c r="L56" s="5312"/>
      <c r="M56" s="5312"/>
      <c r="N56" s="5312"/>
      <c r="O56" s="5313"/>
      <c r="P56" s="2"/>
      <c r="Q56" s="2"/>
    </row>
    <row r="57" spans="1:17" s="1" customFormat="1" ht="15">
      <c r="A57" s="4784"/>
      <c r="B57" s="1536" t="s">
        <v>341</v>
      </c>
      <c r="C57" s="5296" t="s">
        <v>351</v>
      </c>
      <c r="D57" s="5296"/>
      <c r="E57" s="5296"/>
      <c r="F57" s="5296"/>
      <c r="G57" s="5297"/>
      <c r="H57" s="2"/>
      <c r="I57" s="4717"/>
      <c r="J57" s="5311"/>
      <c r="K57" s="5312"/>
      <c r="L57" s="5312"/>
      <c r="M57" s="5312"/>
      <c r="N57" s="5312"/>
      <c r="O57" s="5313"/>
      <c r="P57" s="2"/>
      <c r="Q57" s="2"/>
    </row>
    <row r="58" spans="1:17" s="1" customFormat="1" ht="15.75" customHeight="1">
      <c r="A58" s="4784"/>
      <c r="B58" s="1536" t="s">
        <v>341</v>
      </c>
      <c r="C58" s="5296" t="s">
        <v>346</v>
      </c>
      <c r="D58" s="5296"/>
      <c r="E58" s="5296"/>
      <c r="F58" s="5296"/>
      <c r="G58" s="5297"/>
      <c r="H58" s="2"/>
      <c r="I58" s="4717"/>
      <c r="J58" s="446"/>
      <c r="K58" s="526"/>
      <c r="L58" s="526"/>
      <c r="M58" s="526"/>
      <c r="N58" s="526"/>
      <c r="O58" s="131"/>
      <c r="P58" s="2"/>
      <c r="Q58" s="2"/>
    </row>
    <row r="59" spans="1:17" s="1" customFormat="1" ht="15.75" customHeight="1">
      <c r="A59" s="4784"/>
      <c r="B59" s="1536" t="s">
        <v>341</v>
      </c>
      <c r="C59" s="5296" t="s">
        <v>340</v>
      </c>
      <c r="D59" s="5296"/>
      <c r="E59" s="5296"/>
      <c r="F59" s="5296"/>
      <c r="G59" s="5297"/>
      <c r="H59" s="2"/>
      <c r="I59" s="4717"/>
      <c r="J59" s="446"/>
      <c r="K59" s="526"/>
      <c r="L59" s="526"/>
      <c r="M59" s="526"/>
      <c r="N59" s="526"/>
      <c r="O59" s="131"/>
      <c r="P59" s="2"/>
      <c r="Q59" s="2"/>
    </row>
    <row r="60" spans="1:17" s="1" customFormat="1" ht="15" customHeight="1">
      <c r="A60" s="4784"/>
      <c r="B60" s="1536" t="s">
        <v>336</v>
      </c>
      <c r="C60" s="5296" t="s">
        <v>335</v>
      </c>
      <c r="D60" s="5296"/>
      <c r="E60" s="5296"/>
      <c r="F60" s="5296"/>
      <c r="G60" s="5297"/>
      <c r="H60" s="2"/>
      <c r="I60" s="4717"/>
      <c r="J60" s="446"/>
      <c r="K60" s="526"/>
      <c r="L60" s="526"/>
      <c r="M60" s="526"/>
      <c r="N60" s="526"/>
      <c r="O60" s="131"/>
      <c r="P60" s="2"/>
      <c r="Q60" s="2"/>
    </row>
    <row r="61" spans="1:17" s="1" customFormat="1" ht="15">
      <c r="A61" s="4784"/>
      <c r="B61" s="1536" t="s">
        <v>334</v>
      </c>
      <c r="C61" s="5296" t="s">
        <v>333</v>
      </c>
      <c r="D61" s="5296"/>
      <c r="E61" s="5296"/>
      <c r="F61" s="5296"/>
      <c r="G61" s="5297"/>
      <c r="H61" s="3"/>
      <c r="I61" s="4717"/>
      <c r="J61" s="446"/>
      <c r="K61" s="526"/>
      <c r="L61" s="526"/>
      <c r="M61" s="526"/>
      <c r="N61" s="526"/>
      <c r="O61" s="131"/>
      <c r="P61" s="2"/>
      <c r="Q61" s="2"/>
    </row>
    <row r="62" spans="1:17" s="1" customFormat="1" ht="15">
      <c r="A62" s="4784"/>
      <c r="B62" s="1536" t="s">
        <v>331</v>
      </c>
      <c r="C62" s="5296" t="s">
        <v>332</v>
      </c>
      <c r="D62" s="5296"/>
      <c r="E62" s="5296"/>
      <c r="F62" s="5296"/>
      <c r="G62" s="5297"/>
      <c r="H62" s="3"/>
      <c r="I62" s="4717"/>
      <c r="J62" s="446"/>
      <c r="K62" s="526"/>
      <c r="L62" s="526"/>
      <c r="M62" s="526"/>
      <c r="N62" s="526"/>
      <c r="O62" s="131"/>
      <c r="P62" s="2"/>
      <c r="Q62" s="2"/>
    </row>
    <row r="63" spans="1:17" s="1" customFormat="1" ht="15" customHeight="1">
      <c r="A63" s="4784"/>
      <c r="B63" s="1536" t="s">
        <v>331</v>
      </c>
      <c r="C63" s="5296" t="s">
        <v>330</v>
      </c>
      <c r="D63" s="5296"/>
      <c r="E63" s="5296"/>
      <c r="F63" s="5296"/>
      <c r="G63" s="5297"/>
      <c r="H63" s="3"/>
      <c r="I63" s="4717"/>
      <c r="J63" s="446"/>
      <c r="K63" s="526"/>
      <c r="L63" s="526"/>
      <c r="M63" s="526"/>
      <c r="N63" s="526"/>
      <c r="O63" s="131"/>
      <c r="P63" s="2"/>
      <c r="Q63" s="2"/>
    </row>
    <row r="64" spans="1:17" s="1" customFormat="1" ht="15">
      <c r="A64" s="4784"/>
      <c r="B64" s="5280" t="s">
        <v>329</v>
      </c>
      <c r="C64" s="5281" t="s">
        <v>328</v>
      </c>
      <c r="D64" s="5281"/>
      <c r="E64" s="5281"/>
      <c r="F64" s="5281"/>
      <c r="G64" s="5282"/>
      <c r="H64" s="3"/>
      <c r="I64" s="4717"/>
      <c r="J64" s="446"/>
      <c r="K64" s="526"/>
      <c r="L64" s="526"/>
      <c r="M64" s="526"/>
      <c r="N64" s="526"/>
      <c r="O64" s="131"/>
      <c r="P64" s="2"/>
      <c r="Q64" s="2"/>
    </row>
    <row r="65" spans="1:17" s="1" customFormat="1" ht="15" customHeight="1">
      <c r="A65" s="4784"/>
      <c r="B65" s="5280"/>
      <c r="C65" s="5281"/>
      <c r="D65" s="5281"/>
      <c r="E65" s="5281"/>
      <c r="F65" s="5281"/>
      <c r="G65" s="5282"/>
      <c r="H65" s="3"/>
      <c r="I65" s="4717"/>
      <c r="J65" s="446"/>
      <c r="K65" s="526"/>
      <c r="L65" s="526"/>
      <c r="M65" s="526"/>
      <c r="N65" s="526"/>
      <c r="O65" s="131"/>
      <c r="P65" s="2"/>
      <c r="Q65" s="2"/>
    </row>
    <row r="66" spans="1:17" s="1" customFormat="1" ht="15">
      <c r="A66" s="4784"/>
      <c r="B66" s="5280" t="s">
        <v>327</v>
      </c>
      <c r="C66" s="5281" t="s">
        <v>326</v>
      </c>
      <c r="D66" s="5281"/>
      <c r="E66" s="5281"/>
      <c r="F66" s="5281"/>
      <c r="G66" s="5282"/>
      <c r="H66" s="3"/>
      <c r="I66" s="4717"/>
      <c r="J66" s="446"/>
      <c r="K66" s="526"/>
      <c r="L66" s="526"/>
      <c r="M66" s="526"/>
      <c r="N66" s="526"/>
      <c r="O66" s="131"/>
      <c r="P66" s="2"/>
      <c r="Q66" s="2"/>
    </row>
    <row r="67" spans="1:17" s="1" customFormat="1" ht="15">
      <c r="A67" s="4784"/>
      <c r="B67" s="5283"/>
      <c r="C67" s="5284"/>
      <c r="D67" s="5284"/>
      <c r="E67" s="5284"/>
      <c r="F67" s="5284"/>
      <c r="G67" s="5285"/>
      <c r="H67" s="3"/>
      <c r="I67" s="4717"/>
      <c r="J67" s="446"/>
      <c r="K67" s="526"/>
      <c r="L67" s="526"/>
      <c r="M67" s="526"/>
      <c r="N67" s="526"/>
      <c r="O67" s="131"/>
      <c r="P67" s="2"/>
      <c r="Q67" s="2"/>
    </row>
    <row r="68" spans="1:17" s="1" customFormat="1" thickBot="1">
      <c r="A68" s="2"/>
      <c r="B68" s="572"/>
      <c r="C68" s="572"/>
      <c r="D68" s="572"/>
      <c r="E68" s="572"/>
      <c r="F68" s="572"/>
      <c r="G68" s="572"/>
      <c r="H68" s="3"/>
      <c r="I68" s="4717"/>
      <c r="J68" s="446"/>
      <c r="K68" s="526"/>
      <c r="L68" s="526"/>
      <c r="M68" s="526"/>
      <c r="N68" s="526"/>
      <c r="O68" s="131"/>
      <c r="P68" s="2"/>
      <c r="Q68" s="2"/>
    </row>
    <row r="69" spans="1:17" s="1" customFormat="1" ht="15">
      <c r="A69" s="1530" t="s">
        <v>70</v>
      </c>
      <c r="B69" s="5286" t="s">
        <v>362</v>
      </c>
      <c r="C69" s="5287"/>
      <c r="D69" s="5290" t="s">
        <v>361</v>
      </c>
      <c r="E69" s="5290"/>
      <c r="F69" s="5292" t="s">
        <v>360</v>
      </c>
      <c r="G69" s="5294" t="s">
        <v>359</v>
      </c>
      <c r="H69" s="3"/>
      <c r="I69" s="4717"/>
      <c r="J69" s="168"/>
      <c r="K69" s="2"/>
      <c r="L69" s="2"/>
      <c r="M69" s="2"/>
      <c r="N69" s="2"/>
      <c r="O69" s="131"/>
      <c r="P69" s="2"/>
      <c r="Q69" s="2"/>
    </row>
    <row r="70" spans="1:17" s="1" customFormat="1" ht="15">
      <c r="A70" s="4784" t="str">
        <f>B69</f>
        <v>SERVICE DES SAUCES</v>
      </c>
      <c r="B70" s="5288"/>
      <c r="C70" s="5289"/>
      <c r="D70" s="5291"/>
      <c r="E70" s="5291"/>
      <c r="F70" s="5293"/>
      <c r="G70" s="5295"/>
      <c r="H70" s="3"/>
      <c r="I70" s="4717"/>
      <c r="J70" s="168"/>
      <c r="K70" s="2"/>
      <c r="L70" s="2"/>
      <c r="M70" s="2"/>
      <c r="N70" s="2"/>
      <c r="O70" s="131"/>
      <c r="P70" s="2"/>
      <c r="Q70" s="2"/>
    </row>
    <row r="71" spans="1:17" s="1" customFormat="1" ht="18.75">
      <c r="A71" s="4784"/>
      <c r="B71" s="533" t="str">
        <f>ADDRESS(ROW(),COLUMN(),4)</f>
        <v>B71</v>
      </c>
      <c r="C71" s="534" t="s">
        <v>691</v>
      </c>
      <c r="D71" s="535"/>
      <c r="E71" s="537"/>
      <c r="F71" s="537"/>
      <c r="G71" s="538"/>
      <c r="H71" s="3"/>
      <c r="I71" s="4717"/>
      <c r="J71" s="168"/>
      <c r="K71" s="2"/>
      <c r="L71" s="2"/>
      <c r="M71" s="2"/>
      <c r="N71" s="2"/>
      <c r="O71" s="131"/>
      <c r="P71" s="2"/>
      <c r="Q71" s="2"/>
    </row>
    <row r="72" spans="1:17" s="1" customFormat="1" ht="15">
      <c r="A72" s="4784"/>
      <c r="B72" s="5270" t="s">
        <v>357</v>
      </c>
      <c r="C72" s="5271"/>
      <c r="D72" s="575" t="s">
        <v>356</v>
      </c>
      <c r="E72" s="575"/>
      <c r="F72" s="576"/>
      <c r="G72" s="348"/>
      <c r="H72" s="3"/>
      <c r="I72" s="4717"/>
      <c r="J72" s="5272" t="s">
        <v>510</v>
      </c>
      <c r="K72" s="5273"/>
      <c r="L72" s="5273"/>
      <c r="M72" s="5273"/>
      <c r="N72" s="5273"/>
      <c r="O72" s="131"/>
      <c r="P72" s="2"/>
      <c r="Q72" s="2"/>
    </row>
    <row r="73" spans="1:17" s="1" customFormat="1" ht="15">
      <c r="A73" s="4784"/>
      <c r="B73" s="5276" t="s">
        <v>355</v>
      </c>
      <c r="C73" s="5277"/>
      <c r="D73" s="139" t="s">
        <v>354</v>
      </c>
      <c r="E73" s="139"/>
      <c r="F73" s="490" t="s">
        <v>353</v>
      </c>
      <c r="G73" s="347" t="s">
        <v>352</v>
      </c>
      <c r="H73" s="3"/>
      <c r="I73" s="4717"/>
      <c r="J73" s="5272"/>
      <c r="K73" s="5273"/>
      <c r="L73" s="5273"/>
      <c r="M73" s="5273"/>
      <c r="N73" s="5273"/>
      <c r="O73" s="131"/>
      <c r="P73" s="2"/>
      <c r="Q73" s="2"/>
    </row>
    <row r="74" spans="1:17" s="1" customFormat="1" thickBot="1">
      <c r="A74" s="4784"/>
      <c r="B74" s="5276" t="s">
        <v>350</v>
      </c>
      <c r="C74" s="5277"/>
      <c r="D74" s="139" t="s">
        <v>349</v>
      </c>
      <c r="E74" s="139"/>
      <c r="F74" s="490" t="s">
        <v>348</v>
      </c>
      <c r="G74" s="347" t="s">
        <v>347</v>
      </c>
      <c r="H74" s="3"/>
      <c r="I74" s="4717"/>
      <c r="J74" s="5274"/>
      <c r="K74" s="5275"/>
      <c r="L74" s="5275"/>
      <c r="M74" s="5275"/>
      <c r="N74" s="5275"/>
      <c r="O74" s="122"/>
      <c r="P74" s="2"/>
      <c r="Q74" s="2"/>
    </row>
    <row r="75" spans="1:17" s="1" customFormat="1" ht="15">
      <c r="A75" s="4784"/>
      <c r="B75" s="5276" t="s">
        <v>345</v>
      </c>
      <c r="C75" s="5277"/>
      <c r="D75" s="139" t="s">
        <v>344</v>
      </c>
      <c r="E75" s="139"/>
      <c r="F75" s="490" t="s">
        <v>343</v>
      </c>
      <c r="G75" s="347" t="s">
        <v>342</v>
      </c>
      <c r="H75" s="3"/>
      <c r="I75" s="2"/>
      <c r="J75" s="2"/>
      <c r="K75" s="2"/>
      <c r="L75" s="2"/>
      <c r="M75" s="2"/>
      <c r="N75" s="2"/>
      <c r="O75" s="2"/>
      <c r="P75" s="2"/>
      <c r="Q75" s="2"/>
    </row>
    <row r="76" spans="1:17" s="1" customFormat="1" thickBot="1">
      <c r="A76" s="4784"/>
      <c r="B76" s="5278" t="s">
        <v>130</v>
      </c>
      <c r="C76" s="5279"/>
      <c r="D76" s="346" t="s">
        <v>339</v>
      </c>
      <c r="E76" s="346"/>
      <c r="F76" s="1535" t="s">
        <v>338</v>
      </c>
      <c r="G76" s="345" t="s">
        <v>337</v>
      </c>
      <c r="H76" s="3"/>
      <c r="I76" s="2"/>
      <c r="J76" s="2"/>
      <c r="K76" s="2"/>
      <c r="L76" s="2"/>
      <c r="M76" s="2"/>
      <c r="N76" s="2"/>
      <c r="O76" s="2"/>
      <c r="P76" s="2"/>
      <c r="Q76" s="2"/>
    </row>
    <row r="77" spans="1:17" s="1" customFormat="1" ht="15">
      <c r="A77" s="2"/>
      <c r="B77" s="572"/>
      <c r="C77" s="572"/>
      <c r="D77" s="572"/>
      <c r="E77" s="572"/>
      <c r="F77" s="572"/>
      <c r="G77" s="572"/>
      <c r="H77" s="3"/>
      <c r="I77" s="2"/>
      <c r="J77" s="2"/>
      <c r="K77" s="2"/>
      <c r="L77" s="2"/>
      <c r="M77" s="2"/>
      <c r="N77" s="2"/>
      <c r="O77" s="2"/>
      <c r="P77" s="2"/>
      <c r="Q77" s="2"/>
    </row>
    <row r="78" spans="1:17" s="1" customFormat="1" ht="15" customHeight="1">
      <c r="A78" s="2"/>
      <c r="B78" s="356"/>
      <c r="C78" s="485" t="s">
        <v>631</v>
      </c>
      <c r="D78" s="2"/>
      <c r="E78" s="356"/>
      <c r="F78" s="356"/>
      <c r="G78" s="2"/>
      <c r="H78" s="2"/>
      <c r="I78" s="2"/>
      <c r="J78" s="2"/>
      <c r="K78" s="2"/>
      <c r="L78" s="5253" t="s">
        <v>629</v>
      </c>
      <c r="M78" s="5254"/>
      <c r="N78" s="5254"/>
      <c r="O78" s="5255"/>
      <c r="P78" s="2"/>
      <c r="Q78" s="2"/>
    </row>
    <row r="79" spans="1:17" s="1" customFormat="1" ht="15" customHeight="1">
      <c r="A79" s="2"/>
      <c r="B79" s="356"/>
      <c r="C79" s="485"/>
      <c r="D79" s="2"/>
      <c r="E79" s="356"/>
      <c r="F79" s="356"/>
      <c r="G79" s="2"/>
      <c r="H79" s="2"/>
      <c r="I79" s="2"/>
      <c r="J79" s="2"/>
      <c r="K79" s="2"/>
      <c r="L79" s="5256"/>
      <c r="M79" s="5257"/>
      <c r="N79" s="5257"/>
      <c r="O79" s="5258"/>
      <c r="P79" s="2"/>
      <c r="Q79" s="2"/>
    </row>
    <row r="80" spans="1:17" s="1" customFormat="1" ht="15" customHeight="1">
      <c r="A80" s="2"/>
      <c r="B80" s="352" t="s">
        <v>365</v>
      </c>
      <c r="C80" s="483" t="s">
        <v>630</v>
      </c>
      <c r="D80" s="2"/>
      <c r="E80" s="483"/>
      <c r="F80" s="483"/>
      <c r="G80" s="376"/>
      <c r="H80" s="2"/>
      <c r="I80" s="2"/>
      <c r="J80" s="2"/>
      <c r="K80" s="2"/>
      <c r="L80" s="5256"/>
      <c r="M80" s="5257"/>
      <c r="N80" s="5257"/>
      <c r="O80" s="5258"/>
      <c r="P80" s="2"/>
      <c r="Q80" s="2"/>
    </row>
    <row r="81" spans="1:17" s="1" customFormat="1" ht="21">
      <c r="A81" s="2"/>
      <c r="B81" s="486"/>
      <c r="C81" s="486"/>
      <c r="D81" s="2"/>
      <c r="E81" s="483"/>
      <c r="F81" s="483"/>
      <c r="G81" s="376"/>
      <c r="H81" s="2"/>
      <c r="I81" s="2"/>
      <c r="J81" s="2"/>
      <c r="K81" s="2"/>
      <c r="L81" s="5256"/>
      <c r="M81" s="5257"/>
      <c r="N81" s="5257"/>
      <c r="O81" s="5258"/>
      <c r="P81" s="2"/>
      <c r="Q81" s="2"/>
    </row>
    <row r="82" spans="1:17" s="1" customFormat="1" ht="15" customHeight="1">
      <c r="A82" s="2"/>
      <c r="B82" s="352" t="s">
        <v>365</v>
      </c>
      <c r="C82" s="5259" t="s">
        <v>628</v>
      </c>
      <c r="D82" s="5259"/>
      <c r="E82" s="5259"/>
      <c r="F82" s="5259"/>
      <c r="G82" s="5259"/>
      <c r="H82" s="5259"/>
      <c r="I82" s="376"/>
      <c r="J82" s="3"/>
      <c r="K82" s="2"/>
      <c r="L82" s="5260" t="s">
        <v>626</v>
      </c>
      <c r="M82" s="5261"/>
      <c r="N82" s="5261"/>
      <c r="O82" s="5262"/>
      <c r="P82" s="2"/>
      <c r="Q82" s="2"/>
    </row>
    <row r="83" spans="1:17" s="1" customFormat="1" ht="21">
      <c r="A83" s="2"/>
      <c r="B83" s="486"/>
      <c r="C83" s="356"/>
      <c r="D83" s="2"/>
      <c r="E83" s="356"/>
      <c r="F83" s="356"/>
      <c r="G83" s="376"/>
      <c r="H83" s="376"/>
      <c r="I83" s="376"/>
      <c r="J83" s="3"/>
      <c r="K83" s="2"/>
      <c r="L83" s="5260"/>
      <c r="M83" s="5261"/>
      <c r="N83" s="5261"/>
      <c r="O83" s="5262"/>
      <c r="P83" s="2"/>
      <c r="Q83" s="2"/>
    </row>
    <row r="84" spans="1:17" s="1" customFormat="1" ht="21">
      <c r="A84" s="2"/>
      <c r="B84" s="356"/>
      <c r="C84" s="485" t="s">
        <v>627</v>
      </c>
      <c r="D84" s="2"/>
      <c r="E84" s="356"/>
      <c r="F84" s="356"/>
      <c r="G84" s="376"/>
      <c r="H84" s="376"/>
      <c r="I84" s="376"/>
      <c r="J84" s="3"/>
      <c r="K84" s="2"/>
      <c r="L84" s="5263"/>
      <c r="M84" s="5264"/>
      <c r="N84" s="5264"/>
      <c r="O84" s="5265"/>
      <c r="P84" s="2"/>
      <c r="Q84" s="2"/>
    </row>
    <row r="85" spans="1:17" s="1" customFormat="1" ht="21">
      <c r="A85" s="2"/>
      <c r="B85" s="352" t="s">
        <v>365</v>
      </c>
      <c r="C85" s="5266" t="s">
        <v>625</v>
      </c>
      <c r="D85" s="5266"/>
      <c r="E85" s="5266"/>
      <c r="F85" s="5266"/>
      <c r="G85" s="5266"/>
      <c r="H85" s="5266"/>
      <c r="I85" s="5266"/>
      <c r="J85" s="5266"/>
      <c r="K85" s="2"/>
      <c r="L85" s="2"/>
      <c r="M85" s="2"/>
      <c r="N85" s="2"/>
      <c r="O85" s="2"/>
      <c r="P85" s="2"/>
      <c r="Q85" s="2"/>
    </row>
    <row r="86" spans="1:17" s="1" customFormat="1" ht="21">
      <c r="A86" s="2"/>
      <c r="B86" s="483"/>
      <c r="C86" s="483"/>
      <c r="D86" s="2"/>
      <c r="E86" s="483"/>
      <c r="F86" s="483"/>
      <c r="G86" s="376"/>
      <c r="H86" s="482"/>
      <c r="I86" s="376"/>
      <c r="J86" s="3"/>
      <c r="K86" s="3"/>
      <c r="L86" s="3"/>
      <c r="M86" s="3"/>
      <c r="N86" s="3"/>
      <c r="O86" s="3"/>
      <c r="P86" s="2"/>
      <c r="Q86" s="2"/>
    </row>
    <row r="87" spans="1:17" s="1" customFormat="1" ht="21">
      <c r="A87" s="2"/>
      <c r="B87" s="352" t="s">
        <v>365</v>
      </c>
      <c r="C87" s="5241" t="s">
        <v>620</v>
      </c>
      <c r="D87" s="5241"/>
      <c r="E87" s="5241"/>
      <c r="F87" s="376"/>
      <c r="G87" s="376"/>
      <c r="H87" s="482"/>
      <c r="I87" s="376"/>
      <c r="J87" s="3"/>
      <c r="K87" s="3"/>
      <c r="L87" s="5267" t="s">
        <v>622</v>
      </c>
      <c r="M87" s="5268"/>
      <c r="N87" s="5268"/>
      <c r="O87" s="5269"/>
      <c r="P87" s="2"/>
      <c r="Q87" s="2"/>
    </row>
    <row r="88" spans="1:17" s="1" customFormat="1" ht="21" customHeight="1">
      <c r="A88" s="2"/>
      <c r="B88" s="482"/>
      <c r="C88" s="482"/>
      <c r="D88" s="482"/>
      <c r="E88" s="482"/>
      <c r="F88" s="376"/>
      <c r="G88" s="376"/>
      <c r="H88" s="482"/>
      <c r="I88" s="376"/>
      <c r="J88" s="3"/>
      <c r="K88" s="3"/>
      <c r="L88" s="5238" t="s">
        <v>621</v>
      </c>
      <c r="M88" s="5239"/>
      <c r="N88" s="5239"/>
      <c r="O88" s="5240"/>
      <c r="P88" s="2"/>
      <c r="Q88" s="2"/>
    </row>
    <row r="89" spans="1:17" s="1" customFormat="1" ht="21">
      <c r="A89" s="2"/>
      <c r="B89" s="352" t="s">
        <v>365</v>
      </c>
      <c r="C89" s="5241" t="s">
        <v>619</v>
      </c>
      <c r="D89" s="5241"/>
      <c r="E89" s="5241"/>
      <c r="F89" s="376"/>
      <c r="G89" s="376"/>
      <c r="H89" s="482"/>
      <c r="I89" s="376"/>
      <c r="J89" s="3"/>
      <c r="K89" s="3"/>
      <c r="L89" s="5238"/>
      <c r="M89" s="5239"/>
      <c r="N89" s="5239"/>
      <c r="O89" s="5240"/>
      <c r="P89" s="2"/>
      <c r="Q89" s="2"/>
    </row>
    <row r="90" spans="1:17" s="1" customFormat="1" ht="21">
      <c r="A90" s="2"/>
      <c r="B90" s="483"/>
      <c r="C90" s="484"/>
      <c r="D90" s="483"/>
      <c r="E90" s="482"/>
      <c r="F90" s="376"/>
      <c r="G90" s="376"/>
      <c r="H90" s="482"/>
      <c r="I90" s="376"/>
      <c r="J90" s="3"/>
      <c r="K90" s="3"/>
      <c r="L90" s="5238"/>
      <c r="M90" s="5239"/>
      <c r="N90" s="5239"/>
      <c r="O90" s="5240"/>
      <c r="P90" s="2"/>
      <c r="Q90" s="2"/>
    </row>
    <row r="91" spans="1:17" s="1" customFormat="1" ht="21">
      <c r="A91" s="2"/>
      <c r="B91" s="352" t="s">
        <v>365</v>
      </c>
      <c r="C91" s="5242" t="s">
        <v>617</v>
      </c>
      <c r="D91" s="5242"/>
      <c r="E91" s="5242"/>
      <c r="I91" s="376"/>
      <c r="J91" s="3"/>
      <c r="K91" s="2"/>
      <c r="L91" s="5238"/>
      <c r="M91" s="5239"/>
      <c r="N91" s="5239"/>
      <c r="O91" s="5240"/>
      <c r="P91" s="2"/>
      <c r="Q91" s="2"/>
    </row>
    <row r="92" spans="1:17" s="1" customFormat="1" ht="15">
      <c r="A92" s="2"/>
      <c r="B92" s="3"/>
      <c r="C92" s="376"/>
      <c r="D92" s="376"/>
      <c r="E92" s="376"/>
      <c r="F92" s="376"/>
      <c r="G92" s="376"/>
      <c r="H92" s="482"/>
      <c r="I92" s="376"/>
      <c r="J92" s="3"/>
      <c r="K92" s="2"/>
      <c r="L92" s="5243" t="s">
        <v>618</v>
      </c>
      <c r="M92" s="5244"/>
      <c r="N92" s="5244"/>
      <c r="O92" s="5245"/>
      <c r="P92" s="2"/>
      <c r="Q92" s="2"/>
    </row>
    <row r="93" spans="1:17" s="1" customFormat="1" ht="21">
      <c r="A93" s="2"/>
      <c r="B93" s="352" t="s">
        <v>365</v>
      </c>
      <c r="C93" s="5246" t="s">
        <v>616</v>
      </c>
      <c r="D93" s="5246"/>
      <c r="E93" s="5246"/>
      <c r="F93" s="5246"/>
      <c r="G93" s="376"/>
      <c r="H93" s="482"/>
      <c r="I93" s="376"/>
      <c r="J93" s="3"/>
      <c r="K93" s="2"/>
      <c r="L93" s="5243"/>
      <c r="M93" s="5244"/>
      <c r="N93" s="5244"/>
      <c r="O93" s="5245"/>
      <c r="P93" s="2"/>
      <c r="Q93" s="2"/>
    </row>
    <row r="94" spans="1:17" s="1" customFormat="1" ht="21">
      <c r="A94" s="2"/>
      <c r="B94" s="483"/>
      <c r="C94" s="483"/>
      <c r="D94" s="482"/>
      <c r="E94" s="482"/>
      <c r="F94" s="482"/>
      <c r="G94" s="376"/>
      <c r="H94" s="482"/>
      <c r="I94" s="376"/>
      <c r="J94" s="3"/>
      <c r="K94" s="2"/>
      <c r="L94" s="5243"/>
      <c r="M94" s="5244"/>
      <c r="N94" s="5244"/>
      <c r="O94" s="5245"/>
      <c r="P94" s="2"/>
      <c r="Q94" s="2"/>
    </row>
    <row r="95" spans="1:17" s="1" customFormat="1" ht="15">
      <c r="A95" s="2"/>
      <c r="B95" s="2"/>
      <c r="C95" s="2"/>
      <c r="D95" s="2"/>
      <c r="E95" s="2"/>
      <c r="F95" s="2"/>
      <c r="G95" s="376"/>
      <c r="H95" s="482"/>
      <c r="I95" s="376"/>
      <c r="J95" s="3"/>
      <c r="K95" s="2"/>
      <c r="L95" s="5247" t="s">
        <v>615</v>
      </c>
      <c r="M95" s="5248"/>
      <c r="N95" s="5248"/>
      <c r="O95" s="5249"/>
      <c r="P95" s="2"/>
      <c r="Q95" s="2"/>
    </row>
    <row r="96" spans="1:17" s="1" customFormat="1" ht="15" customHeight="1">
      <c r="A96" s="2"/>
      <c r="B96" s="2"/>
      <c r="C96" s="2"/>
      <c r="D96" s="2"/>
      <c r="E96" s="2"/>
      <c r="F96" s="2"/>
      <c r="G96" s="376"/>
      <c r="H96" s="376"/>
      <c r="I96" s="376"/>
      <c r="J96" s="3"/>
      <c r="K96" s="2"/>
      <c r="L96" s="5247"/>
      <c r="M96" s="5248"/>
      <c r="N96" s="5248"/>
      <c r="O96" s="5249"/>
      <c r="P96" s="2"/>
      <c r="Q96" s="2"/>
    </row>
    <row r="97" spans="1:20" s="1" customFormat="1" ht="15">
      <c r="A97" s="2"/>
      <c r="B97" s="2"/>
      <c r="C97" s="2"/>
      <c r="D97" s="2"/>
      <c r="E97" s="2"/>
      <c r="F97" s="2"/>
      <c r="G97" s="376"/>
      <c r="H97" s="376"/>
      <c r="I97" s="376"/>
      <c r="J97" s="3"/>
      <c r="K97" s="2"/>
      <c r="L97" s="5250"/>
      <c r="M97" s="5251"/>
      <c r="N97" s="5251"/>
      <c r="O97" s="5252"/>
      <c r="P97" s="2"/>
      <c r="Q97" s="2"/>
    </row>
    <row r="98" spans="1:20" s="1" customFormat="1" ht="15">
      <c r="A98" s="2"/>
      <c r="B98" s="2"/>
      <c r="C98" s="2"/>
      <c r="D98" s="2"/>
      <c r="E98" s="2"/>
      <c r="F98" s="2"/>
      <c r="G98" s="2"/>
      <c r="H98" s="2"/>
      <c r="I98" s="2"/>
      <c r="J98" s="2"/>
      <c r="K98" s="3"/>
      <c r="L98" s="2"/>
      <c r="M98" s="2"/>
      <c r="N98" s="2"/>
      <c r="O98" s="2"/>
      <c r="P98" s="2"/>
      <c r="Q98" s="2"/>
    </row>
    <row r="99" spans="1:20" s="1" customFormat="1" ht="15">
      <c r="A99" s="2"/>
      <c r="B99" s="2"/>
      <c r="C99" s="2"/>
      <c r="D99" s="2"/>
      <c r="E99" s="2"/>
      <c r="F99" s="2"/>
      <c r="G99" s="2"/>
      <c r="H99" s="2"/>
      <c r="I99" s="2"/>
      <c r="J99" s="2"/>
      <c r="K99" s="3"/>
      <c r="L99" s="2"/>
      <c r="M99" s="2"/>
      <c r="N99" s="2"/>
      <c r="O99" s="2"/>
      <c r="P99" s="2"/>
      <c r="Q99" s="2"/>
    </row>
    <row r="100" spans="1:20" ht="46.5" customHeight="1">
      <c r="A100" s="307" t="s">
        <v>70</v>
      </c>
      <c r="B100" s="5202" t="s">
        <v>875</v>
      </c>
      <c r="C100" s="5203"/>
      <c r="D100" s="5203"/>
      <c r="E100" s="5203"/>
      <c r="F100" s="5203"/>
      <c r="G100" s="5203"/>
      <c r="H100" s="5203"/>
      <c r="I100" s="5203"/>
      <c r="J100" s="5203"/>
      <c r="K100" s="5203"/>
      <c r="L100" s="5203"/>
      <c r="M100" s="5203"/>
      <c r="N100" s="5203"/>
      <c r="O100" s="5203"/>
      <c r="P100" s="5203"/>
      <c r="Q100" s="5203"/>
      <c r="R100" s="5203"/>
      <c r="S100" s="5203"/>
      <c r="T100" s="5204"/>
    </row>
    <row r="101" spans="1:20" ht="26.25" customHeight="1">
      <c r="A101" s="4785" t="str">
        <f>B100</f>
        <v>Gastronormes tableau N° 1</v>
      </c>
      <c r="B101" s="529" t="str">
        <f>ADDRESS(ROW(),COLUMN(),4)</f>
        <v>B101</v>
      </c>
      <c r="C101" s="530" t="s">
        <v>691</v>
      </c>
      <c r="D101" s="1040"/>
      <c r="E101" s="1040"/>
      <c r="F101" s="1040"/>
      <c r="G101" s="1040"/>
      <c r="H101" s="1040"/>
      <c r="I101" s="1040"/>
      <c r="J101" s="1040"/>
      <c r="K101" s="1040"/>
      <c r="L101" s="1040"/>
      <c r="M101" s="1040"/>
      <c r="N101" s="1040"/>
      <c r="O101" s="1041"/>
      <c r="P101" s="1040"/>
      <c r="Q101" s="1041"/>
      <c r="R101" s="1041"/>
      <c r="S101" s="1041"/>
      <c r="T101" s="1048" t="s">
        <v>876</v>
      </c>
    </row>
    <row r="102" spans="1:20" ht="20.100000000000001" customHeight="1">
      <c r="A102" s="4785"/>
      <c r="B102" s="5205" t="s">
        <v>877</v>
      </c>
      <c r="C102" s="5206"/>
      <c r="D102" s="5206"/>
      <c r="E102" s="5206"/>
      <c r="F102" s="5206"/>
      <c r="G102" s="5206"/>
      <c r="H102" s="5206"/>
      <c r="I102" s="5206"/>
      <c r="J102" s="5206"/>
      <c r="K102" s="5206"/>
      <c r="L102" s="5207" t="s">
        <v>878</v>
      </c>
      <c r="M102" s="5208"/>
      <c r="N102" s="5208"/>
      <c r="O102" s="5208"/>
      <c r="P102" s="5208"/>
      <c r="Q102" s="5208"/>
      <c r="R102" s="5208"/>
      <c r="S102" s="5208"/>
      <c r="T102" s="5209"/>
    </row>
    <row r="103" spans="1:20" ht="20.100000000000001" customHeight="1">
      <c r="A103" s="4785"/>
      <c r="B103" s="5210" t="s">
        <v>879</v>
      </c>
      <c r="C103" s="5211"/>
      <c r="D103" s="5211"/>
      <c r="E103" s="5216" t="s">
        <v>880</v>
      </c>
      <c r="F103" s="5219" t="s">
        <v>881</v>
      </c>
      <c r="G103" s="5222" t="s">
        <v>882</v>
      </c>
      <c r="H103" s="5223"/>
      <c r="I103" s="5223"/>
      <c r="J103" s="5223"/>
      <c r="K103" s="5224"/>
      <c r="L103" s="5225" t="s">
        <v>776</v>
      </c>
      <c r="M103" s="5226"/>
      <c r="N103" s="5229" t="s">
        <v>883</v>
      </c>
      <c r="O103" s="5230"/>
      <c r="P103" s="5230"/>
      <c r="Q103" s="5230"/>
      <c r="R103" s="5230"/>
      <c r="S103" s="5230"/>
      <c r="T103" s="5231"/>
    </row>
    <row r="104" spans="1:20" ht="20.100000000000001" customHeight="1">
      <c r="A104" s="4785"/>
      <c r="B104" s="5212"/>
      <c r="C104" s="5213"/>
      <c r="D104" s="5213"/>
      <c r="E104" s="5217"/>
      <c r="F104" s="5220"/>
      <c r="G104" s="1013" t="s">
        <v>64</v>
      </c>
      <c r="H104" s="1014" t="s">
        <v>63</v>
      </c>
      <c r="I104" s="1015" t="s">
        <v>62</v>
      </c>
      <c r="J104" s="1015" t="s">
        <v>61</v>
      </c>
      <c r="K104" s="1015" t="s">
        <v>133</v>
      </c>
      <c r="L104" s="5227"/>
      <c r="M104" s="5228"/>
      <c r="N104" s="5232"/>
      <c r="O104" s="5233"/>
      <c r="P104" s="5233"/>
      <c r="Q104" s="5233"/>
      <c r="R104" s="5233"/>
      <c r="S104" s="5233"/>
      <c r="T104" s="5234"/>
    </row>
    <row r="105" spans="1:20" ht="20.100000000000001" customHeight="1">
      <c r="A105" s="4785"/>
      <c r="B105" s="5212"/>
      <c r="C105" s="5213"/>
      <c r="D105" s="5213"/>
      <c r="E105" s="5217"/>
      <c r="F105" s="5220"/>
      <c r="G105" s="1016">
        <v>12</v>
      </c>
      <c r="H105" s="1016">
        <v>25</v>
      </c>
      <c r="I105" s="1016">
        <v>14</v>
      </c>
      <c r="J105" s="1016">
        <v>7</v>
      </c>
      <c r="K105" s="1016">
        <v>10</v>
      </c>
      <c r="L105" s="5197" t="s">
        <v>140</v>
      </c>
      <c r="M105" s="5198"/>
      <c r="N105" s="5232"/>
      <c r="O105" s="5233"/>
      <c r="P105" s="5233"/>
      <c r="Q105" s="5233"/>
      <c r="R105" s="5233"/>
      <c r="S105" s="5233"/>
      <c r="T105" s="5234"/>
    </row>
    <row r="106" spans="1:20" ht="20.100000000000001" customHeight="1" thickBot="1">
      <c r="A106" s="4785"/>
      <c r="B106" s="5214"/>
      <c r="C106" s="5215"/>
      <c r="D106" s="5215"/>
      <c r="E106" s="5218"/>
      <c r="F106" s="5221"/>
      <c r="G106" s="5199" t="s">
        <v>884</v>
      </c>
      <c r="H106" s="5199"/>
      <c r="I106" s="5199"/>
      <c r="J106" s="5199"/>
      <c r="K106" s="5199"/>
      <c r="L106" s="5200">
        <f>SUM(G105:K105)</f>
        <v>68</v>
      </c>
      <c r="M106" s="5201"/>
      <c r="N106" s="5235"/>
      <c r="O106" s="5236"/>
      <c r="P106" s="5236"/>
      <c r="Q106" s="5236"/>
      <c r="R106" s="5236"/>
      <c r="S106" s="5236"/>
      <c r="T106" s="5237"/>
    </row>
    <row r="107" spans="1:20" ht="20.100000000000001" customHeight="1">
      <c r="A107" s="4785"/>
      <c r="B107" s="1042" t="s">
        <v>885</v>
      </c>
      <c r="C107" s="1043"/>
      <c r="D107" s="1043"/>
      <c r="E107" s="1043"/>
      <c r="F107" s="1043"/>
      <c r="G107" s="1043"/>
      <c r="H107" s="1043"/>
      <c r="I107" s="1043"/>
      <c r="J107" s="1043"/>
      <c r="K107" s="1043"/>
      <c r="L107" s="1043"/>
      <c r="M107" s="1043"/>
      <c r="N107" s="1043"/>
      <c r="O107" s="1043"/>
      <c r="P107" s="1043"/>
      <c r="Q107" s="1043"/>
      <c r="R107" s="1043"/>
      <c r="S107" s="1043"/>
      <c r="T107" s="1044" t="s">
        <v>885</v>
      </c>
    </row>
    <row r="108" spans="1:20" ht="20.100000000000001" customHeight="1">
      <c r="A108" s="4785"/>
      <c r="B108" s="5195" t="s">
        <v>886</v>
      </c>
      <c r="C108" s="5186"/>
      <c r="D108" s="5186"/>
      <c r="E108" s="1017">
        <v>25</v>
      </c>
      <c r="F108" s="1018" t="s">
        <v>887</v>
      </c>
      <c r="G108" s="1019">
        <v>0.5</v>
      </c>
      <c r="H108" s="1019">
        <v>1</v>
      </c>
      <c r="I108" s="1019">
        <v>1</v>
      </c>
      <c r="J108" s="1019">
        <v>1</v>
      </c>
      <c r="K108" s="1019">
        <v>1</v>
      </c>
      <c r="L108" s="1020">
        <f>(G108*G105)+(H108*H105)+(I108*I105)+(J108*J105)+(K108*K105)</f>
        <v>62</v>
      </c>
      <c r="M108" s="5187" t="str">
        <f t="shared" ref="M108:M115" si="0">F108</f>
        <v>paupiettes</v>
      </c>
      <c r="N108" s="5187"/>
      <c r="O108" s="1021">
        <f t="shared" ref="O108:O111" si="1">IF(L108=0,0,INT(L108/E108))</f>
        <v>2</v>
      </c>
      <c r="P108" s="1022">
        <f t="shared" ref="P108:P111" si="2">L108-(O108*E108)</f>
        <v>12</v>
      </c>
      <c r="Q108" s="1023" t="str">
        <f t="shared" ref="Q108:Q111" si="3">IF(P108=0,0,F108)</f>
        <v>paupiettes</v>
      </c>
      <c r="R108" s="1024">
        <f t="shared" ref="R108:R111" si="4">IF(P108=0,0,O108+1)</f>
        <v>3</v>
      </c>
      <c r="S108" s="1022">
        <f t="shared" ref="S108:S111" si="5">IF(P108=0,0,L108-(R108*E108))</f>
        <v>-13</v>
      </c>
      <c r="T108" s="1025" t="str">
        <f t="shared" ref="T108:T111" si="6">IF(S108=0,0,F108)</f>
        <v>paupiettes</v>
      </c>
    </row>
    <row r="109" spans="1:20" ht="20.100000000000001" customHeight="1">
      <c r="A109" s="4785"/>
      <c r="B109" s="5195" t="s">
        <v>888</v>
      </c>
      <c r="C109" s="5186"/>
      <c r="D109" s="5186"/>
      <c r="E109" s="1017">
        <v>12</v>
      </c>
      <c r="F109" s="1018" t="s">
        <v>889</v>
      </c>
      <c r="G109" s="1019">
        <v>1</v>
      </c>
      <c r="H109" s="1019">
        <v>1</v>
      </c>
      <c r="I109" s="1019">
        <v>1</v>
      </c>
      <c r="J109" s="1019">
        <v>1</v>
      </c>
      <c r="K109" s="1019">
        <v>1</v>
      </c>
      <c r="L109" s="1020">
        <f>(G109*G105)+(H109*H105)+(I109*I105)+(J109*J105)+(K109*K105)</f>
        <v>68</v>
      </c>
      <c r="M109" s="5187" t="str">
        <f t="shared" si="0"/>
        <v>Cuisses</v>
      </c>
      <c r="N109" s="5187"/>
      <c r="O109" s="1021">
        <f t="shared" si="1"/>
        <v>5</v>
      </c>
      <c r="P109" s="1022">
        <f t="shared" si="2"/>
        <v>8</v>
      </c>
      <c r="Q109" s="1023" t="str">
        <f t="shared" si="3"/>
        <v>Cuisses</v>
      </c>
      <c r="R109" s="1024">
        <f t="shared" si="4"/>
        <v>6</v>
      </c>
      <c r="S109" s="1022">
        <f t="shared" si="5"/>
        <v>-4</v>
      </c>
      <c r="T109" s="1025" t="str">
        <f t="shared" si="6"/>
        <v>Cuisses</v>
      </c>
    </row>
    <row r="110" spans="1:20" ht="20.100000000000001" customHeight="1">
      <c r="A110" s="4785"/>
      <c r="B110" s="5195" t="s">
        <v>890</v>
      </c>
      <c r="C110" s="5186"/>
      <c r="D110" s="5186"/>
      <c r="E110" s="1017">
        <v>60</v>
      </c>
      <c r="F110" s="1018" t="s">
        <v>891</v>
      </c>
      <c r="G110" s="1019">
        <v>1</v>
      </c>
      <c r="H110" s="1848">
        <v>1.5</v>
      </c>
      <c r="I110" s="1019">
        <v>2</v>
      </c>
      <c r="J110" s="1019">
        <v>3</v>
      </c>
      <c r="K110" s="1019">
        <v>2</v>
      </c>
      <c r="L110" s="1020">
        <f>(G110*G105)+(H110*H105)+(I110*I105)+(J110*J105)+(K110*K105)</f>
        <v>118.5</v>
      </c>
      <c r="M110" s="5187" t="str">
        <f t="shared" si="0"/>
        <v>tranches</v>
      </c>
      <c r="N110" s="5187"/>
      <c r="O110" s="1021">
        <f t="shared" si="1"/>
        <v>1</v>
      </c>
      <c r="P110" s="1022">
        <f t="shared" si="2"/>
        <v>58.5</v>
      </c>
      <c r="Q110" s="1023" t="str">
        <f t="shared" si="3"/>
        <v>tranches</v>
      </c>
      <c r="R110" s="1024">
        <f t="shared" si="4"/>
        <v>2</v>
      </c>
      <c r="S110" s="1022">
        <f t="shared" si="5"/>
        <v>-1.5</v>
      </c>
      <c r="T110" s="1025" t="str">
        <f t="shared" si="6"/>
        <v>tranches</v>
      </c>
    </row>
    <row r="111" spans="1:20" ht="20.100000000000001" customHeight="1" thickBot="1">
      <c r="A111" s="4785"/>
      <c r="B111" s="5195" t="s">
        <v>892</v>
      </c>
      <c r="C111" s="5186"/>
      <c r="D111" s="5186"/>
      <c r="E111" s="1017">
        <v>20</v>
      </c>
      <c r="F111" s="1018" t="s">
        <v>893</v>
      </c>
      <c r="G111" s="1019">
        <v>1</v>
      </c>
      <c r="H111" s="1019">
        <v>1.5</v>
      </c>
      <c r="I111" s="1019">
        <v>2</v>
      </c>
      <c r="J111" s="1019">
        <v>3</v>
      </c>
      <c r="K111" s="1019">
        <v>2</v>
      </c>
      <c r="L111" s="1026">
        <f>(G111*G105)+(H111*H105)+(I111*I105)+(J111*J105)+(K111*K105)</f>
        <v>118.5</v>
      </c>
      <c r="M111" s="5196" t="str">
        <f t="shared" si="0"/>
        <v>tomates</v>
      </c>
      <c r="N111" s="5196"/>
      <c r="O111" s="1027">
        <f t="shared" si="1"/>
        <v>5</v>
      </c>
      <c r="P111" s="1028">
        <f t="shared" si="2"/>
        <v>18.5</v>
      </c>
      <c r="Q111" s="1029" t="str">
        <f t="shared" si="3"/>
        <v>tomates</v>
      </c>
      <c r="R111" s="1030">
        <f t="shared" si="4"/>
        <v>6</v>
      </c>
      <c r="S111" s="1028">
        <f t="shared" si="5"/>
        <v>-1.5</v>
      </c>
      <c r="T111" s="1031" t="str">
        <f t="shared" si="6"/>
        <v>tomates</v>
      </c>
    </row>
    <row r="112" spans="1:20" ht="20.100000000000001" customHeight="1">
      <c r="A112" s="4785"/>
      <c r="B112" s="1045" t="s">
        <v>894</v>
      </c>
      <c r="C112" s="1046"/>
      <c r="D112" s="1046"/>
      <c r="E112" s="1046"/>
      <c r="F112" s="1046"/>
      <c r="G112" s="1046"/>
      <c r="H112" s="1046"/>
      <c r="I112" s="1046"/>
      <c r="J112" s="1046"/>
      <c r="K112" s="1046"/>
      <c r="L112" s="1046"/>
      <c r="M112" s="1046"/>
      <c r="N112" s="1046"/>
      <c r="O112" s="1046"/>
      <c r="P112" s="1046"/>
      <c r="Q112" s="1046"/>
      <c r="R112" s="1046"/>
      <c r="S112" s="1046"/>
      <c r="T112" s="1047" t="s">
        <v>894</v>
      </c>
    </row>
    <row r="113" spans="1:20" ht="20.100000000000001" customHeight="1">
      <c r="A113" s="4785"/>
      <c r="B113" s="5185" t="s">
        <v>895</v>
      </c>
      <c r="C113" s="5186"/>
      <c r="D113" s="5186"/>
      <c r="E113" s="1017">
        <v>3</v>
      </c>
      <c r="F113" s="1018" t="s">
        <v>42</v>
      </c>
      <c r="G113" s="1019">
        <v>7.4999999999999997E-2</v>
      </c>
      <c r="H113" s="1032">
        <v>0.09</v>
      </c>
      <c r="I113" s="1032">
        <v>0.15</v>
      </c>
      <c r="J113" s="1032">
        <v>0.18</v>
      </c>
      <c r="K113" s="1032">
        <v>0.13</v>
      </c>
      <c r="L113" s="1033">
        <f>(G113*G105)+(H113*H105)+(I113*I105)+(J113*J105)+(K113*K105)</f>
        <v>7.81</v>
      </c>
      <c r="M113" s="5187" t="str">
        <f>F113</f>
        <v>Kg</v>
      </c>
      <c r="N113" s="5187"/>
      <c r="O113" s="1021">
        <f>IF(L113=0,0,INT(L113/E113))</f>
        <v>2</v>
      </c>
      <c r="P113" s="1034">
        <f>L113-(O113*E113)</f>
        <v>1.8099999999999996</v>
      </c>
      <c r="Q113" s="1023" t="str">
        <f>IF(P113=0,0,F113)</f>
        <v>Kg</v>
      </c>
      <c r="R113" s="1024">
        <f>IF(P113=0,0,O113+1)</f>
        <v>3</v>
      </c>
      <c r="S113" s="1022">
        <f>IF(P113=0,0,L113-(R113*E113))</f>
        <v>-1.1900000000000004</v>
      </c>
      <c r="T113" s="1035" t="str">
        <f>IF(S113=0,0,F113)</f>
        <v>Kg</v>
      </c>
    </row>
    <row r="114" spans="1:20" ht="20.100000000000001" customHeight="1">
      <c r="A114" s="4785"/>
      <c r="B114" s="5185" t="s">
        <v>896</v>
      </c>
      <c r="C114" s="5186"/>
      <c r="D114" s="5186"/>
      <c r="E114" s="1017">
        <v>7.2</v>
      </c>
      <c r="F114" s="1036" t="s">
        <v>42</v>
      </c>
      <c r="G114" s="1032">
        <v>0.2</v>
      </c>
      <c r="H114" s="1032">
        <v>0.25</v>
      </c>
      <c r="I114" s="1032">
        <v>0.35</v>
      </c>
      <c r="J114" s="1032">
        <v>0.45</v>
      </c>
      <c r="K114" s="1032">
        <v>0.35</v>
      </c>
      <c r="L114" s="1033">
        <f>(G114*G105)+(H114*H105)+(I114*I105)+(J114*J105)+(K114*K105)</f>
        <v>20.2</v>
      </c>
      <c r="M114" s="5187" t="str">
        <f t="shared" si="0"/>
        <v>Kg</v>
      </c>
      <c r="N114" s="5187"/>
      <c r="O114" s="1021">
        <f>IF(L114=0,0,INT(L114/E114))</f>
        <v>2</v>
      </c>
      <c r="P114" s="1034">
        <f>L114-(O114*E114)</f>
        <v>5.7999999999999989</v>
      </c>
      <c r="Q114" s="1023" t="str">
        <f>IF(P114=0,0,F114)</f>
        <v>Kg</v>
      </c>
      <c r="R114" s="1024">
        <f>IF(P114=0,0,O114+1)</f>
        <v>3</v>
      </c>
      <c r="S114" s="1022">
        <f>IF(P114=0,0,L114-(R114*E114))</f>
        <v>-1.4000000000000021</v>
      </c>
      <c r="T114" s="1035" t="str">
        <f>IF(S114=0,0,F114)</f>
        <v>Kg</v>
      </c>
    </row>
    <row r="115" spans="1:20" ht="20.100000000000001" customHeight="1">
      <c r="A115" s="4785"/>
      <c r="B115" s="5188" t="s">
        <v>897</v>
      </c>
      <c r="C115" s="5189"/>
      <c r="D115" s="5189"/>
      <c r="E115" s="1814">
        <v>4</v>
      </c>
      <c r="F115" s="1815" t="s">
        <v>42</v>
      </c>
      <c r="G115" s="1816">
        <v>0.2</v>
      </c>
      <c r="H115" s="1816">
        <v>0.25</v>
      </c>
      <c r="I115" s="1816">
        <v>0.35</v>
      </c>
      <c r="J115" s="1816">
        <v>0.45</v>
      </c>
      <c r="K115" s="1816">
        <v>0.35</v>
      </c>
      <c r="L115" s="1817">
        <f>(G115*G105)+(H115*H105)+(I115*I105)+(J115*J105)+(K115*K105)</f>
        <v>20.2</v>
      </c>
      <c r="M115" s="5190" t="str">
        <f t="shared" si="0"/>
        <v>Kg</v>
      </c>
      <c r="N115" s="5190"/>
      <c r="O115" s="1818">
        <f>IF(L115=0,0,INT(L115/E115))</f>
        <v>5</v>
      </c>
      <c r="P115" s="1819">
        <f>L115-(O115*E115)</f>
        <v>0.19999999999999929</v>
      </c>
      <c r="Q115" s="1820" t="str">
        <f>IF(P115=0,0,F115)</f>
        <v>Kg</v>
      </c>
      <c r="R115" s="1821">
        <f>IF(P115=0,0,O115+1)</f>
        <v>6</v>
      </c>
      <c r="S115" s="1822">
        <f>IF(P115=0,0,L115-(R115*E115))</f>
        <v>-3.8000000000000007</v>
      </c>
      <c r="T115" s="1823" t="str">
        <f>IF(S115=0,0,F115)</f>
        <v>Kg</v>
      </c>
    </row>
    <row r="116" spans="1:20" ht="20.100000000000001" customHeight="1">
      <c r="A116" s="4785"/>
      <c r="B116" s="1824" t="s">
        <v>1048</v>
      </c>
      <c r="C116" s="1825"/>
      <c r="D116" s="1825"/>
      <c r="E116" s="1826"/>
      <c r="F116" s="1827"/>
      <c r="G116" s="1828"/>
      <c r="H116" s="1828"/>
      <c r="I116" s="1828"/>
      <c r="J116" s="1828"/>
      <c r="K116" s="1828"/>
      <c r="L116" s="1829"/>
      <c r="M116" s="1830"/>
      <c r="N116" s="1830"/>
      <c r="O116" s="1831"/>
      <c r="P116" s="1832"/>
      <c r="Q116" s="1833"/>
      <c r="R116" s="1831"/>
      <c r="S116" s="1834"/>
      <c r="T116" s="1835"/>
    </row>
    <row r="117" spans="1:20" ht="20.100000000000001" customHeight="1">
      <c r="A117" s="4785"/>
      <c r="B117" s="1836" t="s">
        <v>1049</v>
      </c>
      <c r="C117" s="1837"/>
      <c r="D117" s="1837"/>
      <c r="E117" s="1838"/>
      <c r="F117" s="1839"/>
      <c r="G117" s="1840"/>
      <c r="H117" s="1840"/>
      <c r="I117" s="1840"/>
      <c r="J117" s="1840"/>
      <c r="K117" s="1840"/>
      <c r="L117" s="1841"/>
      <c r="M117" s="1842"/>
      <c r="N117" s="1842"/>
      <c r="O117" s="1843"/>
      <c r="P117" s="1844"/>
      <c r="Q117" s="1845"/>
      <c r="R117" s="1843"/>
      <c r="S117" s="1846"/>
      <c r="T117" s="1847"/>
    </row>
    <row r="118" spans="1:20" ht="20.100000000000001" customHeight="1">
      <c r="A118" s="4785"/>
      <c r="B118" s="1037"/>
      <c r="C118" s="1037"/>
      <c r="D118" s="1037"/>
      <c r="E118" s="1037"/>
      <c r="F118" s="1037"/>
      <c r="G118" s="5191" t="s">
        <v>687</v>
      </c>
      <c r="H118" s="5191"/>
      <c r="I118" s="5191"/>
      <c r="J118" s="5191"/>
      <c r="K118" s="5191"/>
      <c r="L118" s="1037"/>
      <c r="M118" s="1037"/>
      <c r="N118" s="1037"/>
      <c r="O118" s="1037"/>
      <c r="P118" s="1037"/>
      <c r="Q118" s="1037"/>
      <c r="R118" s="1037"/>
      <c r="S118" s="1038"/>
      <c r="T118" s="1039"/>
    </row>
    <row r="119" spans="1:20" s="1" customFormat="1" thickBot="1">
      <c r="A119" s="2"/>
      <c r="B119" s="2"/>
      <c r="C119" s="2"/>
      <c r="D119" s="2"/>
      <c r="E119" s="2"/>
      <c r="F119" s="2"/>
      <c r="G119" s="2"/>
      <c r="H119" s="2"/>
      <c r="I119" s="2"/>
      <c r="J119" s="2"/>
      <c r="K119" s="3"/>
      <c r="L119" s="3"/>
      <c r="M119" s="2"/>
      <c r="N119" s="2"/>
      <c r="O119" s="2"/>
      <c r="P119" s="2"/>
      <c r="Q119" s="2"/>
    </row>
    <row r="120" spans="1:20" s="1" customFormat="1" ht="18.75">
      <c r="A120" s="1530" t="s">
        <v>70</v>
      </c>
      <c r="B120" s="5192" t="s">
        <v>880</v>
      </c>
      <c r="C120" s="5193"/>
      <c r="D120" s="5193"/>
      <c r="E120" s="5193"/>
      <c r="F120" s="5194"/>
      <c r="G120" s="2"/>
      <c r="H120" s="2"/>
      <c r="I120" s="2"/>
      <c r="J120" s="2"/>
      <c r="K120" s="3"/>
      <c r="L120" s="3"/>
      <c r="M120" s="2"/>
      <c r="N120" s="2"/>
      <c r="O120" s="2"/>
      <c r="P120" s="2"/>
      <c r="Q120" s="2"/>
    </row>
    <row r="121" spans="1:20" s="1" customFormat="1" ht="18.75">
      <c r="A121" s="5107" t="str">
        <f>B120</f>
        <v>Contenance 1 Gastro</v>
      </c>
      <c r="B121" s="533" t="str">
        <f>ADDRESS(ROW(),COLUMN(),4)</f>
        <v>B121</v>
      </c>
      <c r="C121" s="903" t="s">
        <v>691</v>
      </c>
      <c r="D121" s="1056"/>
      <c r="E121" s="1056"/>
      <c r="F121" s="1057"/>
      <c r="G121" s="2"/>
      <c r="H121" s="2"/>
      <c r="I121" s="2"/>
      <c r="J121" s="2"/>
      <c r="K121" s="3"/>
      <c r="L121" s="3"/>
      <c r="M121" s="2"/>
      <c r="N121" s="2"/>
      <c r="O121" s="2"/>
      <c r="P121" s="2"/>
      <c r="Q121" s="2"/>
    </row>
    <row r="122" spans="1:20" s="1" customFormat="1">
      <c r="A122" s="5107"/>
      <c r="B122" s="5174" t="s">
        <v>898</v>
      </c>
      <c r="C122" s="5175"/>
      <c r="D122" s="5175"/>
      <c r="E122" s="1049">
        <v>16</v>
      </c>
      <c r="F122" s="1050" t="s">
        <v>889</v>
      </c>
      <c r="G122" s="2"/>
      <c r="H122" s="2"/>
      <c r="I122" s="2"/>
      <c r="J122" s="2"/>
      <c r="K122" s="3"/>
      <c r="L122" s="3"/>
      <c r="M122" s="3"/>
      <c r="N122" s="3"/>
      <c r="O122" s="2"/>
      <c r="P122" s="2"/>
      <c r="Q122" s="2"/>
    </row>
    <row r="123" spans="1:20" s="1" customFormat="1">
      <c r="A123" s="5107"/>
      <c r="B123" s="5174" t="s">
        <v>899</v>
      </c>
      <c r="C123" s="5175"/>
      <c r="D123" s="5175"/>
      <c r="E123" s="1049">
        <v>24</v>
      </c>
      <c r="F123" s="1050" t="s">
        <v>889</v>
      </c>
      <c r="G123" s="2"/>
      <c r="H123" s="2"/>
      <c r="I123" s="2"/>
      <c r="J123" s="2"/>
      <c r="K123" s="3"/>
      <c r="L123" s="3"/>
      <c r="M123" s="3"/>
      <c r="N123" s="3"/>
      <c r="O123" s="2"/>
      <c r="P123" s="2"/>
      <c r="Q123" s="2"/>
    </row>
    <row r="124" spans="1:20" s="1" customFormat="1">
      <c r="A124" s="5107"/>
      <c r="B124" s="5174" t="s">
        <v>900</v>
      </c>
      <c r="C124" s="5175"/>
      <c r="D124" s="5175"/>
      <c r="E124" s="1049">
        <v>20</v>
      </c>
      <c r="F124" s="1050" t="s">
        <v>889</v>
      </c>
      <c r="G124" s="2"/>
      <c r="H124" s="2"/>
      <c r="I124" s="2"/>
      <c r="J124" s="2"/>
      <c r="K124" s="3"/>
      <c r="L124" s="3"/>
      <c r="M124" s="3"/>
      <c r="N124" s="3"/>
      <c r="O124" s="2"/>
      <c r="P124" s="2"/>
      <c r="Q124" s="2"/>
    </row>
    <row r="125" spans="1:20" s="1" customFormat="1">
      <c r="A125" s="5107"/>
      <c r="B125" s="5174" t="s">
        <v>901</v>
      </c>
      <c r="C125" s="5175"/>
      <c r="D125" s="5175"/>
      <c r="E125" s="1049">
        <v>25</v>
      </c>
      <c r="F125" s="1050" t="s">
        <v>902</v>
      </c>
      <c r="G125" s="2"/>
      <c r="H125" s="2"/>
      <c r="I125" s="2"/>
      <c r="J125" s="2"/>
      <c r="K125" s="3"/>
      <c r="L125" s="3"/>
      <c r="M125" s="2"/>
      <c r="N125" s="2"/>
      <c r="O125" s="2"/>
      <c r="P125" s="2"/>
      <c r="Q125" s="2"/>
    </row>
    <row r="126" spans="1:20" s="1" customFormat="1">
      <c r="A126" s="5107"/>
      <c r="B126" s="5174" t="s">
        <v>886</v>
      </c>
      <c r="C126" s="5175"/>
      <c r="D126" s="5175"/>
      <c r="E126" s="1049">
        <v>25</v>
      </c>
      <c r="F126" s="1050" t="s">
        <v>887</v>
      </c>
      <c r="G126" s="2"/>
      <c r="H126" s="2"/>
      <c r="I126" s="2"/>
      <c r="J126" s="2"/>
      <c r="K126" s="3"/>
      <c r="L126" s="3"/>
      <c r="M126" s="2"/>
      <c r="N126" s="2"/>
      <c r="O126" s="2"/>
      <c r="P126" s="2"/>
      <c r="Q126" s="2"/>
    </row>
    <row r="127" spans="1:20" s="1" customFormat="1">
      <c r="A127" s="5107"/>
      <c r="B127" s="5174" t="s">
        <v>888</v>
      </c>
      <c r="C127" s="5175"/>
      <c r="D127" s="5175"/>
      <c r="E127" s="1049">
        <v>12</v>
      </c>
      <c r="F127" s="1050" t="s">
        <v>889</v>
      </c>
      <c r="G127" s="2"/>
      <c r="H127" s="2"/>
      <c r="I127" s="2"/>
      <c r="J127" s="2"/>
      <c r="K127" s="3"/>
      <c r="L127" s="3"/>
      <c r="M127" s="2"/>
      <c r="N127" s="2"/>
      <c r="O127" s="2"/>
      <c r="P127" s="2"/>
      <c r="Q127" s="2"/>
    </row>
    <row r="128" spans="1:20" s="1" customFormat="1">
      <c r="A128" s="5107"/>
      <c r="B128" s="5174" t="s">
        <v>890</v>
      </c>
      <c r="C128" s="5175"/>
      <c r="D128" s="5175"/>
      <c r="E128" s="1049">
        <v>60</v>
      </c>
      <c r="F128" s="1050" t="s">
        <v>891</v>
      </c>
      <c r="G128" s="2"/>
      <c r="H128" s="2"/>
      <c r="I128" s="2"/>
      <c r="J128" s="2"/>
      <c r="K128" s="3"/>
      <c r="L128" s="3"/>
      <c r="M128" s="2"/>
      <c r="N128" s="2"/>
      <c r="O128" s="2"/>
      <c r="P128" s="2"/>
      <c r="Q128" s="2"/>
    </row>
    <row r="129" spans="1:37" s="1" customFormat="1">
      <c r="A129" s="5107"/>
      <c r="B129" s="5174" t="s">
        <v>892</v>
      </c>
      <c r="C129" s="5175"/>
      <c r="D129" s="5175"/>
      <c r="E129" s="1049">
        <v>20</v>
      </c>
      <c r="F129" s="1050" t="s">
        <v>893</v>
      </c>
      <c r="G129" s="2"/>
      <c r="H129" s="2"/>
      <c r="I129" s="2"/>
      <c r="J129" s="2"/>
      <c r="K129" s="3"/>
      <c r="L129" s="3"/>
      <c r="M129" s="2"/>
      <c r="N129" s="2"/>
      <c r="O129" s="2"/>
      <c r="P129" s="2"/>
      <c r="Q129" s="2"/>
    </row>
    <row r="130" spans="1:37" s="1" customFormat="1" ht="15">
      <c r="A130" s="5107"/>
      <c r="B130" s="1051"/>
      <c r="C130" s="1052"/>
      <c r="D130" s="1052"/>
      <c r="E130" s="1052"/>
      <c r="F130" s="1053"/>
      <c r="G130" s="2"/>
      <c r="H130" s="2"/>
      <c r="I130" s="2"/>
      <c r="J130" s="2"/>
      <c r="K130" s="3"/>
      <c r="L130" s="3"/>
      <c r="M130" s="2"/>
      <c r="N130" s="2"/>
      <c r="O130" s="2"/>
      <c r="P130" s="2"/>
      <c r="Q130" s="2"/>
    </row>
    <row r="131" spans="1:37" s="1" customFormat="1">
      <c r="A131" s="5107"/>
      <c r="B131" s="5174" t="s">
        <v>895</v>
      </c>
      <c r="C131" s="5175"/>
      <c r="D131" s="5175"/>
      <c r="E131" s="1049">
        <v>3</v>
      </c>
      <c r="F131" s="1050" t="s">
        <v>42</v>
      </c>
      <c r="G131" s="2"/>
      <c r="H131" s="2"/>
      <c r="I131" s="2"/>
      <c r="J131" s="2"/>
      <c r="K131" s="3"/>
      <c r="L131" s="3"/>
      <c r="M131" s="2"/>
      <c r="N131" s="2"/>
      <c r="O131" s="2"/>
      <c r="P131" s="2"/>
      <c r="Q131" s="2"/>
    </row>
    <row r="132" spans="1:37" s="1" customFormat="1">
      <c r="A132" s="5107"/>
      <c r="B132" s="5174" t="s">
        <v>896</v>
      </c>
      <c r="C132" s="5175"/>
      <c r="D132" s="5175"/>
      <c r="E132" s="1049">
        <v>7.2</v>
      </c>
      <c r="F132" s="1050" t="s">
        <v>42</v>
      </c>
      <c r="G132" s="2"/>
      <c r="H132" s="2"/>
      <c r="I132" s="2"/>
      <c r="J132" s="2"/>
      <c r="K132" s="3"/>
      <c r="L132" s="3"/>
      <c r="M132" s="2"/>
      <c r="N132" s="2"/>
      <c r="O132" s="2"/>
      <c r="P132" s="2"/>
      <c r="Q132" s="2"/>
    </row>
    <row r="133" spans="1:37" s="1" customFormat="1" ht="16.5" thickBot="1">
      <c r="A133" s="5107"/>
      <c r="B133" s="5176" t="s">
        <v>897</v>
      </c>
      <c r="C133" s="5177"/>
      <c r="D133" s="5177"/>
      <c r="E133" s="1054">
        <v>4</v>
      </c>
      <c r="F133" s="1055" t="s">
        <v>42</v>
      </c>
      <c r="G133" s="2"/>
      <c r="H133" s="2"/>
      <c r="I133" s="2"/>
      <c r="J133" s="2"/>
      <c r="K133" s="3"/>
      <c r="L133" s="3"/>
      <c r="M133" s="2"/>
      <c r="N133" s="2"/>
      <c r="O133" s="2"/>
      <c r="P133" s="2"/>
      <c r="Q133" s="2"/>
    </row>
    <row r="134" spans="1:37" s="1" customFormat="1" thickBot="1">
      <c r="A134" s="2"/>
      <c r="B134" s="2"/>
      <c r="C134" s="2"/>
      <c r="D134" s="2"/>
      <c r="E134" s="2"/>
      <c r="F134" s="2"/>
      <c r="G134" s="2"/>
      <c r="H134" s="2"/>
      <c r="I134" s="2"/>
      <c r="J134" s="2"/>
      <c r="K134" s="3"/>
      <c r="L134" s="3"/>
      <c r="M134" s="2"/>
      <c r="N134" s="2"/>
      <c r="O134" s="2"/>
      <c r="P134" s="2"/>
      <c r="Q134" s="2"/>
    </row>
    <row r="135" spans="1:37" ht="20.25">
      <c r="A135" s="578" t="s">
        <v>70</v>
      </c>
      <c r="B135" s="5178" t="s">
        <v>768</v>
      </c>
      <c r="C135" s="5179"/>
      <c r="D135" s="5179"/>
      <c r="E135" s="5179"/>
      <c r="F135" s="5179"/>
      <c r="G135" s="5179"/>
      <c r="H135" s="5179"/>
      <c r="I135" s="5179"/>
      <c r="J135" s="5179"/>
      <c r="K135" s="5179"/>
      <c r="L135" s="5180"/>
      <c r="M135" s="2"/>
      <c r="N135" s="2"/>
      <c r="O135" s="2"/>
      <c r="P135" s="2"/>
      <c r="Q135" s="2"/>
      <c r="R135" s="1"/>
      <c r="S135" s="1"/>
      <c r="T135" s="1"/>
      <c r="U135" s="1"/>
      <c r="V135" s="1"/>
      <c r="W135" s="1"/>
      <c r="X135" s="1"/>
      <c r="Y135" s="1"/>
      <c r="Z135" s="1"/>
      <c r="AA135" s="1"/>
      <c r="AB135" s="1"/>
      <c r="AC135" s="1"/>
      <c r="AD135" s="1"/>
      <c r="AE135" s="1"/>
      <c r="AF135" s="1"/>
      <c r="AG135" s="1"/>
      <c r="AH135" s="1"/>
      <c r="AI135" s="1"/>
      <c r="AJ135" s="1"/>
      <c r="AK135" s="1"/>
    </row>
    <row r="136" spans="1:37" ht="21.75" customHeight="1">
      <c r="A136" s="5107" t="str">
        <f>B135</f>
        <v>une fonction intéressante : MODULO &gt; MOD</v>
      </c>
      <c r="B136" s="529" t="str">
        <f>ADDRESS(ROW(),COLUMN(),4)</f>
        <v>B136</v>
      </c>
      <c r="C136" s="530" t="s">
        <v>691</v>
      </c>
      <c r="D136" s="917"/>
      <c r="E136" s="917"/>
      <c r="F136" s="917"/>
      <c r="G136" s="917"/>
      <c r="H136" s="917"/>
      <c r="I136" s="917"/>
      <c r="J136" s="917"/>
      <c r="K136" s="917"/>
      <c r="L136" s="1009"/>
      <c r="M136" s="2"/>
      <c r="N136" s="2"/>
      <c r="O136" s="2"/>
      <c r="P136" s="2"/>
      <c r="Q136" s="2"/>
      <c r="R136" s="1"/>
      <c r="S136" s="1"/>
      <c r="T136" s="1"/>
      <c r="U136" s="1"/>
      <c r="V136" s="1"/>
      <c r="W136" s="1"/>
      <c r="X136" s="1"/>
      <c r="Y136" s="1"/>
      <c r="Z136" s="1"/>
      <c r="AA136" s="1"/>
      <c r="AB136" s="1"/>
      <c r="AC136" s="1"/>
      <c r="AD136" s="1"/>
      <c r="AE136" s="1"/>
      <c r="AF136" s="1"/>
      <c r="AG136" s="1"/>
      <c r="AH136" s="1"/>
      <c r="AI136" s="1"/>
      <c r="AJ136" s="1"/>
      <c r="AK136" s="1"/>
    </row>
    <row r="137" spans="1:37" ht="21" customHeight="1">
      <c r="A137" s="5107"/>
      <c r="B137" s="662" t="s">
        <v>769</v>
      </c>
      <c r="C137" s="5181" t="s">
        <v>770</v>
      </c>
      <c r="D137" s="5181"/>
      <c r="E137" s="1534" t="s">
        <v>771</v>
      </c>
      <c r="F137" s="650"/>
      <c r="G137" s="5182" t="s">
        <v>772</v>
      </c>
      <c r="H137" s="5182"/>
      <c r="I137" s="5181" t="s">
        <v>773</v>
      </c>
      <c r="J137" s="5181"/>
      <c r="K137" s="663" t="s">
        <v>774</v>
      </c>
      <c r="L137" s="655"/>
      <c r="M137" s="2"/>
      <c r="N137" s="2"/>
      <c r="O137" s="2"/>
      <c r="P137" s="2"/>
      <c r="Q137" s="2"/>
      <c r="R137" s="1"/>
      <c r="S137" s="1"/>
      <c r="T137" s="1"/>
      <c r="U137" s="1"/>
      <c r="V137" s="1"/>
      <c r="W137" s="1"/>
      <c r="X137" s="1"/>
      <c r="Y137" s="1"/>
      <c r="Z137" s="1"/>
      <c r="AA137" s="1"/>
      <c r="AB137" s="1"/>
      <c r="AC137" s="1"/>
      <c r="AD137" s="1"/>
      <c r="AE137" s="1"/>
      <c r="AF137" s="1"/>
      <c r="AG137" s="1"/>
      <c r="AH137" s="1"/>
      <c r="AI137" s="1"/>
      <c r="AJ137" s="1"/>
      <c r="AK137" s="1"/>
    </row>
    <row r="138" spans="1:37" ht="21">
      <c r="A138" s="5107"/>
      <c r="B138" s="664" t="s">
        <v>775</v>
      </c>
      <c r="C138" s="1528"/>
      <c r="D138" s="1528"/>
      <c r="E138" s="1534"/>
      <c r="F138" s="650"/>
      <c r="G138" s="1527"/>
      <c r="H138" s="1527"/>
      <c r="I138" s="1528"/>
      <c r="J138" s="1528"/>
      <c r="K138" s="663"/>
      <c r="L138" s="655"/>
      <c r="M138" s="2"/>
      <c r="N138" s="2"/>
      <c r="O138" s="2"/>
      <c r="P138" s="2"/>
      <c r="Q138" s="2"/>
      <c r="R138" s="1"/>
      <c r="S138" s="1"/>
      <c r="T138" s="1"/>
      <c r="U138" s="1"/>
      <c r="V138" s="1"/>
      <c r="W138" s="1"/>
      <c r="X138" s="1"/>
      <c r="Y138" s="1"/>
      <c r="Z138" s="1"/>
      <c r="AA138" s="1"/>
      <c r="AB138" s="1"/>
      <c r="AC138" s="1"/>
      <c r="AD138" s="1"/>
      <c r="AE138" s="1"/>
      <c r="AF138" s="1"/>
      <c r="AG138" s="1"/>
      <c r="AH138" s="1"/>
      <c r="AI138" s="1"/>
      <c r="AJ138" s="1"/>
      <c r="AK138" s="1"/>
    </row>
    <row r="139" spans="1:37" ht="18.75" customHeight="1">
      <c r="A139" s="5107"/>
      <c r="B139" s="459"/>
      <c r="C139" s="5183" t="s">
        <v>776</v>
      </c>
      <c r="D139" s="5184" t="s">
        <v>777</v>
      </c>
      <c r="E139" s="5168" t="s">
        <v>778</v>
      </c>
      <c r="F139" s="5168" t="s">
        <v>779</v>
      </c>
      <c r="G139" s="665"/>
      <c r="H139" s="666"/>
      <c r="I139" s="654"/>
      <c r="J139" s="649"/>
      <c r="K139" s="399"/>
      <c r="L139" s="655"/>
      <c r="M139" s="2"/>
      <c r="N139" s="2"/>
      <c r="O139" s="2"/>
      <c r="P139" s="2"/>
      <c r="Q139" s="2"/>
      <c r="R139" s="1"/>
      <c r="S139" s="1"/>
      <c r="T139" s="1"/>
      <c r="U139" s="1"/>
      <c r="V139" s="1"/>
      <c r="W139" s="1"/>
      <c r="X139" s="1"/>
      <c r="Y139" s="1"/>
      <c r="Z139" s="1"/>
      <c r="AA139" s="1"/>
      <c r="AB139" s="1"/>
      <c r="AC139" s="1"/>
      <c r="AD139" s="1"/>
      <c r="AE139" s="1"/>
      <c r="AF139" s="1"/>
      <c r="AG139" s="1"/>
      <c r="AH139" s="1"/>
      <c r="AI139" s="1"/>
      <c r="AJ139" s="1"/>
      <c r="AK139" s="1"/>
    </row>
    <row r="140" spans="1:37" ht="18" customHeight="1">
      <c r="A140" s="5107"/>
      <c r="B140" s="459"/>
      <c r="C140" s="5183"/>
      <c r="D140" s="5184"/>
      <c r="E140" s="5168"/>
      <c r="F140" s="5168"/>
      <c r="G140" s="634"/>
      <c r="H140" s="667"/>
      <c r="I140" s="667">
        <f>E141</f>
        <v>16</v>
      </c>
      <c r="J140" s="668"/>
      <c r="K140" s="668">
        <f>F141</f>
        <v>0.66999999999999993</v>
      </c>
      <c r="L140" s="655"/>
      <c r="M140" s="2"/>
      <c r="N140" s="2"/>
      <c r="O140" s="2"/>
      <c r="P140" s="2"/>
      <c r="Q140" s="2"/>
      <c r="R140" s="1"/>
      <c r="S140" s="1"/>
      <c r="T140" s="1"/>
      <c r="U140" s="1"/>
      <c r="V140" s="1"/>
      <c r="W140" s="1"/>
      <c r="X140" s="1"/>
      <c r="Y140" s="1"/>
      <c r="Z140" s="1"/>
      <c r="AA140" s="1"/>
      <c r="AB140" s="1"/>
      <c r="AC140" s="1"/>
      <c r="AD140" s="1"/>
      <c r="AE140" s="1"/>
      <c r="AF140" s="1"/>
      <c r="AG140" s="1"/>
      <c r="AH140" s="1"/>
      <c r="AI140" s="1"/>
      <c r="AJ140" s="1"/>
      <c r="AK140" s="1"/>
    </row>
    <row r="141" spans="1:37" ht="18.75">
      <c r="A141" s="5107"/>
      <c r="B141" s="459"/>
      <c r="C141" s="669">
        <v>13.63</v>
      </c>
      <c r="D141" s="670">
        <v>0.81</v>
      </c>
      <c r="E141" s="671">
        <f>INT(C141/D141)</f>
        <v>16</v>
      </c>
      <c r="F141" s="672">
        <f>MOD(C141,D141)</f>
        <v>0.66999999999999993</v>
      </c>
      <c r="G141" s="650"/>
      <c r="H141" s="673" t="s">
        <v>780</v>
      </c>
      <c r="I141" s="674" t="str">
        <f ca="1">_xlfn.FORMULATEXT(E141)</f>
        <v>=ENT(C141/D141)</v>
      </c>
      <c r="J141" s="675" t="s">
        <v>780</v>
      </c>
      <c r="K141" s="676" t="str">
        <f ca="1">_xlfn.FORMULATEXT(F141)</f>
        <v>=MOD(C141;D141)</v>
      </c>
      <c r="L141" s="655"/>
      <c r="M141" s="2"/>
      <c r="N141" s="2"/>
      <c r="O141" s="2"/>
      <c r="P141" s="2"/>
      <c r="Q141" s="2"/>
      <c r="R141" s="1"/>
      <c r="S141" s="1"/>
      <c r="T141" s="1"/>
      <c r="U141" s="1"/>
      <c r="V141" s="1"/>
      <c r="W141" s="1"/>
      <c r="X141" s="1"/>
      <c r="Y141" s="1"/>
      <c r="Z141" s="1"/>
      <c r="AA141" s="1"/>
      <c r="AB141" s="1"/>
      <c r="AC141" s="1"/>
      <c r="AD141" s="1"/>
      <c r="AE141" s="1"/>
      <c r="AF141" s="1"/>
      <c r="AG141" s="1"/>
      <c r="AH141" s="1"/>
      <c r="AI141" s="1"/>
      <c r="AJ141" s="1"/>
      <c r="AK141" s="1"/>
    </row>
    <row r="142" spans="1:37" ht="18">
      <c r="A142" s="5107"/>
      <c r="B142" s="459"/>
      <c r="C142" s="1010" t="str">
        <f>LEFT(ADDRESS(1,COLUMN(),4),LEN(ADDRESS(1,COLUMN(),4))-1)</f>
        <v>C</v>
      </c>
      <c r="D142" s="1010" t="str">
        <f>LEFT(ADDRESS(1,COLUMN(),4),LEN(ADDRESS(1,COLUMN(),4))-1)</f>
        <v>D</v>
      </c>
      <c r="E142" s="1010" t="str">
        <f>LEFT(ADDRESS(1,COLUMN(),4),LEN(ADDRESS(1,COLUMN(),4))-1)</f>
        <v>E</v>
      </c>
      <c r="F142" s="1010" t="str">
        <f>LEFT(ADDRESS(1,COLUMN(),4),LEN(ADDRESS(1,COLUMN(),4))-1)</f>
        <v>F</v>
      </c>
      <c r="G142" s="650"/>
      <c r="H142" s="673"/>
      <c r="I142" s="674"/>
      <c r="J142" s="675"/>
      <c r="K142" s="676"/>
      <c r="L142" s="655"/>
      <c r="M142" s="2"/>
      <c r="N142" s="2"/>
      <c r="O142" s="2"/>
      <c r="P142" s="2"/>
      <c r="Q142" s="2"/>
      <c r="R142" s="1"/>
      <c r="S142" s="1"/>
      <c r="T142" s="1"/>
      <c r="U142" s="1"/>
      <c r="V142" s="1"/>
      <c r="W142" s="1"/>
      <c r="X142" s="1"/>
      <c r="Y142" s="1"/>
      <c r="Z142" s="1"/>
      <c r="AA142" s="1"/>
      <c r="AB142" s="1"/>
      <c r="AC142" s="1"/>
      <c r="AD142" s="1"/>
      <c r="AE142" s="1"/>
      <c r="AF142" s="1"/>
      <c r="AG142" s="1"/>
      <c r="AH142" s="1"/>
      <c r="AI142" s="1"/>
      <c r="AJ142" s="1"/>
      <c r="AK142" s="1"/>
    </row>
    <row r="143" spans="1:37" ht="18.75" customHeight="1">
      <c r="A143" s="5107"/>
      <c r="B143" s="459"/>
      <c r="C143" s="657" t="s">
        <v>781</v>
      </c>
      <c r="D143" s="654"/>
      <c r="E143" s="673"/>
      <c r="F143" s="676"/>
      <c r="G143" s="650"/>
      <c r="H143" s="634"/>
      <c r="I143" s="634"/>
      <c r="J143" s="634"/>
      <c r="K143" s="634"/>
      <c r="L143" s="655"/>
      <c r="M143" s="2"/>
      <c r="N143" s="2"/>
      <c r="O143" s="2"/>
      <c r="P143" s="2"/>
      <c r="Q143" s="2"/>
      <c r="R143" s="1"/>
      <c r="S143" s="1"/>
      <c r="T143" s="1"/>
      <c r="U143" s="1"/>
      <c r="V143" s="1"/>
      <c r="W143" s="1"/>
      <c r="X143" s="1"/>
      <c r="Y143" s="1"/>
      <c r="Z143" s="1"/>
      <c r="AA143" s="1"/>
      <c r="AB143" s="1"/>
      <c r="AC143" s="1"/>
      <c r="AD143" s="1"/>
      <c r="AE143" s="1"/>
      <c r="AF143" s="1"/>
      <c r="AG143" s="1"/>
      <c r="AH143" s="1"/>
      <c r="AI143" s="1"/>
      <c r="AJ143" s="1"/>
      <c r="AK143" s="1"/>
    </row>
    <row r="144" spans="1:37" ht="18">
      <c r="A144" s="5107"/>
      <c r="B144" s="459"/>
      <c r="C144" s="998"/>
      <c r="D144" s="999" t="s">
        <v>776</v>
      </c>
      <c r="E144" s="1007">
        <v>13.63</v>
      </c>
      <c r="F144" s="995">
        <f>IF(MOD(E144,E145)&gt;MOD(E144,E145)/2,INT(E144/E145)+1,INT(E144/E145))</f>
        <v>17</v>
      </c>
      <c r="G144" s="1000" t="s">
        <v>874</v>
      </c>
      <c r="H144" s="1001"/>
      <c r="I144" s="994"/>
      <c r="J144" s="634"/>
      <c r="K144" s="634"/>
      <c r="L144" s="655"/>
      <c r="M144" s="2"/>
      <c r="N144" s="2"/>
      <c r="O144" s="2"/>
      <c r="P144" s="2"/>
      <c r="Q144" s="2"/>
      <c r="R144" s="1"/>
      <c r="S144" s="1"/>
      <c r="T144" s="1"/>
      <c r="U144" s="1"/>
      <c r="V144" s="1"/>
      <c r="W144" s="1"/>
      <c r="X144" s="1"/>
      <c r="Y144" s="1"/>
      <c r="Z144" s="1"/>
      <c r="AA144" s="1"/>
      <c r="AB144" s="1"/>
      <c r="AC144" s="1"/>
      <c r="AD144" s="1"/>
      <c r="AE144" s="1"/>
      <c r="AF144" s="1"/>
      <c r="AG144" s="1"/>
      <c r="AH144" s="1"/>
      <c r="AI144" s="1"/>
      <c r="AJ144" s="1"/>
      <c r="AK144" s="1"/>
    </row>
    <row r="145" spans="1:37" ht="18">
      <c r="A145" s="5107"/>
      <c r="B145" s="459"/>
      <c r="C145" s="1002"/>
      <c r="D145" s="996" t="s">
        <v>777</v>
      </c>
      <c r="E145" s="1008">
        <v>0.81</v>
      </c>
      <c r="F145" s="997">
        <f>INT(E144/E145)</f>
        <v>16</v>
      </c>
      <c r="G145" s="682">
        <f>E145</f>
        <v>0.81</v>
      </c>
      <c r="H145" s="679" t="str">
        <f>IF(I145&gt;0,"Plus 1 de")</f>
        <v>Plus 1 de</v>
      </c>
      <c r="I145" s="1003">
        <f>MOD(E144,E145)</f>
        <v>0.66999999999999993</v>
      </c>
      <c r="J145" s="634"/>
      <c r="K145" s="634"/>
      <c r="L145" s="655"/>
      <c r="M145" s="2"/>
      <c r="N145" s="2"/>
      <c r="O145" s="2"/>
      <c r="P145" s="2"/>
      <c r="Q145" s="2"/>
      <c r="R145" s="1"/>
      <c r="S145" s="1"/>
      <c r="T145" s="1"/>
      <c r="U145" s="1"/>
      <c r="V145" s="1"/>
      <c r="W145" s="1"/>
      <c r="X145" s="1"/>
      <c r="Y145" s="1"/>
      <c r="Z145" s="1"/>
      <c r="AA145" s="1"/>
      <c r="AB145" s="1"/>
      <c r="AC145" s="1"/>
      <c r="AD145" s="1"/>
      <c r="AE145" s="1"/>
      <c r="AF145" s="1"/>
      <c r="AG145" s="1"/>
      <c r="AH145" s="1"/>
      <c r="AI145" s="1"/>
      <c r="AJ145" s="1"/>
      <c r="AK145" s="1"/>
    </row>
    <row r="146" spans="1:37" ht="18">
      <c r="A146" s="5107"/>
      <c r="B146" s="459"/>
      <c r="C146" s="5169" t="s">
        <v>687</v>
      </c>
      <c r="D146" s="5170"/>
      <c r="E146" s="5171"/>
      <c r="F146" s="1004" t="s">
        <v>784</v>
      </c>
      <c r="G146" s="1005"/>
      <c r="H146" s="1006"/>
      <c r="I146" s="898"/>
      <c r="J146" s="634"/>
      <c r="K146" s="634"/>
      <c r="L146" s="655"/>
      <c r="M146" s="2"/>
      <c r="N146" s="2"/>
      <c r="O146" s="2"/>
      <c r="P146" s="2"/>
      <c r="Q146" s="2"/>
      <c r="R146" s="1"/>
      <c r="S146" s="1"/>
      <c r="T146" s="1"/>
      <c r="U146" s="1"/>
      <c r="V146" s="1"/>
      <c r="W146" s="1"/>
      <c r="X146" s="1"/>
      <c r="Y146" s="1"/>
      <c r="Z146" s="1"/>
      <c r="AA146" s="1"/>
      <c r="AB146" s="1"/>
      <c r="AC146" s="1"/>
      <c r="AD146" s="1"/>
      <c r="AE146" s="1"/>
      <c r="AF146" s="1"/>
      <c r="AG146" s="1"/>
      <c r="AH146" s="1"/>
      <c r="AI146" s="1"/>
      <c r="AJ146" s="1"/>
      <c r="AK146" s="1"/>
    </row>
    <row r="147" spans="1:37" ht="18.75">
      <c r="A147" s="5107"/>
      <c r="B147" s="459"/>
      <c r="C147" s="657"/>
      <c r="D147" s="654"/>
      <c r="E147" s="673"/>
      <c r="F147" s="676"/>
      <c r="G147" s="681" t="s">
        <v>873</v>
      </c>
      <c r="H147" s="677" t="s">
        <v>782</v>
      </c>
      <c r="I147" s="678" t="s">
        <v>783</v>
      </c>
      <c r="J147" s="634"/>
      <c r="K147" s="634"/>
      <c r="L147" s="655"/>
      <c r="M147" s="2"/>
      <c r="N147" s="2"/>
      <c r="O147" s="2"/>
      <c r="P147" s="2"/>
      <c r="Q147" s="2"/>
      <c r="R147" s="1"/>
      <c r="S147" s="1"/>
      <c r="T147" s="1"/>
      <c r="U147" s="1"/>
      <c r="V147" s="1"/>
      <c r="W147" s="1"/>
      <c r="X147" s="1"/>
      <c r="Y147" s="1"/>
      <c r="Z147" s="1"/>
      <c r="AA147" s="1"/>
      <c r="AB147" s="1"/>
      <c r="AC147" s="1"/>
      <c r="AD147" s="1"/>
      <c r="AE147" s="1"/>
      <c r="AF147" s="1"/>
      <c r="AG147" s="1"/>
      <c r="AH147" s="1"/>
      <c r="AI147" s="1"/>
      <c r="AJ147" s="1"/>
      <c r="AK147" s="1"/>
    </row>
    <row r="148" spans="1:37" ht="19.5" customHeight="1">
      <c r="A148" s="5107"/>
      <c r="B148" s="459"/>
      <c r="C148" s="673"/>
      <c r="D148" s="673"/>
      <c r="E148" s="673"/>
      <c r="F148" s="673"/>
      <c r="G148" s="650"/>
      <c r="H148" s="679">
        <f>F144</f>
        <v>17</v>
      </c>
      <c r="I148" s="680" t="str">
        <f ca="1">_xlfn.FORMULATEXT(F144)</f>
        <v>=SI(MOD(E144;E145)&gt;MOD(E144;E145)/2;ENT(E144/E145)+1;ENT(E144/E145))</v>
      </c>
      <c r="J148" s="634"/>
      <c r="K148" s="634"/>
      <c r="L148" s="655"/>
      <c r="M148" s="2"/>
      <c r="N148" s="2"/>
      <c r="O148" s="2"/>
      <c r="P148" s="2"/>
      <c r="Q148" s="2"/>
    </row>
    <row r="149" spans="1:37" ht="19.5" customHeight="1">
      <c r="A149" s="5107"/>
      <c r="B149" s="459"/>
      <c r="C149" s="673"/>
      <c r="D149" s="673"/>
      <c r="E149" s="673"/>
      <c r="F149" s="673"/>
      <c r="G149" s="650"/>
      <c r="H149" s="679">
        <f>F145</f>
        <v>16</v>
      </c>
      <c r="I149" s="680" t="str">
        <f ca="1">_xlfn.FORMULATEXT(F145)</f>
        <v>=ENT(E144/E145)</v>
      </c>
      <c r="J149" s="634"/>
      <c r="K149" s="634"/>
      <c r="L149" s="655"/>
      <c r="M149" s="2"/>
      <c r="N149" s="2"/>
      <c r="O149" s="2"/>
      <c r="P149" s="2"/>
      <c r="Q149" s="2"/>
    </row>
    <row r="150" spans="1:37" ht="19.5" customHeight="1">
      <c r="A150" s="5107"/>
      <c r="B150" s="459"/>
      <c r="C150" s="673"/>
      <c r="D150" s="673"/>
      <c r="E150" s="673"/>
      <c r="F150" s="673"/>
      <c r="G150" s="654"/>
      <c r="H150" s="682">
        <f>G145</f>
        <v>0.81</v>
      </c>
      <c r="I150" s="680" t="str">
        <f ca="1">_xlfn.FORMULATEXT(G145)</f>
        <v>=E145</v>
      </c>
      <c r="J150" s="634"/>
      <c r="K150" s="634"/>
      <c r="L150" s="655"/>
      <c r="M150" s="2"/>
      <c r="N150" s="2"/>
      <c r="O150" s="2"/>
      <c r="P150" s="2"/>
      <c r="Q150" s="2"/>
    </row>
    <row r="151" spans="1:37" ht="19.5" customHeight="1">
      <c r="A151" s="5107"/>
      <c r="B151" s="459"/>
      <c r="C151" s="654"/>
      <c r="D151" s="654"/>
      <c r="E151" s="654"/>
      <c r="F151" s="654"/>
      <c r="G151" s="654"/>
      <c r="H151" s="679" t="str">
        <f>H145</f>
        <v>Plus 1 de</v>
      </c>
      <c r="I151" s="680" t="str">
        <f ca="1">_xlfn.FORMULATEXT(H145)</f>
        <v>=SI(I145&gt;0;"Plus 1 de")</v>
      </c>
      <c r="J151" s="634"/>
      <c r="K151" s="634"/>
      <c r="L151" s="655"/>
      <c r="M151" s="2"/>
      <c r="N151" s="2"/>
      <c r="O151" s="2"/>
      <c r="P151" s="2"/>
      <c r="Q151" s="2"/>
    </row>
    <row r="152" spans="1:37" ht="19.5" customHeight="1">
      <c r="A152" s="5107"/>
      <c r="B152" s="459" t="s">
        <v>784</v>
      </c>
      <c r="C152" s="654"/>
      <c r="D152" s="654"/>
      <c r="E152" s="654"/>
      <c r="F152" s="654"/>
      <c r="G152" s="654"/>
      <c r="H152" s="1849">
        <f>I145</f>
        <v>0.66999999999999993</v>
      </c>
      <c r="I152" s="1850" t="str">
        <f ca="1">_xlfn.FORMULATEXT(I145)</f>
        <v>=MOD(E144;E145)</v>
      </c>
      <c r="J152" s="634"/>
      <c r="K152" s="634"/>
      <c r="L152" s="655"/>
      <c r="M152" s="2"/>
      <c r="N152" s="2"/>
      <c r="O152" s="2"/>
      <c r="P152" s="2"/>
      <c r="Q152" s="2"/>
    </row>
    <row r="153" spans="1:37" ht="19.5" customHeight="1">
      <c r="A153" s="5107"/>
      <c r="B153" s="1824" t="s">
        <v>1048</v>
      </c>
      <c r="C153" s="1851"/>
      <c r="D153" s="1851"/>
      <c r="E153" s="1851"/>
      <c r="F153" s="1851"/>
      <c r="G153" s="1851"/>
      <c r="H153" s="1852"/>
      <c r="I153" s="1853"/>
      <c r="J153" s="1854"/>
      <c r="K153" s="1854"/>
      <c r="L153" s="1855"/>
      <c r="M153" s="2"/>
      <c r="N153" s="2"/>
      <c r="O153" s="2"/>
      <c r="P153" s="2"/>
      <c r="Q153" s="2"/>
    </row>
    <row r="154" spans="1:37" ht="19.5" customHeight="1" thickBot="1">
      <c r="A154" s="5107"/>
      <c r="B154" s="1856" t="s">
        <v>1049</v>
      </c>
      <c r="C154" s="683"/>
      <c r="D154" s="683"/>
      <c r="E154" s="683"/>
      <c r="F154" s="683"/>
      <c r="G154" s="683"/>
      <c r="H154" s="684"/>
      <c r="I154" s="685"/>
      <c r="J154" s="580"/>
      <c r="K154" s="580"/>
      <c r="L154" s="686"/>
      <c r="M154" s="2"/>
      <c r="N154" s="2"/>
      <c r="O154" s="2"/>
      <c r="P154" s="2"/>
      <c r="Q154" s="2"/>
    </row>
    <row r="155" spans="1:37" s="1" customFormat="1" thickBot="1">
      <c r="A155" s="2"/>
      <c r="B155" s="572"/>
      <c r="C155" s="572"/>
      <c r="D155" s="572"/>
      <c r="E155" s="572"/>
      <c r="F155" s="572"/>
      <c r="G155" s="572"/>
      <c r="H155" s="3"/>
      <c r="I155" s="490"/>
      <c r="J155" s="490"/>
      <c r="K155" s="139"/>
      <c r="L155" s="139"/>
      <c r="M155" s="490"/>
      <c r="N155" s="490"/>
      <c r="O155" s="2"/>
      <c r="P155" s="2"/>
      <c r="Q155" s="2"/>
    </row>
    <row r="156" spans="1:37" s="1" customFormat="1" ht="23.25">
      <c r="A156" s="1776" t="s">
        <v>70</v>
      </c>
      <c r="B156" s="5142" t="s">
        <v>1387</v>
      </c>
      <c r="C156" s="5143"/>
      <c r="D156" s="5143"/>
      <c r="E156" s="5143"/>
      <c r="F156" s="5143"/>
      <c r="G156" s="5143"/>
      <c r="H156" s="5143"/>
      <c r="I156" s="5143"/>
      <c r="J156" s="5143"/>
      <c r="K156" s="5143"/>
      <c r="L156" s="5144"/>
      <c r="M156" s="490"/>
      <c r="N156" s="490"/>
      <c r="O156" s="2"/>
      <c r="P156" s="2"/>
      <c r="Q156" s="2"/>
    </row>
    <row r="157" spans="1:37" s="1" customFormat="1" ht="23.25">
      <c r="A157" s="5145" t="str">
        <f>B156</f>
        <v>Nombre de contenants a la pièce avec la fonction MODULO</v>
      </c>
      <c r="B157" s="1777" t="str">
        <f>ADDRESS(ROW(),COLUMN(),4)</f>
        <v>B157</v>
      </c>
      <c r="C157" s="1778" t="s">
        <v>691</v>
      </c>
      <c r="D157" s="1779"/>
      <c r="E157" s="1779"/>
      <c r="F157" s="1779"/>
      <c r="G157" s="1779"/>
      <c r="H157" s="1779"/>
      <c r="I157" s="1779"/>
      <c r="J157" s="1780"/>
      <c r="K157" s="1781" t="str">
        <f ca="1">MID(CELL("filename",B157),SEARCH("[",CELL("filename",B157))+1,SEARCH("]",CELL("filename",B157))-SEARCH("[",CELL("filename",B157))-1)</f>
        <v>ff-22-formats-formules-pourcentages.xlsx</v>
      </c>
      <c r="L157" s="1782">
        <v>5</v>
      </c>
      <c r="M157" s="490"/>
      <c r="N157" s="490"/>
      <c r="O157" s="2"/>
      <c r="P157" s="2"/>
      <c r="Q157" s="2"/>
    </row>
    <row r="158" spans="1:37" s="1" customFormat="1" ht="15">
      <c r="A158" s="5145"/>
      <c r="B158" s="1783"/>
      <c r="C158" s="1784"/>
      <c r="D158" s="1784"/>
      <c r="E158" s="1784"/>
      <c r="F158" s="1784"/>
      <c r="G158" s="1784"/>
      <c r="H158" s="1784"/>
      <c r="I158" s="1784"/>
      <c r="J158" s="1784"/>
      <c r="K158" s="1784"/>
      <c r="L158" s="1785"/>
      <c r="M158" s="490"/>
      <c r="N158" s="490"/>
      <c r="O158" s="2"/>
      <c r="P158" s="2"/>
      <c r="Q158" s="2"/>
    </row>
    <row r="159" spans="1:37" s="1" customFormat="1" ht="18">
      <c r="A159" s="5145"/>
      <c r="B159" s="1786"/>
      <c r="C159" s="1787"/>
      <c r="D159" s="1788" t="s">
        <v>776</v>
      </c>
      <c r="E159" s="1789">
        <v>680</v>
      </c>
      <c r="F159" s="1790" t="s">
        <v>1385</v>
      </c>
      <c r="G159" s="1791">
        <f>IF(MOD(E159,E161)&gt;MOD(E159,E161)/2,INT(E159/E161)+1,INT(E159/E161))</f>
        <v>57</v>
      </c>
      <c r="H159" s="1791" t="s">
        <v>874</v>
      </c>
      <c r="I159" s="1791"/>
      <c r="J159" s="1791"/>
      <c r="K159" s="1791"/>
      <c r="L159" s="1785"/>
      <c r="M159" s="490"/>
      <c r="N159" s="490"/>
      <c r="O159" s="2"/>
      <c r="P159" s="2"/>
      <c r="Q159" s="2"/>
    </row>
    <row r="160" spans="1:37" s="1" customFormat="1" ht="18">
      <c r="A160" s="5145"/>
      <c r="B160" s="1786"/>
      <c r="C160" s="1792"/>
      <c r="D160" s="1793"/>
      <c r="E160" s="1792"/>
      <c r="F160" s="1792"/>
      <c r="G160" s="1792"/>
      <c r="H160" s="1792"/>
      <c r="I160" s="1792"/>
      <c r="J160" s="1792"/>
      <c r="K160" s="1792"/>
      <c r="L160" s="1785"/>
      <c r="M160" s="490"/>
      <c r="N160" s="490"/>
      <c r="O160" s="2"/>
      <c r="P160" s="2"/>
      <c r="Q160" s="2"/>
    </row>
    <row r="161" spans="1:17" s="1" customFormat="1" ht="18">
      <c r="A161" s="5145"/>
      <c r="B161" s="1786"/>
      <c r="C161" s="1794"/>
      <c r="D161" s="1795" t="s">
        <v>777</v>
      </c>
      <c r="E161" s="1789">
        <v>12</v>
      </c>
      <c r="F161" s="1796" t="str">
        <f>F159</f>
        <v>chouquettes</v>
      </c>
      <c r="G161" s="1791">
        <f>INT(E159/E161)</f>
        <v>56</v>
      </c>
      <c r="H161" s="1797" t="s">
        <v>852</v>
      </c>
      <c r="I161" s="1798">
        <f>E161</f>
        <v>12</v>
      </c>
      <c r="J161" s="1796" t="str">
        <f>F161</f>
        <v>chouquettes</v>
      </c>
      <c r="K161" s="1797">
        <f>I161*G161</f>
        <v>672</v>
      </c>
      <c r="L161" s="1799"/>
      <c r="M161" s="490"/>
      <c r="N161" s="490"/>
      <c r="O161" s="2"/>
      <c r="P161" s="2"/>
      <c r="Q161" s="2"/>
    </row>
    <row r="162" spans="1:17" s="1" customFormat="1" ht="18">
      <c r="A162" s="5145"/>
      <c r="B162" s="1800"/>
      <c r="C162" s="1792"/>
      <c r="D162" s="1792"/>
      <c r="E162" s="1792"/>
      <c r="F162" s="1792"/>
      <c r="G162" s="1792"/>
      <c r="H162" s="1801" t="str">
        <f>IF(K161=E159,"",IF(I162&gt;0,"Plus 1 de"))</f>
        <v>Plus 1 de</v>
      </c>
      <c r="I162" s="1798">
        <f>IF(K161=E159,"",MOD(E159,E161))</f>
        <v>8</v>
      </c>
      <c r="J162" s="1796" t="str">
        <f>IF(K161=E159,"",J161)</f>
        <v>chouquettes</v>
      </c>
      <c r="K162" s="1797">
        <f>IF(K161=E159,"",K161+I162)</f>
        <v>680</v>
      </c>
      <c r="L162" s="1799"/>
      <c r="M162" s="490"/>
      <c r="N162" s="490"/>
      <c r="O162" s="2"/>
      <c r="P162" s="2"/>
      <c r="Q162" s="2"/>
    </row>
    <row r="163" spans="1:17" s="1" customFormat="1" ht="18">
      <c r="A163" s="5145"/>
      <c r="B163" s="1800"/>
      <c r="C163" s="1792"/>
      <c r="D163" s="1792"/>
      <c r="E163" s="1792"/>
      <c r="F163" s="1792"/>
      <c r="G163" s="1792"/>
      <c r="H163" s="1801"/>
      <c r="I163" s="1802"/>
      <c r="J163" s="1803"/>
      <c r="K163" s="1804"/>
      <c r="L163" s="1799"/>
      <c r="M163" s="490"/>
      <c r="N163" s="490"/>
      <c r="O163" s="2"/>
      <c r="P163" s="2"/>
      <c r="Q163" s="2"/>
    </row>
    <row r="164" spans="1:17" s="1" customFormat="1" ht="15">
      <c r="A164" s="5145"/>
      <c r="B164" s="5148" t="s">
        <v>1386</v>
      </c>
      <c r="C164" s="5149"/>
      <c r="D164" s="5149"/>
      <c r="E164" s="5149"/>
      <c r="F164" s="5149"/>
      <c r="G164" s="5149"/>
      <c r="H164" s="5149"/>
      <c r="I164" s="5149"/>
      <c r="J164" s="5149"/>
      <c r="K164" s="5149"/>
      <c r="L164" s="1785"/>
      <c r="M164" s="490"/>
      <c r="N164" s="490"/>
      <c r="O164" s="2"/>
      <c r="P164" s="2"/>
      <c r="Q164" s="2"/>
    </row>
    <row r="165" spans="1:17" s="1" customFormat="1">
      <c r="A165" s="5145"/>
      <c r="B165" s="5172" t="s">
        <v>687</v>
      </c>
      <c r="C165" s="5173"/>
      <c r="D165" s="5173"/>
      <c r="E165" s="5173"/>
      <c r="F165" s="5173"/>
      <c r="G165" s="5173"/>
      <c r="H165" s="5173"/>
      <c r="I165" s="5173"/>
      <c r="J165" s="5173"/>
      <c r="K165" s="5173"/>
      <c r="L165" s="1785"/>
      <c r="M165" s="490"/>
      <c r="N165" s="490"/>
      <c r="O165" s="2"/>
      <c r="P165" s="2"/>
      <c r="Q165" s="2"/>
    </row>
    <row r="166" spans="1:17" s="1" customFormat="1" ht="15">
      <c r="A166" s="5145"/>
      <c r="B166" s="1805" t="s">
        <v>37</v>
      </c>
      <c r="C166" s="1806" t="str">
        <f ca="1">CELL("nomfichier")</f>
        <v>D:\Données\Copie_ancien_DD\0-UPRT.fait\1-UPRT.FR-SITE-WEB\ff-fiches-fabrications\ff-fiches-fabrication-maj-08-2020\[ff-22-formats-formules-pourcentages.xlsx]Epurer.un.texte</v>
      </c>
      <c r="D166" s="1806"/>
      <c r="E166" s="1806"/>
      <c r="F166" s="1806"/>
      <c r="G166" s="1806"/>
      <c r="H166" s="1806"/>
      <c r="I166" s="1806"/>
      <c r="J166" s="1806"/>
      <c r="K166" s="1806"/>
      <c r="L166" s="1807"/>
      <c r="M166" s="490"/>
      <c r="N166" s="490"/>
      <c r="O166" s="2"/>
      <c r="P166" s="2"/>
      <c r="Q166" s="2"/>
    </row>
    <row r="167" spans="1:17" s="1" customFormat="1" ht="16.5" thickBot="1">
      <c r="A167" s="5146"/>
      <c r="B167" s="1808" t="s">
        <v>34</v>
      </c>
      <c r="C167" s="1809"/>
      <c r="D167" s="1809"/>
      <c r="E167" s="1809"/>
      <c r="F167" s="1809"/>
      <c r="G167" s="1809"/>
      <c r="H167" s="1809"/>
      <c r="I167" s="1809"/>
      <c r="J167" s="1809"/>
      <c r="K167" s="1809"/>
      <c r="L167" s="1810"/>
      <c r="M167" s="490"/>
      <c r="N167" s="490"/>
      <c r="O167" s="2"/>
      <c r="P167" s="2"/>
      <c r="Q167" s="2"/>
    </row>
    <row r="168" spans="1:17" s="1" customFormat="1" thickBot="1">
      <c r="A168" s="2"/>
      <c r="B168" s="572"/>
      <c r="C168" s="572"/>
      <c r="D168" s="572"/>
      <c r="E168" s="572"/>
      <c r="F168" s="572"/>
      <c r="G168" s="572"/>
      <c r="H168" s="3"/>
      <c r="I168" s="490"/>
      <c r="J168" s="490"/>
      <c r="K168" s="139"/>
      <c r="L168" s="139"/>
      <c r="M168" s="490"/>
      <c r="N168" s="490"/>
      <c r="O168" s="2"/>
      <c r="P168" s="2"/>
      <c r="Q168" s="2"/>
    </row>
    <row r="169" spans="1:17" s="1" customFormat="1" ht="23.25">
      <c r="A169" s="1776" t="s">
        <v>70</v>
      </c>
      <c r="B169" s="5142" t="s">
        <v>1388</v>
      </c>
      <c r="C169" s="5143"/>
      <c r="D169" s="5143"/>
      <c r="E169" s="5143"/>
      <c r="F169" s="5143"/>
      <c r="G169" s="5143"/>
      <c r="H169" s="5143"/>
      <c r="I169" s="5143"/>
      <c r="J169" s="5143"/>
      <c r="K169" s="5144"/>
      <c r="L169" s="139"/>
      <c r="M169" s="490"/>
      <c r="N169" s="490"/>
      <c r="O169" s="2"/>
      <c r="P169" s="2"/>
      <c r="Q169" s="2"/>
    </row>
    <row r="170" spans="1:17" s="1" customFormat="1" ht="23.25">
      <c r="A170" s="5145" t="str">
        <f>B169</f>
        <v>Nombre de contenants au poids avec la fonction MODULO</v>
      </c>
      <c r="B170" s="1777" t="str">
        <f>ADDRESS(ROW(),COLUMN(),4)</f>
        <v>B170</v>
      </c>
      <c r="C170" s="1778" t="s">
        <v>691</v>
      </c>
      <c r="D170" s="1779"/>
      <c r="E170" s="1779"/>
      <c r="F170" s="1779"/>
      <c r="G170" s="1779"/>
      <c r="H170" s="1779"/>
      <c r="I170" s="1780"/>
      <c r="J170" s="1781" t="str">
        <f ca="1">MID(CELL("filename",B170),SEARCH("[",CELL("filename",B170))+1,SEARCH("]",CELL("filename",B170))-SEARCH("[",CELL("filename",B170))-1)</f>
        <v>ff-22-formats-formules-pourcentages.xlsx</v>
      </c>
      <c r="K170" s="1782">
        <v>5</v>
      </c>
      <c r="L170" s="139"/>
      <c r="M170" s="490"/>
      <c r="N170" s="490"/>
      <c r="O170" s="2"/>
      <c r="P170" s="2"/>
      <c r="Q170" s="2"/>
    </row>
    <row r="171" spans="1:17" s="1" customFormat="1" ht="15">
      <c r="A171" s="5145"/>
      <c r="B171" s="1783"/>
      <c r="C171" s="1784"/>
      <c r="D171" s="1784"/>
      <c r="E171" s="1784"/>
      <c r="F171" s="1784"/>
      <c r="G171" s="1784"/>
      <c r="H171" s="1784"/>
      <c r="I171" s="1784"/>
      <c r="J171" s="1784"/>
      <c r="K171" s="1785"/>
      <c r="L171" s="139"/>
      <c r="M171" s="490"/>
      <c r="N171" s="490"/>
      <c r="O171" s="2"/>
      <c r="P171" s="2"/>
      <c r="Q171" s="2"/>
    </row>
    <row r="172" spans="1:17" s="1" customFormat="1" ht="18">
      <c r="A172" s="5145"/>
      <c r="B172" s="1786"/>
      <c r="C172" s="1787"/>
      <c r="D172" s="1788" t="s">
        <v>776</v>
      </c>
      <c r="E172" s="1864">
        <v>11</v>
      </c>
      <c r="F172" s="1791">
        <f>IF(MOD(E172,E174)&gt;MOD(E172,E174)/2,INT(E172/E174)+1,INT(E172/E174))</f>
        <v>37</v>
      </c>
      <c r="G172" s="1791" t="s">
        <v>874</v>
      </c>
      <c r="H172" s="1791"/>
      <c r="I172" s="1791"/>
      <c r="J172" s="1791"/>
      <c r="K172" s="1785"/>
      <c r="L172" s="139"/>
      <c r="M172" s="490"/>
      <c r="N172" s="490"/>
      <c r="O172" s="2"/>
      <c r="P172" s="2"/>
      <c r="Q172" s="2"/>
    </row>
    <row r="173" spans="1:17" s="1" customFormat="1" ht="18">
      <c r="A173" s="5145"/>
      <c r="B173" s="1786"/>
      <c r="C173" s="1792"/>
      <c r="D173" s="1793"/>
      <c r="E173" s="1792"/>
      <c r="F173" s="1792"/>
      <c r="G173" s="1792"/>
      <c r="H173" s="1792"/>
      <c r="I173" s="1792"/>
      <c r="J173" s="1792"/>
      <c r="K173" s="1785"/>
      <c r="L173" s="139"/>
      <c r="M173" s="490"/>
      <c r="N173" s="490"/>
      <c r="O173" s="2"/>
      <c r="P173" s="2"/>
      <c r="Q173" s="2"/>
    </row>
    <row r="174" spans="1:17" s="1" customFormat="1" ht="18">
      <c r="A174" s="5145"/>
      <c r="B174" s="1786"/>
      <c r="C174" s="1794"/>
      <c r="D174" s="1795" t="s">
        <v>777</v>
      </c>
      <c r="E174" s="1865">
        <v>0.3</v>
      </c>
      <c r="F174" s="1791">
        <f>INT(E172/E174)</f>
        <v>36</v>
      </c>
      <c r="G174" s="5147">
        <f>E174</f>
        <v>0.3</v>
      </c>
      <c r="H174" s="5147"/>
      <c r="I174" s="1792"/>
      <c r="J174" s="1811">
        <f>E174*F174</f>
        <v>10.799999999999999</v>
      </c>
      <c r="K174" s="1785"/>
      <c r="L174" s="139"/>
      <c r="M174" s="490"/>
      <c r="N174" s="490"/>
      <c r="O174" s="2"/>
      <c r="P174" s="2"/>
      <c r="Q174" s="2"/>
    </row>
    <row r="175" spans="1:17" s="1" customFormat="1" ht="18">
      <c r="A175" s="5145"/>
      <c r="B175" s="1800"/>
      <c r="C175" s="1792"/>
      <c r="D175" s="1792"/>
      <c r="E175" s="1792"/>
      <c r="F175" s="1812"/>
      <c r="G175" s="1801" t="str">
        <f>IF(J174=E172,"","Plus 1 de")</f>
        <v>Plus 1 de</v>
      </c>
      <c r="H175" s="1813">
        <f>IF(J174=E172,"",MOD(E172,E174))</f>
        <v>0.2000000000000004</v>
      </c>
      <c r="I175" s="1803"/>
      <c r="J175" s="1811">
        <f>IF(J174=E172,"",J174+H175)</f>
        <v>11</v>
      </c>
      <c r="K175" s="1785"/>
      <c r="L175" s="139"/>
      <c r="M175" s="490"/>
      <c r="N175" s="490"/>
      <c r="O175" s="2"/>
      <c r="P175" s="2"/>
      <c r="Q175" s="2"/>
    </row>
    <row r="176" spans="1:17" s="1" customFormat="1" ht="15">
      <c r="A176" s="5145"/>
      <c r="B176" s="5148" t="s">
        <v>1386</v>
      </c>
      <c r="C176" s="5149"/>
      <c r="D176" s="5149"/>
      <c r="E176" s="5149"/>
      <c r="F176" s="5149"/>
      <c r="G176" s="5149"/>
      <c r="H176" s="5149"/>
      <c r="I176" s="5149"/>
      <c r="J176" s="5149"/>
      <c r="K176" s="1785"/>
      <c r="L176" s="139"/>
      <c r="M176" s="490"/>
      <c r="N176" s="490"/>
      <c r="O176" s="2"/>
      <c r="P176" s="2"/>
      <c r="Q176" s="2"/>
    </row>
    <row r="177" spans="1:19" s="1" customFormat="1">
      <c r="A177" s="5145"/>
      <c r="B177" s="5150" t="s">
        <v>687</v>
      </c>
      <c r="C177" s="5151"/>
      <c r="D177" s="5151"/>
      <c r="E177" s="5151"/>
      <c r="F177" s="5151"/>
      <c r="G177" s="5151"/>
      <c r="H177" s="5151"/>
      <c r="I177" s="5151"/>
      <c r="J177" s="5151"/>
      <c r="K177" s="5152"/>
      <c r="L177" s="139"/>
      <c r="M177" s="490"/>
      <c r="N177" s="490"/>
      <c r="O177" s="2"/>
      <c r="P177" s="2"/>
      <c r="Q177" s="2"/>
    </row>
    <row r="178" spans="1:19" s="1" customFormat="1">
      <c r="A178" s="5145"/>
      <c r="B178" s="633" t="s">
        <v>1048</v>
      </c>
      <c r="C178" s="1857"/>
      <c r="D178" s="1857"/>
      <c r="E178" s="1857"/>
      <c r="F178" s="1857"/>
      <c r="G178" s="1857"/>
      <c r="H178" s="1857"/>
      <c r="I178" s="1857"/>
      <c r="J178" s="1857"/>
      <c r="K178" s="1785"/>
      <c r="L178" s="139"/>
      <c r="M178" s="490"/>
      <c r="N178" s="490"/>
      <c r="O178" s="2"/>
      <c r="P178" s="2"/>
      <c r="Q178" s="2"/>
    </row>
    <row r="179" spans="1:19" s="1" customFormat="1">
      <c r="A179" s="5145"/>
      <c r="B179" s="1836" t="s">
        <v>1049</v>
      </c>
      <c r="C179" s="1858"/>
      <c r="D179" s="1858"/>
      <c r="E179" s="1858"/>
      <c r="F179" s="1858"/>
      <c r="G179" s="1858"/>
      <c r="H179" s="1858"/>
      <c r="I179" s="1858"/>
      <c r="J179" s="1858"/>
      <c r="K179" s="1859"/>
      <c r="L179" s="139"/>
      <c r="M179" s="490"/>
      <c r="N179" s="490"/>
      <c r="O179" s="2"/>
      <c r="P179" s="2"/>
      <c r="Q179" s="2"/>
    </row>
    <row r="180" spans="1:19" s="1" customFormat="1" ht="15">
      <c r="A180" s="5145"/>
      <c r="B180" s="1805" t="s">
        <v>37</v>
      </c>
      <c r="C180" s="1806" t="str">
        <f ca="1">CELL("nomfichier")</f>
        <v>D:\Données\Copie_ancien_DD\0-UPRT.fait\1-UPRT.FR-SITE-WEB\ff-fiches-fabrications\ff-fiches-fabrication-maj-08-2020\[ff-22-formats-formules-pourcentages.xlsx]Epurer.un.texte</v>
      </c>
      <c r="D180" s="1806"/>
      <c r="E180" s="1806"/>
      <c r="F180" s="1806"/>
      <c r="G180" s="1806"/>
      <c r="H180" s="1806"/>
      <c r="I180" s="1806"/>
      <c r="J180" s="1806"/>
      <c r="K180" s="1807"/>
      <c r="L180" s="139"/>
      <c r="M180" s="490"/>
      <c r="N180" s="490"/>
      <c r="O180" s="2"/>
      <c r="P180" s="2"/>
      <c r="Q180" s="2"/>
    </row>
    <row r="181" spans="1:19" s="1" customFormat="1" ht="16.5" thickBot="1">
      <c r="A181" s="5146"/>
      <c r="B181" s="1808" t="s">
        <v>34</v>
      </c>
      <c r="C181" s="1809"/>
      <c r="D181" s="1809"/>
      <c r="E181" s="1809"/>
      <c r="F181" s="1809"/>
      <c r="G181" s="1809"/>
      <c r="H181" s="1809"/>
      <c r="I181" s="1809"/>
      <c r="J181" s="1809"/>
      <c r="K181" s="1810"/>
      <c r="L181" s="139"/>
      <c r="M181" s="490"/>
      <c r="N181" s="490"/>
      <c r="O181" s="2"/>
      <c r="P181" s="2"/>
      <c r="Q181" s="2"/>
    </row>
    <row r="182" spans="1:19" s="1" customFormat="1" ht="15">
      <c r="A182" s="2"/>
      <c r="B182" s="572"/>
      <c r="C182" s="572"/>
      <c r="D182" s="572"/>
      <c r="E182" s="572"/>
      <c r="F182" s="572"/>
      <c r="G182" s="572"/>
      <c r="H182" s="3"/>
      <c r="I182" s="490"/>
      <c r="J182" s="490"/>
      <c r="K182" s="139"/>
      <c r="L182" s="139"/>
      <c r="M182" s="490"/>
      <c r="N182" s="490"/>
      <c r="O182" s="2"/>
      <c r="P182" s="2"/>
      <c r="Q182" s="2"/>
    </row>
    <row r="183" spans="1:19" s="1" customFormat="1" thickBot="1">
      <c r="A183" s="2"/>
      <c r="B183" s="572"/>
      <c r="C183" s="572"/>
      <c r="D183" s="572"/>
      <c r="E183" s="572"/>
      <c r="F183" s="572"/>
      <c r="G183" s="572"/>
      <c r="H183" s="3"/>
      <c r="I183" s="490"/>
      <c r="J183" s="490"/>
      <c r="K183" s="139"/>
      <c r="L183" s="139"/>
      <c r="M183" s="490"/>
      <c r="N183" s="490"/>
      <c r="O183" s="2"/>
      <c r="P183" s="2"/>
      <c r="Q183" s="2"/>
    </row>
    <row r="184" spans="1:19" s="1" customFormat="1">
      <c r="A184" s="1530" t="s">
        <v>70</v>
      </c>
      <c r="B184" s="5115" t="s">
        <v>859</v>
      </c>
      <c r="C184" s="5116"/>
      <c r="D184" s="5116"/>
      <c r="E184" s="5117"/>
      <c r="F184" s="634"/>
      <c r="G184" s="307" t="s">
        <v>70</v>
      </c>
      <c r="H184" s="5118" t="s">
        <v>859</v>
      </c>
      <c r="I184" s="5119"/>
      <c r="J184" s="5119"/>
      <c r="K184" s="5119"/>
      <c r="L184" s="5119"/>
      <c r="M184" s="5119"/>
      <c r="N184" s="5119"/>
      <c r="O184" s="5119"/>
      <c r="P184" s="5119"/>
      <c r="Q184" s="5119"/>
      <c r="R184" s="5119"/>
      <c r="S184" s="5120"/>
    </row>
    <row r="185" spans="1:19" s="1" customFormat="1" ht="30.75" customHeight="1">
      <c r="A185" s="5107" t="str">
        <f>B184</f>
        <v>CONDITIONNEMENT AU POIDS</v>
      </c>
      <c r="B185" s="1860" t="str">
        <f>ADDRESS(ROW(),COLUMN(),4)</f>
        <v>B185</v>
      </c>
      <c r="C185" s="1861" t="s">
        <v>691</v>
      </c>
      <c r="D185" s="1862"/>
      <c r="E185" s="1863"/>
      <c r="F185" s="634"/>
      <c r="G185" s="5107" t="str">
        <f>H184</f>
        <v>CONDITIONNEMENT AU POIDS</v>
      </c>
      <c r="H185" s="912" t="str">
        <f>ADDRESS(ROW(),COLUMN(),4)</f>
        <v>H185</v>
      </c>
      <c r="I185" s="814" t="s">
        <v>691</v>
      </c>
      <c r="J185" s="913"/>
      <c r="K185" s="874"/>
      <c r="L185" s="874"/>
      <c r="M185" s="874"/>
      <c r="N185" s="874"/>
      <c r="O185" s="874"/>
      <c r="P185" s="901"/>
      <c r="Q185" s="875" t="s">
        <v>855</v>
      </c>
      <c r="R185" s="876">
        <f>M186+Q186</f>
        <v>2</v>
      </c>
      <c r="S185" s="902"/>
    </row>
    <row r="186" spans="1:19" s="1" customFormat="1" ht="15.75" customHeight="1">
      <c r="A186" s="5107"/>
      <c r="B186" s="5137" t="s">
        <v>856</v>
      </c>
      <c r="C186" s="5131" t="s">
        <v>850</v>
      </c>
      <c r="D186" s="5132" t="s">
        <v>857</v>
      </c>
      <c r="E186" s="5104" t="s">
        <v>851</v>
      </c>
      <c r="F186" s="634"/>
      <c r="G186" s="5107"/>
      <c r="H186" s="5130" t="s">
        <v>856</v>
      </c>
      <c r="I186" s="5131" t="s">
        <v>850</v>
      </c>
      <c r="J186" s="5132" t="s">
        <v>857</v>
      </c>
      <c r="K186" s="5133" t="s">
        <v>851</v>
      </c>
      <c r="L186" s="5135" t="s">
        <v>778</v>
      </c>
      <c r="M186" s="5124">
        <f>IF(ISBLANK(I188),0,INT(H188/I188))</f>
        <v>1</v>
      </c>
      <c r="N186" s="914" t="s">
        <v>852</v>
      </c>
      <c r="O186" s="916" t="s">
        <v>853</v>
      </c>
      <c r="P186" s="5121" t="s">
        <v>854</v>
      </c>
      <c r="Q186" s="5124">
        <f>IF(ISBLANK(I188),0,ROUNDUP((H188/I188)-INT(H188/I188),0))</f>
        <v>1</v>
      </c>
      <c r="R186" s="914" t="s">
        <v>852</v>
      </c>
      <c r="S186" s="915" t="s">
        <v>853</v>
      </c>
    </row>
    <row r="187" spans="1:19" s="1" customFormat="1">
      <c r="A187" s="5107"/>
      <c r="B187" s="5099"/>
      <c r="C187" s="5138"/>
      <c r="D187" s="5139"/>
      <c r="E187" s="5104"/>
      <c r="F187" s="634"/>
      <c r="G187" s="5107"/>
      <c r="H187" s="5099"/>
      <c r="I187" s="5101"/>
      <c r="J187" s="5103"/>
      <c r="K187" s="5134"/>
      <c r="L187" s="5113"/>
      <c r="M187" s="5071"/>
      <c r="N187" s="5125">
        <f>IF(J188*I188&gt;K188,0,J188*I188)</f>
        <v>0.84000000000000008</v>
      </c>
      <c r="O187" s="5105">
        <f>M186*I188</f>
        <v>12</v>
      </c>
      <c r="P187" s="5122"/>
      <c r="Q187" s="5071"/>
      <c r="R187" s="5125">
        <f>(J188*H188)-(J188*I188)*M186</f>
        <v>7.0000000000000062E-2</v>
      </c>
      <c r="S187" s="5128">
        <f>IF(J188=0,0,R187/J188)</f>
        <v>1.0000000000000009</v>
      </c>
    </row>
    <row r="188" spans="1:19" s="1" customFormat="1">
      <c r="A188" s="5107"/>
      <c r="B188" s="861">
        <v>13</v>
      </c>
      <c r="C188" s="862">
        <v>12</v>
      </c>
      <c r="D188" s="921">
        <v>7.0000000000000007E-2</v>
      </c>
      <c r="E188" s="863">
        <f>D188*B188</f>
        <v>0.91000000000000014</v>
      </c>
      <c r="F188" s="634"/>
      <c r="G188" s="5107"/>
      <c r="H188" s="861">
        <v>13</v>
      </c>
      <c r="I188" s="862">
        <v>12</v>
      </c>
      <c r="J188" s="921">
        <v>7.0000000000000007E-2</v>
      </c>
      <c r="K188" s="922">
        <f>J188*H188</f>
        <v>0.91000000000000014</v>
      </c>
      <c r="L188" s="5136"/>
      <c r="M188" s="871" t="s">
        <v>858</v>
      </c>
      <c r="N188" s="5126"/>
      <c r="O188" s="5127"/>
      <c r="P188" s="5123"/>
      <c r="Q188" s="871" t="s">
        <v>858</v>
      </c>
      <c r="R188" s="5126"/>
      <c r="S188" s="5129"/>
    </row>
    <row r="189" spans="1:19" s="1" customFormat="1" ht="16.5" thickBot="1">
      <c r="A189" s="5107"/>
      <c r="B189" s="5140" t="s">
        <v>778</v>
      </c>
      <c r="C189" s="1546">
        <f>IF(ISBLANK(C188),0,INT(B188/C188))</f>
        <v>1</v>
      </c>
      <c r="D189" s="857" t="s">
        <v>852</v>
      </c>
      <c r="E189" s="858" t="s">
        <v>853</v>
      </c>
      <c r="F189" s="634"/>
      <c r="G189" s="5107"/>
      <c r="H189" s="5153" t="s">
        <v>687</v>
      </c>
      <c r="I189" s="5154"/>
      <c r="J189" s="5154"/>
      <c r="K189" s="5155"/>
      <c r="L189" s="781"/>
      <c r="M189" s="580"/>
      <c r="N189" s="580"/>
      <c r="O189" s="580"/>
      <c r="P189" s="580"/>
      <c r="Q189" s="580"/>
      <c r="R189" s="580"/>
      <c r="S189" s="581"/>
    </row>
    <row r="190" spans="1:19" s="1" customFormat="1">
      <c r="A190" s="5107"/>
      <c r="B190" s="5141"/>
      <c r="C190" s="871" t="s">
        <v>858</v>
      </c>
      <c r="D190" s="1548">
        <f>IF(D188*C188&gt;E188,0,D188*C188)</f>
        <v>0.84000000000000008</v>
      </c>
      <c r="E190" s="1549">
        <f>C189*C188</f>
        <v>12</v>
      </c>
      <c r="F190" s="634"/>
      <c r="G190" s="634"/>
      <c r="H190" s="634"/>
      <c r="I190" s="634"/>
      <c r="J190" s="634"/>
      <c r="K190" s="634"/>
      <c r="L190" s="634"/>
      <c r="M190" s="634"/>
      <c r="N190" s="634"/>
      <c r="O190" s="634"/>
      <c r="P190" s="634"/>
      <c r="Q190" s="634"/>
      <c r="R190"/>
      <c r="S190"/>
    </row>
    <row r="191" spans="1:19" s="1" customFormat="1">
      <c r="A191" s="5107"/>
      <c r="B191" s="5140" t="s">
        <v>854</v>
      </c>
      <c r="C191" s="1546">
        <f>IF(ISBLANK(C188),0,ROUNDUP((B188/C188)-INT(B188/C188),0))</f>
        <v>1</v>
      </c>
      <c r="D191" s="857" t="s">
        <v>852</v>
      </c>
      <c r="E191" s="858" t="s">
        <v>853</v>
      </c>
      <c r="F191" s="634"/>
      <c r="G191" s="634"/>
      <c r="H191" s="634"/>
      <c r="I191" s="634"/>
      <c r="J191" s="634"/>
      <c r="K191" s="634"/>
      <c r="L191" s="634"/>
      <c r="M191" s="634"/>
      <c r="N191" s="634"/>
      <c r="O191" s="634"/>
      <c r="P191" s="634"/>
      <c r="Q191" s="634"/>
      <c r="R191"/>
      <c r="S191"/>
    </row>
    <row r="192" spans="1:19" s="1" customFormat="1">
      <c r="A192" s="5107"/>
      <c r="B192" s="5075"/>
      <c r="C192" s="871" t="s">
        <v>858</v>
      </c>
      <c r="D192" s="1547">
        <f>(D188*B188)-(D188*C188)*C189</f>
        <v>7.0000000000000062E-2</v>
      </c>
      <c r="E192" s="1558">
        <f>IF(D188=0,0,D192/D188)</f>
        <v>1.0000000000000009</v>
      </c>
      <c r="F192" s="634"/>
      <c r="G192" s="634"/>
      <c r="H192" s="634"/>
      <c r="I192" s="634"/>
      <c r="J192" s="634"/>
      <c r="K192" s="634"/>
      <c r="L192" s="634"/>
      <c r="M192" s="634"/>
      <c r="N192" s="634"/>
      <c r="O192" s="634"/>
      <c r="P192" s="634"/>
      <c r="Q192" s="634"/>
      <c r="R192"/>
      <c r="S192"/>
    </row>
    <row r="193" spans="1:19" s="1" customFormat="1" ht="16.5" thickBot="1">
      <c r="A193" s="5107"/>
      <c r="B193" s="864"/>
      <c r="C193" s="865" t="s">
        <v>855</v>
      </c>
      <c r="D193" s="866">
        <f>C189+C191</f>
        <v>2</v>
      </c>
      <c r="E193" s="867"/>
      <c r="F193" s="634"/>
      <c r="G193" s="634"/>
      <c r="H193" s="634"/>
      <c r="I193" s="634"/>
      <c r="J193" s="634"/>
      <c r="K193" s="634"/>
      <c r="L193" s="634"/>
      <c r="M193" s="634"/>
      <c r="N193" s="634"/>
      <c r="O193" s="634"/>
      <c r="P193" s="634"/>
      <c r="Q193" s="634"/>
      <c r="R193"/>
      <c r="S193"/>
    </row>
    <row r="194" spans="1:19" s="1" customFormat="1">
      <c r="A194" s="5107"/>
      <c r="B194" s="5156" t="s">
        <v>1048</v>
      </c>
      <c r="C194" s="5157"/>
      <c r="D194" s="5157"/>
      <c r="E194" s="5158"/>
      <c r="F194" s="634"/>
      <c r="G194" s="634"/>
      <c r="H194" s="634"/>
      <c r="I194" s="634"/>
      <c r="J194" s="634"/>
      <c r="K194" s="634"/>
      <c r="L194" s="634"/>
      <c r="M194" s="634"/>
      <c r="N194" s="634"/>
      <c r="O194" s="634"/>
      <c r="P194" s="634"/>
      <c r="Q194" s="634"/>
      <c r="R194"/>
      <c r="S194"/>
    </row>
    <row r="195" spans="1:19" s="1" customFormat="1">
      <c r="A195" s="5107"/>
      <c r="B195" s="5159"/>
      <c r="C195" s="5160"/>
      <c r="D195" s="5160"/>
      <c r="E195" s="5161"/>
      <c r="F195" s="634"/>
      <c r="G195" s="634"/>
      <c r="H195" s="634"/>
      <c r="I195" s="634"/>
      <c r="J195" s="634"/>
      <c r="K195" s="634"/>
      <c r="L195" s="634"/>
      <c r="M195" s="634"/>
      <c r="N195" s="634"/>
      <c r="O195" s="634"/>
      <c r="P195" s="634"/>
      <c r="Q195" s="634"/>
      <c r="R195"/>
      <c r="S195"/>
    </row>
    <row r="196" spans="1:19" s="1" customFormat="1">
      <c r="A196" s="5107"/>
      <c r="B196" s="5162" t="s">
        <v>1049</v>
      </c>
      <c r="C196" s="5163"/>
      <c r="D196" s="5163"/>
      <c r="E196" s="5164"/>
      <c r="F196" s="634"/>
      <c r="G196" s="634"/>
      <c r="H196" s="634"/>
      <c r="I196" s="634"/>
      <c r="J196" s="634"/>
      <c r="K196" s="634"/>
      <c r="L196" s="634"/>
      <c r="M196" s="634"/>
      <c r="N196" s="634"/>
      <c r="O196" s="634"/>
      <c r="P196" s="634"/>
      <c r="Q196" s="634"/>
      <c r="R196"/>
      <c r="S196"/>
    </row>
    <row r="197" spans="1:19" s="1" customFormat="1" ht="16.5" thickBot="1">
      <c r="A197" s="5107"/>
      <c r="B197" s="5165"/>
      <c r="C197" s="5166"/>
      <c r="D197" s="5166"/>
      <c r="E197" s="5167"/>
      <c r="F197" s="634"/>
      <c r="G197" s="634"/>
      <c r="H197" s="634"/>
      <c r="I197" s="634"/>
      <c r="J197" s="634"/>
      <c r="K197" s="634"/>
      <c r="L197" s="634"/>
      <c r="M197" s="634"/>
      <c r="N197" s="634"/>
      <c r="O197" s="634"/>
      <c r="P197" s="634"/>
      <c r="Q197" s="634"/>
      <c r="R197"/>
      <c r="S197"/>
    </row>
    <row r="198" spans="1:19" s="1" customFormat="1" thickBot="1">
      <c r="A198" s="2"/>
      <c r="B198" s="572"/>
      <c r="C198" s="572"/>
      <c r="D198" s="572"/>
      <c r="E198" s="572"/>
      <c r="F198" s="572"/>
      <c r="G198" s="572"/>
      <c r="H198" s="3"/>
      <c r="I198" s="490"/>
      <c r="J198" s="490"/>
      <c r="K198" s="139"/>
      <c r="L198" s="139"/>
      <c r="M198" s="490"/>
      <c r="N198" s="490"/>
      <c r="O198" s="2"/>
      <c r="P198" s="2"/>
      <c r="Q198" s="2"/>
    </row>
    <row r="199" spans="1:19" s="1" customFormat="1">
      <c r="A199" s="1530" t="s">
        <v>70</v>
      </c>
      <c r="B199" s="5115" t="s">
        <v>860</v>
      </c>
      <c r="C199" s="5116"/>
      <c r="D199" s="5116"/>
      <c r="E199" s="5117"/>
      <c r="F199" s="634"/>
      <c r="G199" s="307" t="s">
        <v>70</v>
      </c>
      <c r="H199" s="5118" t="s">
        <v>860</v>
      </c>
      <c r="I199" s="5119"/>
      <c r="J199" s="5119"/>
      <c r="K199" s="5119"/>
      <c r="L199" s="5119"/>
      <c r="M199" s="5119"/>
      <c r="N199" s="5119"/>
      <c r="O199" s="5119"/>
      <c r="P199" s="5119"/>
      <c r="Q199" s="5119"/>
      <c r="R199" s="5119"/>
      <c r="S199" s="5120"/>
    </row>
    <row r="200" spans="1:19" s="1" customFormat="1" ht="30" customHeight="1">
      <c r="A200" s="5107" t="str">
        <f>B199</f>
        <v>CONDITIONNEMENT A LA PIÈCE</v>
      </c>
      <c r="B200" s="533" t="str">
        <f>ADDRESS(ROW(),COLUMN(),4)</f>
        <v>B200</v>
      </c>
      <c r="C200" s="903" t="s">
        <v>691</v>
      </c>
      <c r="D200" s="904"/>
      <c r="E200" s="905"/>
      <c r="F200" s="634"/>
      <c r="G200" s="5107" t="str">
        <f>H199</f>
        <v>CONDITIONNEMENT A LA PIÈCE</v>
      </c>
      <c r="H200" s="533" t="str">
        <f>ADDRESS(ROW(),COLUMN(),4)</f>
        <v>H200</v>
      </c>
      <c r="I200" s="903" t="s">
        <v>691</v>
      </c>
      <c r="J200" s="904"/>
      <c r="K200" s="906"/>
      <c r="L200" s="907" t="s">
        <v>863</v>
      </c>
      <c r="M200" s="5108" t="s">
        <v>861</v>
      </c>
      <c r="N200" s="5108"/>
      <c r="O200" s="5109"/>
      <c r="P200" s="908"/>
      <c r="Q200" s="909" t="s">
        <v>855</v>
      </c>
      <c r="R200" s="910">
        <f>M201+Q201</f>
        <v>24</v>
      </c>
      <c r="S200" s="911"/>
    </row>
    <row r="201" spans="1:19" s="1" customFormat="1" ht="15.75" customHeight="1">
      <c r="A201" s="5107"/>
      <c r="B201" s="897" t="s">
        <v>863</v>
      </c>
      <c r="C201" s="5110" t="s">
        <v>861</v>
      </c>
      <c r="D201" s="5110"/>
      <c r="E201" s="5111"/>
      <c r="F201" s="634"/>
      <c r="G201" s="5107"/>
      <c r="H201" s="5099" t="s">
        <v>856</v>
      </c>
      <c r="I201" s="5100" t="s">
        <v>850</v>
      </c>
      <c r="J201" s="5102" t="s">
        <v>862</v>
      </c>
      <c r="K201" s="5112" t="s">
        <v>146</v>
      </c>
      <c r="L201" s="5113" t="s">
        <v>778</v>
      </c>
      <c r="M201" s="5071">
        <f>IF(ISBLANK(I203),0,INT(H203/I203))</f>
        <v>23</v>
      </c>
      <c r="N201" s="859" t="s">
        <v>852</v>
      </c>
      <c r="O201" s="896" t="s">
        <v>853</v>
      </c>
      <c r="P201" s="5097" t="s">
        <v>854</v>
      </c>
      <c r="Q201" s="5071">
        <f>IF(ISBLANK(I203),0,ROUNDUP((H203/I203)-INT(H203/I203),0))</f>
        <v>1</v>
      </c>
      <c r="R201" s="859" t="s">
        <v>852</v>
      </c>
      <c r="S201" s="860" t="s">
        <v>853</v>
      </c>
    </row>
    <row r="202" spans="1:19" s="1" customFormat="1" ht="17.25" customHeight="1">
      <c r="A202" s="5107"/>
      <c r="B202" s="5098" t="s">
        <v>856</v>
      </c>
      <c r="C202" s="5100" t="s">
        <v>850</v>
      </c>
      <c r="D202" s="5102" t="s">
        <v>862</v>
      </c>
      <c r="E202" s="5104" t="s">
        <v>146</v>
      </c>
      <c r="F202" s="634"/>
      <c r="G202" s="5107"/>
      <c r="H202" s="5099"/>
      <c r="I202" s="5101"/>
      <c r="J202" s="5103"/>
      <c r="K202" s="5112"/>
      <c r="L202" s="5113"/>
      <c r="M202" s="5071"/>
      <c r="N202" s="870">
        <f>IF(J203*I203&gt;K203,0,J203*I203)</f>
        <v>9</v>
      </c>
      <c r="O202" s="5105">
        <f>M201*I203</f>
        <v>69</v>
      </c>
      <c r="P202" s="5097"/>
      <c r="Q202" s="5071"/>
      <c r="R202" s="870">
        <f>(J203*H203)-(J203*I203)*M201</f>
        <v>3</v>
      </c>
      <c r="S202" s="872">
        <f>IF(J203=0,0,R202/J203)</f>
        <v>1</v>
      </c>
    </row>
    <row r="203" spans="1:19" s="1" customFormat="1" ht="17.25" customHeight="1">
      <c r="A203" s="5107"/>
      <c r="B203" s="5099"/>
      <c r="C203" s="5101"/>
      <c r="D203" s="5103"/>
      <c r="E203" s="5104"/>
      <c r="F203" s="634"/>
      <c r="G203" s="5107"/>
      <c r="H203" s="861">
        <v>70</v>
      </c>
      <c r="I203" s="918">
        <v>3</v>
      </c>
      <c r="J203" s="919">
        <v>3</v>
      </c>
      <c r="K203" s="884">
        <f>J203*H203</f>
        <v>210</v>
      </c>
      <c r="L203" s="5114"/>
      <c r="M203" s="887" t="s">
        <v>858</v>
      </c>
      <c r="N203" s="888" t="str">
        <f>M200</f>
        <v>Tranches</v>
      </c>
      <c r="O203" s="5106"/>
      <c r="P203" s="889"/>
      <c r="Q203" s="887" t="s">
        <v>858</v>
      </c>
      <c r="R203" s="888" t="str">
        <f>M200</f>
        <v>Tranches</v>
      </c>
      <c r="S203" s="873"/>
    </row>
    <row r="204" spans="1:19" s="1" customFormat="1" ht="17.25" customHeight="1">
      <c r="A204" s="5107"/>
      <c r="B204" s="861">
        <v>70</v>
      </c>
      <c r="C204" s="862">
        <v>3</v>
      </c>
      <c r="D204" s="920">
        <v>3</v>
      </c>
      <c r="E204" s="868">
        <f>D204*B204</f>
        <v>210</v>
      </c>
      <c r="F204" s="634"/>
      <c r="G204" s="5107"/>
      <c r="H204" s="5065" t="s">
        <v>687</v>
      </c>
      <c r="I204" s="5066"/>
      <c r="J204" s="5066"/>
      <c r="K204" s="5066"/>
      <c r="L204" s="899" t="s">
        <v>863</v>
      </c>
      <c r="M204" s="900" t="s">
        <v>864</v>
      </c>
      <c r="N204" s="634"/>
      <c r="O204" s="885"/>
      <c r="P204" s="891"/>
      <c r="Q204" s="892"/>
      <c r="R204" s="892"/>
      <c r="S204" s="893"/>
    </row>
    <row r="205" spans="1:19" s="1" customFormat="1" ht="17.25" customHeight="1" thickBot="1">
      <c r="A205" s="5107"/>
      <c r="B205" s="5067" t="s">
        <v>778</v>
      </c>
      <c r="C205" s="5070">
        <f>IF(ISBLANK(C204),0,INT(B204/C204))</f>
        <v>23</v>
      </c>
      <c r="D205" s="857" t="s">
        <v>852</v>
      </c>
      <c r="E205" s="858" t="s">
        <v>853</v>
      </c>
      <c r="F205" s="634"/>
      <c r="G205" s="5107"/>
      <c r="H205" s="879" t="s">
        <v>866</v>
      </c>
      <c r="I205" s="580"/>
      <c r="J205" s="580"/>
      <c r="K205" s="580"/>
      <c r="L205" s="890" t="s">
        <v>865</v>
      </c>
      <c r="M205" s="780"/>
      <c r="N205" s="780"/>
      <c r="O205" s="886"/>
      <c r="P205" s="894"/>
      <c r="Q205" s="894"/>
      <c r="R205" s="894"/>
      <c r="S205" s="895"/>
    </row>
    <row r="206" spans="1:19" s="1" customFormat="1" ht="17.25" customHeight="1">
      <c r="A206" s="5107"/>
      <c r="B206" s="5068"/>
      <c r="C206" s="5071"/>
      <c r="D206" s="870">
        <f>IF(D204*C204&gt;E204,0,D204*C204)</f>
        <v>9</v>
      </c>
      <c r="E206" s="5072">
        <f>C205*C204</f>
        <v>69</v>
      </c>
      <c r="F206" s="634"/>
      <c r="G206" s="634"/>
      <c r="H206" s="634"/>
      <c r="I206" s="634"/>
      <c r="J206" s="634"/>
      <c r="K206" s="634"/>
      <c r="L206" s="634"/>
      <c r="M206" s="634"/>
      <c r="N206" s="634"/>
      <c r="O206" s="634"/>
      <c r="P206" s="634"/>
      <c r="Q206" s="634"/>
      <c r="R206"/>
      <c r="S206"/>
    </row>
    <row r="207" spans="1:19" s="1" customFormat="1" ht="17.25" customHeight="1">
      <c r="A207" s="5107"/>
      <c r="B207" s="5069"/>
      <c r="C207" s="871" t="s">
        <v>858</v>
      </c>
      <c r="D207" s="869" t="str">
        <f>C201</f>
        <v>Tranches</v>
      </c>
      <c r="E207" s="5073"/>
      <c r="F207" s="634"/>
      <c r="G207" s="634"/>
      <c r="H207" s="634"/>
      <c r="I207" s="634"/>
      <c r="J207" s="634"/>
      <c r="K207" s="634"/>
      <c r="L207" s="634"/>
      <c r="M207" s="634"/>
      <c r="N207" s="634"/>
      <c r="O207" s="634"/>
      <c r="P207" s="634"/>
      <c r="Q207" s="634"/>
      <c r="R207"/>
      <c r="S207"/>
    </row>
    <row r="208" spans="1:19" s="1" customFormat="1" ht="17.25" customHeight="1">
      <c r="A208" s="5107"/>
      <c r="B208" s="5074" t="s">
        <v>854</v>
      </c>
      <c r="C208" s="5070">
        <f>IF(ISBLANK(C204),0,ROUNDUP((B204/C204)-INT(B204/C204),0))</f>
        <v>1</v>
      </c>
      <c r="D208" s="857" t="s">
        <v>852</v>
      </c>
      <c r="E208" s="858" t="s">
        <v>853</v>
      </c>
      <c r="F208" s="634"/>
      <c r="G208" s="634"/>
      <c r="H208" s="634"/>
      <c r="I208" s="634"/>
      <c r="J208" s="634"/>
      <c r="K208" s="634"/>
      <c r="L208" s="634"/>
      <c r="M208" s="634"/>
      <c r="N208" s="634"/>
      <c r="O208" s="634"/>
      <c r="P208" s="634"/>
      <c r="Q208" s="634"/>
      <c r="R208"/>
      <c r="S208"/>
    </row>
    <row r="209" spans="1:23" s="1" customFormat="1" ht="17.25" customHeight="1">
      <c r="A209" s="5107"/>
      <c r="B209" s="5075"/>
      <c r="C209" s="5071"/>
      <c r="D209" s="870">
        <f>(D204*B204)-(D204*C204)*C205</f>
        <v>3</v>
      </c>
      <c r="E209" s="872">
        <f>IF(D204=0,0,D209/D204)</f>
        <v>1</v>
      </c>
      <c r="F209" s="634"/>
      <c r="G209" s="634"/>
      <c r="H209" s="634"/>
      <c r="I209" s="634"/>
      <c r="J209" s="634"/>
      <c r="K209" s="634"/>
      <c r="L209" s="634"/>
      <c r="M209" s="634"/>
      <c r="N209" s="634"/>
      <c r="O209" s="634"/>
      <c r="P209" s="634"/>
      <c r="Q209" s="634"/>
      <c r="R209"/>
      <c r="S209"/>
    </row>
    <row r="210" spans="1:23" s="1" customFormat="1" ht="17.25" customHeight="1">
      <c r="A210" s="5107"/>
      <c r="B210" s="1550"/>
      <c r="C210" s="871" t="s">
        <v>858</v>
      </c>
      <c r="D210" s="869" t="str">
        <f>C201</f>
        <v>Tranches</v>
      </c>
      <c r="E210" s="873"/>
      <c r="F210" s="634"/>
      <c r="G210" s="634"/>
      <c r="H210" s="634"/>
      <c r="I210" s="634"/>
      <c r="J210" s="634"/>
      <c r="K210" s="634"/>
      <c r="L210" s="634"/>
      <c r="M210" s="634"/>
      <c r="N210" s="634"/>
      <c r="O210" s="634"/>
      <c r="P210" s="634"/>
      <c r="Q210" s="634"/>
      <c r="R210"/>
      <c r="S210"/>
    </row>
    <row r="211" spans="1:23" s="1" customFormat="1">
      <c r="A211" s="5107"/>
      <c r="B211" s="880"/>
      <c r="C211" s="881" t="s">
        <v>855</v>
      </c>
      <c r="D211" s="882">
        <f>C205+C208</f>
        <v>24</v>
      </c>
      <c r="E211" s="883"/>
      <c r="F211" s="634"/>
      <c r="G211" s="634"/>
      <c r="H211" s="634"/>
      <c r="I211" s="634"/>
      <c r="J211" s="634"/>
      <c r="K211" s="634"/>
      <c r="L211" s="634"/>
      <c r="M211" s="634"/>
      <c r="N211" s="634"/>
      <c r="O211" s="634"/>
      <c r="P211" s="634"/>
      <c r="Q211" s="634"/>
      <c r="R211"/>
      <c r="S211"/>
    </row>
    <row r="212" spans="1:23" s="1" customFormat="1" ht="15.75" customHeight="1">
      <c r="A212" s="5107"/>
      <c r="B212" s="5089" t="s">
        <v>687</v>
      </c>
      <c r="C212" s="5066"/>
      <c r="D212" s="5066"/>
      <c r="E212" s="5090"/>
      <c r="F212" s="634"/>
      <c r="G212" s="634"/>
      <c r="H212" s="634"/>
      <c r="I212" s="634"/>
      <c r="J212" s="634"/>
      <c r="K212" s="634"/>
      <c r="L212" s="634"/>
      <c r="M212" s="634"/>
      <c r="N212" s="634"/>
      <c r="O212" s="634"/>
      <c r="P212" s="634"/>
      <c r="Q212" s="634"/>
      <c r="R212"/>
      <c r="S212"/>
    </row>
    <row r="213" spans="1:23" s="1" customFormat="1" ht="16.5" customHeight="1">
      <c r="A213" s="5107"/>
      <c r="B213" s="877" t="s">
        <v>863</v>
      </c>
      <c r="C213" s="634" t="s">
        <v>864</v>
      </c>
      <c r="D213" s="634"/>
      <c r="E213" s="517"/>
      <c r="F213" s="634"/>
      <c r="G213" s="634"/>
      <c r="H213" s="634"/>
      <c r="I213" s="634"/>
      <c r="J213" s="634"/>
      <c r="K213" s="634"/>
      <c r="L213" s="634"/>
      <c r="M213" s="634"/>
      <c r="N213" s="634"/>
      <c r="O213" s="634"/>
      <c r="P213" s="634"/>
      <c r="Q213" s="634"/>
      <c r="R213"/>
      <c r="S213"/>
    </row>
    <row r="214" spans="1:23" s="1" customFormat="1">
      <c r="A214" s="5107"/>
      <c r="B214" s="878" t="s">
        <v>865</v>
      </c>
      <c r="C214" s="634"/>
      <c r="D214" s="634"/>
      <c r="E214" s="517"/>
      <c r="F214" s="634"/>
      <c r="G214" s="634"/>
      <c r="H214" s="634"/>
      <c r="I214" s="634"/>
      <c r="J214" s="634"/>
      <c r="K214" s="634"/>
      <c r="L214" s="634"/>
      <c r="M214" s="634"/>
      <c r="N214" s="634"/>
      <c r="O214" s="634"/>
      <c r="P214" s="634"/>
      <c r="Q214" s="634"/>
      <c r="R214"/>
      <c r="S214"/>
    </row>
    <row r="215" spans="1:23" s="1" customFormat="1" ht="16.5" thickBot="1">
      <c r="A215" s="5107"/>
      <c r="B215" s="879" t="s">
        <v>866</v>
      </c>
      <c r="C215" s="580"/>
      <c r="D215" s="580"/>
      <c r="E215" s="581"/>
      <c r="F215" s="634"/>
      <c r="G215" s="634"/>
      <c r="H215" s="634"/>
      <c r="I215" s="634"/>
      <c r="J215" s="634"/>
      <c r="K215" s="634"/>
      <c r="L215" s="634"/>
      <c r="M215" s="634"/>
      <c r="N215" s="634"/>
      <c r="O215" s="634"/>
      <c r="P215" s="634"/>
      <c r="Q215" s="634"/>
      <c r="R215"/>
      <c r="S215"/>
    </row>
    <row r="216" spans="1:23" s="1" customFormat="1" ht="15">
      <c r="A216" s="2"/>
      <c r="B216" s="572"/>
      <c r="C216" s="572"/>
      <c r="D216" s="572"/>
      <c r="E216" s="572"/>
      <c r="F216" s="572"/>
      <c r="G216" s="572"/>
      <c r="H216" s="3"/>
      <c r="I216" s="490"/>
      <c r="J216" s="490"/>
      <c r="K216" s="139"/>
      <c r="L216" s="139"/>
      <c r="M216" s="490"/>
      <c r="N216" s="490"/>
      <c r="O216" s="2"/>
      <c r="P216" s="2"/>
      <c r="Q216" s="2"/>
    </row>
    <row r="217" spans="1:23" s="1" customFormat="1" thickBot="1">
      <c r="A217" s="2"/>
      <c r="B217" s="572"/>
      <c r="C217" s="572"/>
      <c r="D217" s="572"/>
      <c r="E217" s="572"/>
      <c r="F217" s="572"/>
      <c r="G217" s="572"/>
      <c r="H217" s="3"/>
      <c r="I217" s="490"/>
      <c r="J217" s="490"/>
      <c r="K217" s="139"/>
      <c r="L217" s="139"/>
      <c r="M217" s="490"/>
      <c r="N217" s="490"/>
      <c r="O217" s="2"/>
      <c r="P217" s="2"/>
      <c r="Q217" s="2"/>
    </row>
    <row r="218" spans="1:23" s="1" customFormat="1" ht="26.25">
      <c r="A218" s="307" t="s">
        <v>70</v>
      </c>
      <c r="B218" s="5091" t="s">
        <v>875</v>
      </c>
      <c r="C218" s="5092"/>
      <c r="D218" s="5092"/>
      <c r="E218" s="5092"/>
      <c r="F218" s="5092"/>
      <c r="G218" s="5092"/>
      <c r="H218" s="5092"/>
      <c r="I218" s="5092"/>
      <c r="J218" s="5092"/>
      <c r="K218" s="5093"/>
      <c r="L218" s="139"/>
      <c r="M218" s="307" t="s">
        <v>70</v>
      </c>
      <c r="N218" s="5094" t="s">
        <v>903</v>
      </c>
      <c r="O218" s="5095"/>
      <c r="P218" s="5095"/>
      <c r="Q218" s="5095"/>
      <c r="R218" s="5095"/>
      <c r="S218" s="5095"/>
      <c r="T218" s="5095"/>
      <c r="U218" s="5095"/>
      <c r="V218" s="5095"/>
      <c r="W218" s="5096"/>
    </row>
    <row r="219" spans="1:23" s="1" customFormat="1" ht="18.75" customHeight="1">
      <c r="A219" s="4927" t="str">
        <f>B218</f>
        <v>Gastronormes tableau N° 1</v>
      </c>
      <c r="B219" s="533" t="str">
        <f>ADDRESS(ROW(),COLUMN(),4)</f>
        <v>B219</v>
      </c>
      <c r="C219" s="903" t="s">
        <v>691</v>
      </c>
      <c r="D219" s="1056"/>
      <c r="E219" s="1056"/>
      <c r="F219" s="1056"/>
      <c r="G219" s="1056"/>
      <c r="H219" s="1056"/>
      <c r="I219" s="1056"/>
      <c r="J219" s="1056"/>
      <c r="K219" s="1057"/>
      <c r="L219" s="139"/>
      <c r="M219" s="4927" t="str">
        <f>N218</f>
        <v>Gastronormes tableau N° 2</v>
      </c>
      <c r="N219" s="533" t="str">
        <f>ADDRESS(ROW(),COLUMN(),4)</f>
        <v>N219</v>
      </c>
      <c r="O219" s="903" t="s">
        <v>691</v>
      </c>
      <c r="P219" s="1056"/>
      <c r="Q219" s="1056"/>
      <c r="R219" s="1056"/>
      <c r="S219" s="1056"/>
      <c r="T219" s="1056"/>
      <c r="U219" s="1056"/>
      <c r="V219" s="1056"/>
      <c r="W219" s="1057"/>
    </row>
    <row r="220" spans="1:23" s="1" customFormat="1" ht="32.25" customHeight="1">
      <c r="A220" s="4927"/>
      <c r="B220" s="5045" t="s">
        <v>904</v>
      </c>
      <c r="C220" s="5046"/>
      <c r="D220" s="5046"/>
      <c r="E220" s="5046"/>
      <c r="F220" s="5046"/>
      <c r="G220" s="1081"/>
      <c r="H220" s="1081"/>
      <c r="I220" s="1081"/>
      <c r="J220" s="1082"/>
      <c r="K220" s="1058" t="s">
        <v>876</v>
      </c>
      <c r="L220" s="139"/>
      <c r="M220" s="4927"/>
      <c r="N220" s="5049" t="s">
        <v>909</v>
      </c>
      <c r="O220" s="5050"/>
      <c r="P220" s="5050"/>
      <c r="Q220" s="5050"/>
      <c r="R220" s="5050"/>
      <c r="S220" s="1083"/>
      <c r="T220" s="1083"/>
      <c r="U220" s="1083"/>
      <c r="V220" s="1089"/>
      <c r="W220" s="1093" t="s">
        <v>876</v>
      </c>
    </row>
    <row r="221" spans="1:23" s="1" customFormat="1" ht="32.25">
      <c r="A221" s="4927"/>
      <c r="B221" s="5047"/>
      <c r="C221" s="5048"/>
      <c r="D221" s="5048"/>
      <c r="E221" s="5048"/>
      <c r="F221" s="5048"/>
      <c r="G221" s="1059"/>
      <c r="H221" s="1059"/>
      <c r="I221" s="1059"/>
      <c r="J221" s="1060"/>
      <c r="K221" s="1061" t="s">
        <v>905</v>
      </c>
      <c r="L221" s="139"/>
      <c r="M221" s="4927"/>
      <c r="N221" s="5051"/>
      <c r="O221" s="5052"/>
      <c r="P221" s="5052"/>
      <c r="Q221" s="5052"/>
      <c r="R221" s="5052"/>
      <c r="S221" s="1083"/>
      <c r="T221" s="1083"/>
      <c r="U221" s="1083"/>
      <c r="V221" s="1089"/>
      <c r="W221" s="1088" t="s">
        <v>910</v>
      </c>
    </row>
    <row r="222" spans="1:23" s="1" customFormat="1" ht="21">
      <c r="A222" s="4927"/>
      <c r="B222" s="5053" t="s">
        <v>877</v>
      </c>
      <c r="C222" s="5054"/>
      <c r="D222" s="5054"/>
      <c r="E222" s="5054"/>
      <c r="F222" s="5054"/>
      <c r="G222" s="5054"/>
      <c r="H222" s="5054"/>
      <c r="I222" s="5054"/>
      <c r="J222" s="5054"/>
      <c r="K222" s="5055"/>
      <c r="L222" s="139"/>
      <c r="M222" s="4927"/>
      <c r="N222" s="5056" t="s">
        <v>877</v>
      </c>
      <c r="O222" s="5057"/>
      <c r="P222" s="5057"/>
      <c r="Q222" s="5057"/>
      <c r="R222" s="5057"/>
      <c r="S222" s="5057"/>
      <c r="T222" s="5057"/>
      <c r="U222" s="5057"/>
      <c r="V222" s="5057"/>
      <c r="W222" s="5058"/>
    </row>
    <row r="223" spans="1:23" s="1" customFormat="1" ht="38.25">
      <c r="A223" s="4927"/>
      <c r="B223" s="5059" t="s">
        <v>879</v>
      </c>
      <c r="C223" s="5060"/>
      <c r="D223" s="5060"/>
      <c r="E223" s="5061"/>
      <c r="F223" s="5076" t="s">
        <v>880</v>
      </c>
      <c r="G223" s="5078" t="s">
        <v>881</v>
      </c>
      <c r="H223" s="5079" t="s">
        <v>906</v>
      </c>
      <c r="I223" s="5080"/>
      <c r="J223" s="5076" t="s">
        <v>907</v>
      </c>
      <c r="K223" s="5083"/>
      <c r="L223" s="139"/>
      <c r="M223" s="4927"/>
      <c r="N223" s="5062" t="s">
        <v>879</v>
      </c>
      <c r="O223" s="5063"/>
      <c r="P223" s="5063"/>
      <c r="Q223" s="5063"/>
      <c r="R223" s="1096" t="s">
        <v>880</v>
      </c>
      <c r="S223" s="5085" t="s">
        <v>881</v>
      </c>
      <c r="T223" s="5085"/>
      <c r="U223" s="1097" t="s">
        <v>908</v>
      </c>
      <c r="V223" s="1557" t="s">
        <v>907</v>
      </c>
      <c r="W223" s="1062"/>
    </row>
    <row r="224" spans="1:23" s="1" customFormat="1" ht="18.75" customHeight="1">
      <c r="A224" s="4927"/>
      <c r="B224" s="5062"/>
      <c r="C224" s="5063"/>
      <c r="D224" s="5063"/>
      <c r="E224" s="5064"/>
      <c r="F224" s="5077"/>
      <c r="G224" s="5011"/>
      <c r="H224" s="5081"/>
      <c r="I224" s="5082"/>
      <c r="J224" s="5077"/>
      <c r="K224" s="5084"/>
      <c r="L224" s="139"/>
      <c r="M224" s="4927"/>
      <c r="N224" s="5086" t="s">
        <v>911</v>
      </c>
      <c r="O224" s="5087"/>
      <c r="P224" s="5087"/>
      <c r="Q224" s="5087"/>
      <c r="R224" s="1063">
        <v>16</v>
      </c>
      <c r="S224" s="5088" t="s">
        <v>889</v>
      </c>
      <c r="T224" s="5088"/>
      <c r="U224" s="1098">
        <v>1</v>
      </c>
      <c r="V224" s="1099">
        <v>1250</v>
      </c>
      <c r="W224" s="1064"/>
    </row>
    <row r="225" spans="1:26" s="1" customFormat="1" ht="18.75">
      <c r="A225" s="4927"/>
      <c r="B225" s="5023" t="s">
        <v>895</v>
      </c>
      <c r="C225" s="5024"/>
      <c r="D225" s="5024"/>
      <c r="E225" s="5025"/>
      <c r="F225" s="5029">
        <v>3</v>
      </c>
      <c r="G225" s="5031" t="s">
        <v>42</v>
      </c>
      <c r="H225" s="5033">
        <v>23</v>
      </c>
      <c r="I225" s="5033"/>
      <c r="J225" s="5035">
        <v>100</v>
      </c>
      <c r="K225" s="5036"/>
      <c r="L225" s="139"/>
      <c r="M225" s="4927"/>
      <c r="N225" s="5039" t="s">
        <v>878</v>
      </c>
      <c r="O225" s="5040"/>
      <c r="P225" s="5040"/>
      <c r="Q225" s="5040"/>
      <c r="R225" s="5040"/>
      <c r="S225" s="5040"/>
      <c r="T225" s="5040"/>
      <c r="U225" s="5040"/>
      <c r="V225" s="5040"/>
      <c r="W225" s="5041"/>
    </row>
    <row r="226" spans="1:26" s="1" customFormat="1" ht="18.75" customHeight="1">
      <c r="A226" s="4927"/>
      <c r="B226" s="5026"/>
      <c r="C226" s="5027"/>
      <c r="D226" s="5027"/>
      <c r="E226" s="5028"/>
      <c r="F226" s="5030"/>
      <c r="G226" s="5032"/>
      <c r="H226" s="5034"/>
      <c r="I226" s="5034"/>
      <c r="J226" s="5037"/>
      <c r="K226" s="5038"/>
      <c r="L226" s="139"/>
      <c r="M226" s="4927"/>
      <c r="N226" s="1090" t="s">
        <v>912</v>
      </c>
      <c r="O226" s="5042" t="s">
        <v>776</v>
      </c>
      <c r="P226" s="5043"/>
      <c r="Q226" s="5043"/>
      <c r="R226" s="5042" t="s">
        <v>883</v>
      </c>
      <c r="S226" s="5043"/>
      <c r="T226" s="5043"/>
      <c r="U226" s="5043"/>
      <c r="V226" s="5043"/>
      <c r="W226" s="5044"/>
    </row>
    <row r="227" spans="1:26" s="1" customFormat="1" ht="18.75">
      <c r="A227" s="4927"/>
      <c r="B227" s="5001" t="s">
        <v>878</v>
      </c>
      <c r="C227" s="5002"/>
      <c r="D227" s="5002"/>
      <c r="E227" s="5002"/>
      <c r="F227" s="5002"/>
      <c r="G227" s="5002"/>
      <c r="H227" s="5002"/>
      <c r="I227" s="5002"/>
      <c r="J227" s="5002"/>
      <c r="K227" s="5003"/>
      <c r="L227" s="139"/>
      <c r="M227" s="4927"/>
      <c r="N227" s="1091">
        <f>R224/U224</f>
        <v>16</v>
      </c>
      <c r="O227" s="1071">
        <f>U224*V224</f>
        <v>1250</v>
      </c>
      <c r="P227" s="5007" t="str">
        <f>S224</f>
        <v>Cuisses</v>
      </c>
      <c r="Q227" s="5007"/>
      <c r="R227" s="1072">
        <f>IF(O227=0,0,INT(O227/R224))</f>
        <v>78</v>
      </c>
      <c r="S227" s="1559">
        <f>O227-(R227*R224)</f>
        <v>2</v>
      </c>
      <c r="T227" s="1073" t="str">
        <f>IF(S227=0,0,S224)</f>
        <v>Cuisses</v>
      </c>
      <c r="U227" s="1074">
        <f>IF(S227=0,0,R227+1)</f>
        <v>79</v>
      </c>
      <c r="V227" s="1559">
        <f>IF(S227=0,0,O227-(U227*R224))</f>
        <v>-14</v>
      </c>
      <c r="W227" s="1092" t="str">
        <f>IF(V227=0,0,S224)</f>
        <v>Cuisses</v>
      </c>
    </row>
    <row r="228" spans="1:26" s="1" customFormat="1" ht="16.5" customHeight="1" thickBot="1">
      <c r="A228" s="4927"/>
      <c r="B228" s="5004"/>
      <c r="C228" s="5005"/>
      <c r="D228" s="5005"/>
      <c r="E228" s="5005"/>
      <c r="F228" s="5005"/>
      <c r="G228" s="5005"/>
      <c r="H228" s="5005"/>
      <c r="I228" s="5005"/>
      <c r="J228" s="5005"/>
      <c r="K228" s="5006"/>
      <c r="L228" s="139"/>
      <c r="M228" s="4927"/>
      <c r="N228" s="4959" t="s">
        <v>775</v>
      </c>
      <c r="O228" s="4960"/>
      <c r="P228" s="4960"/>
      <c r="Q228" s="4960"/>
      <c r="R228" s="4960"/>
      <c r="S228" s="4960"/>
      <c r="T228" s="4960"/>
      <c r="U228" s="4960"/>
      <c r="V228" s="4960"/>
      <c r="W228" s="4961"/>
    </row>
    <row r="229" spans="1:26" s="1" customFormat="1" ht="15.75" customHeight="1" thickBot="1">
      <c r="A229" s="4927"/>
      <c r="B229" s="5008" t="s">
        <v>908</v>
      </c>
      <c r="C229" s="5009"/>
      <c r="D229" s="5012" t="s">
        <v>776</v>
      </c>
      <c r="E229" s="5013"/>
      <c r="F229" s="5016" t="s">
        <v>883</v>
      </c>
      <c r="G229" s="5016"/>
      <c r="H229" s="5016"/>
      <c r="I229" s="5016"/>
      <c r="J229" s="5016"/>
      <c r="K229" s="5017"/>
      <c r="L229" s="139"/>
      <c r="M229" s="490"/>
      <c r="N229" s="490"/>
      <c r="O229" s="2"/>
      <c r="P229" s="2"/>
      <c r="Q229" s="2"/>
    </row>
    <row r="230" spans="1:26" s="1" customFormat="1" ht="31.5" customHeight="1">
      <c r="A230" s="4927"/>
      <c r="B230" s="5010"/>
      <c r="C230" s="5011"/>
      <c r="D230" s="5014"/>
      <c r="E230" s="5015"/>
      <c r="F230" s="5018"/>
      <c r="G230" s="5018"/>
      <c r="H230" s="5018"/>
      <c r="I230" s="5018"/>
      <c r="J230" s="5018"/>
      <c r="K230" s="5019"/>
      <c r="L230" s="139"/>
      <c r="M230" s="307" t="s">
        <v>70</v>
      </c>
      <c r="N230" s="5020" t="s">
        <v>923</v>
      </c>
      <c r="O230" s="5021"/>
      <c r="P230" s="5021"/>
      <c r="Q230" s="5021"/>
      <c r="R230" s="5021"/>
      <c r="S230" s="5021"/>
      <c r="T230" s="5021"/>
      <c r="U230" s="5021"/>
      <c r="V230" s="5021"/>
      <c r="W230" s="5021"/>
      <c r="X230" s="5021"/>
      <c r="Y230" s="5021"/>
      <c r="Z230" s="5022"/>
    </row>
    <row r="231" spans="1:26" s="1" customFormat="1" ht="18.75" customHeight="1">
      <c r="A231" s="4927"/>
      <c r="B231" s="4991">
        <f>F225/H225</f>
        <v>0.13043478260869565</v>
      </c>
      <c r="C231" s="4992"/>
      <c r="D231" s="4995">
        <f>B231*J225</f>
        <v>13.043478260869565</v>
      </c>
      <c r="E231" s="4997" t="str">
        <f>G225</f>
        <v>Kg</v>
      </c>
      <c r="F231" s="4973">
        <f>IF(D231=0,0,INT(D231/F225))</f>
        <v>4</v>
      </c>
      <c r="G231" s="4975">
        <f>D231-(F231*F225)</f>
        <v>1.0434782608695645</v>
      </c>
      <c r="H231" s="4999" t="str">
        <f>IF(G231=0,0,G225)</f>
        <v>Kg</v>
      </c>
      <c r="I231" s="4973">
        <f>IF(G231=0,0,F231+1)</f>
        <v>5</v>
      </c>
      <c r="J231" s="4975">
        <f>IF(G231=0,0,D231-(I231*F225))</f>
        <v>-1.9565217391304355</v>
      </c>
      <c r="K231" s="4977" t="str">
        <f>IF(J231=0,0,G225)</f>
        <v>Kg</v>
      </c>
      <c r="L231" s="139"/>
      <c r="M231" s="4927" t="str">
        <f>N230</f>
        <v>Service au choix : au poids ou à la portion</v>
      </c>
      <c r="N231" s="912" t="str">
        <f>ADDRESS(ROW(),COLUMN(),4)</f>
        <v>N231</v>
      </c>
      <c r="O231" s="814" t="s">
        <v>691</v>
      </c>
      <c r="P231" s="1103"/>
      <c r="Q231" s="1103"/>
      <c r="R231" s="1103"/>
      <c r="S231" s="1103"/>
      <c r="T231" s="1103"/>
      <c r="U231" s="1103"/>
      <c r="V231" s="1103"/>
      <c r="W231" s="1103"/>
      <c r="X231" s="1103"/>
      <c r="Y231" s="1103"/>
      <c r="Z231" s="1107"/>
    </row>
    <row r="232" spans="1:26" s="1" customFormat="1" ht="32.25" thickBot="1">
      <c r="A232" s="4927"/>
      <c r="B232" s="4993"/>
      <c r="C232" s="4994"/>
      <c r="D232" s="4996"/>
      <c r="E232" s="4998"/>
      <c r="F232" s="4974"/>
      <c r="G232" s="4976"/>
      <c r="H232" s="5000"/>
      <c r="I232" s="4974"/>
      <c r="J232" s="4976"/>
      <c r="K232" s="4978"/>
      <c r="L232" s="139"/>
      <c r="M232" s="4927"/>
      <c r="N232" s="4979" t="s">
        <v>922</v>
      </c>
      <c r="O232" s="4980"/>
      <c r="P232" s="4980"/>
      <c r="Q232" s="4980"/>
      <c r="R232" s="4980"/>
      <c r="S232" s="4980"/>
      <c r="T232" s="1104"/>
      <c r="U232" s="1105"/>
      <c r="V232" s="1105"/>
      <c r="W232" s="1105"/>
      <c r="X232" s="1105"/>
      <c r="Y232" s="1105"/>
      <c r="Z232" s="1106"/>
    </row>
    <row r="233" spans="1:26" s="1" customFormat="1" ht="32.25">
      <c r="A233" s="4927"/>
      <c r="B233" s="4981" t="str">
        <f ca="1">_xlfn.FORMULATEXT(B231)</f>
        <v>=F225/H225</v>
      </c>
      <c r="C233" s="4982"/>
      <c r="D233" s="1065" t="str">
        <f ca="1">_xlfn.FORMULATEXT(D231)</f>
        <v>=B231*J225</v>
      </c>
      <c r="E233" s="1066"/>
      <c r="F233" s="1087" t="str">
        <f ca="1">_xlfn.FORMULATEXT(F231)</f>
        <v>=SI(D231=0;0;ENT(D231/F225))</v>
      </c>
      <c r="G233" s="1067"/>
      <c r="H233" s="1068" t="str">
        <f ca="1">_xlfn.FORMULATEXT(H231)</f>
        <v>=SI(G231=0;0;G225)</v>
      </c>
      <c r="I233" s="1069"/>
      <c r="J233" s="1067" t="str">
        <f ca="1">_xlfn.FORMULATEXT(I231)</f>
        <v>=SI(G231=0;0;F231+1)</v>
      </c>
      <c r="K233" s="1070"/>
      <c r="L233" s="139"/>
      <c r="M233" s="4927"/>
      <c r="N233" s="1100"/>
      <c r="O233" s="1108"/>
      <c r="P233" s="1109"/>
      <c r="Q233" s="4983" t="s">
        <v>882</v>
      </c>
      <c r="R233" s="4983"/>
      <c r="S233" s="1112"/>
      <c r="T233" s="1109"/>
      <c r="U233" s="1109"/>
      <c r="V233" s="1109"/>
      <c r="W233" s="1109"/>
      <c r="X233" s="1109"/>
      <c r="Y233" s="1113"/>
      <c r="Z233" s="1111"/>
    </row>
    <row r="234" spans="1:26" s="1" customFormat="1" ht="26.25" customHeight="1">
      <c r="A234" s="4927"/>
      <c r="B234" s="1084" t="s">
        <v>684</v>
      </c>
      <c r="C234" s="1085"/>
      <c r="D234" s="1085"/>
      <c r="E234" s="1085"/>
      <c r="F234" s="1085"/>
      <c r="G234" s="1086" t="str">
        <f ca="1">_xlfn.FORMULATEXT(G231)</f>
        <v>=D231-(F231*F225)</v>
      </c>
      <c r="H234" s="1085"/>
      <c r="I234" s="1087" t="str">
        <f ca="1">_xlfn.FORMULATEXT(J231)</f>
        <v>=SI(G231=0;0;D231-(I231*F225))</v>
      </c>
      <c r="J234" s="1085"/>
      <c r="K234" s="1070"/>
      <c r="L234" s="139"/>
      <c r="M234" s="4927"/>
      <c r="N234" s="1100"/>
      <c r="O234" s="1109"/>
      <c r="P234" s="1108" t="s">
        <v>924</v>
      </c>
      <c r="Q234" s="1110" t="s">
        <v>62</v>
      </c>
      <c r="R234" s="1110" t="s">
        <v>60</v>
      </c>
      <c r="S234" s="1112"/>
      <c r="T234" s="4968" t="s">
        <v>925</v>
      </c>
      <c r="U234" s="4968"/>
      <c r="V234" s="4968"/>
      <c r="W234" s="4968"/>
      <c r="X234" s="4969">
        <v>10</v>
      </c>
      <c r="Y234" s="4970" t="s">
        <v>926</v>
      </c>
      <c r="Z234" s="4971">
        <f>O235*X234</f>
        <v>4.5</v>
      </c>
    </row>
    <row r="235" spans="1:26" s="1" customFormat="1" ht="32.25" customHeight="1" thickBot="1">
      <c r="A235" s="4927"/>
      <c r="B235" s="4959" t="s">
        <v>775</v>
      </c>
      <c r="C235" s="4960"/>
      <c r="D235" s="4960"/>
      <c r="E235" s="4960"/>
      <c r="F235" s="4960"/>
      <c r="G235" s="4960"/>
      <c r="H235" s="4960"/>
      <c r="I235" s="4960"/>
      <c r="J235" s="4960"/>
      <c r="K235" s="4961"/>
      <c r="L235" s="139"/>
      <c r="M235" s="4927"/>
      <c r="N235" s="1101"/>
      <c r="O235" s="1115">
        <v>0.45</v>
      </c>
      <c r="P235" s="1116" t="s">
        <v>42</v>
      </c>
      <c r="Q235" s="1114">
        <v>25</v>
      </c>
      <c r="R235" s="1114">
        <v>7</v>
      </c>
      <c r="S235" s="1112"/>
      <c r="T235" s="4968"/>
      <c r="U235" s="4968"/>
      <c r="V235" s="4968"/>
      <c r="W235" s="4968"/>
      <c r="X235" s="4969"/>
      <c r="Y235" s="4970"/>
      <c r="Z235" s="4971"/>
    </row>
    <row r="236" spans="1:26" s="1" customFormat="1" ht="32.25">
      <c r="A236" s="634"/>
      <c r="B236" s="634"/>
      <c r="C236" s="634"/>
      <c r="D236" s="634"/>
      <c r="E236" s="634"/>
      <c r="F236" s="634"/>
      <c r="G236" s="634"/>
      <c r="H236" s="634"/>
      <c r="I236" s="634"/>
      <c r="J236" s="634"/>
      <c r="K236" s="634"/>
      <c r="L236" s="139"/>
      <c r="M236" s="4927"/>
      <c r="N236" s="1101"/>
      <c r="O236" s="1112"/>
      <c r="P236" s="1112"/>
      <c r="Q236" s="1124" t="s">
        <v>62</v>
      </c>
      <c r="R236" s="1124" t="s">
        <v>60</v>
      </c>
      <c r="S236" s="1112"/>
      <c r="T236" s="1109"/>
      <c r="U236" s="4972" t="s">
        <v>929</v>
      </c>
      <c r="V236" s="4972"/>
      <c r="W236" s="4972"/>
      <c r="X236" s="4972"/>
      <c r="Y236" s="4972"/>
      <c r="Z236" s="1111"/>
    </row>
    <row r="237" spans="1:26" s="1" customFormat="1" ht="19.5" thickBot="1">
      <c r="A237" s="2"/>
      <c r="B237" s="572"/>
      <c r="C237" s="572"/>
      <c r="D237" s="572"/>
      <c r="E237" s="572"/>
      <c r="F237" s="572"/>
      <c r="G237" s="572"/>
      <c r="H237" s="3"/>
      <c r="I237" s="490"/>
      <c r="J237" s="490"/>
      <c r="K237" s="139"/>
      <c r="L237" s="139"/>
      <c r="M237" s="4927"/>
      <c r="N237" s="1102"/>
      <c r="O237" s="1125" t="s">
        <v>927</v>
      </c>
      <c r="P237" s="1125"/>
      <c r="Q237" s="1117">
        <v>0.2</v>
      </c>
      <c r="R237" s="1117">
        <v>0.25</v>
      </c>
      <c r="S237" s="1118">
        <f>(Q237*Q235)+(R237*R235)</f>
        <v>6.75</v>
      </c>
      <c r="T237" s="1119" t="str">
        <f>P235</f>
        <v>Kg</v>
      </c>
      <c r="U237" s="1120">
        <f>IF(S237=0,0,INT(S237/(O235*X234)))</f>
        <v>1</v>
      </c>
      <c r="V237" s="1121">
        <f>S237-(U237*(O235*X234))</f>
        <v>2.25</v>
      </c>
      <c r="W237" s="1122" t="str">
        <f>IF(V237=0,0,P235)</f>
        <v>Kg</v>
      </c>
      <c r="X237" s="1120">
        <f>IF(V237=0,0,U237+1)</f>
        <v>2</v>
      </c>
      <c r="Y237" s="1121">
        <f>IF(V237=0,0,S237-(X237*Z234))</f>
        <v>-2.25</v>
      </c>
      <c r="Z237" s="1123" t="str">
        <f>IF(Y237=0,0,P235)</f>
        <v>Kg</v>
      </c>
    </row>
    <row r="238" spans="1:26" s="1" customFormat="1" ht="32.25" customHeight="1">
      <c r="A238" s="307" t="s">
        <v>70</v>
      </c>
      <c r="B238" s="4984" t="s">
        <v>921</v>
      </c>
      <c r="C238" s="4985"/>
      <c r="D238" s="4985"/>
      <c r="E238" s="4985"/>
      <c r="F238" s="4985"/>
      <c r="G238" s="4985"/>
      <c r="H238" s="4985"/>
      <c r="I238" s="4985"/>
      <c r="J238" s="4985"/>
      <c r="K238" s="4986"/>
      <c r="L238" s="139"/>
      <c r="M238" s="4927"/>
      <c r="N238" s="4987" t="s">
        <v>928</v>
      </c>
      <c r="O238" s="4988"/>
      <c r="P238" s="4988"/>
      <c r="Q238" s="4943">
        <f>Q237/O235</f>
        <v>0.44444444444444448</v>
      </c>
      <c r="R238" s="4943">
        <f>R237/O235</f>
        <v>0.55555555555555558</v>
      </c>
      <c r="S238" s="4945">
        <f>(Q238*Q235)+(R238*R235)</f>
        <v>15.000000000000002</v>
      </c>
      <c r="T238" s="4947" t="str">
        <f>Y234</f>
        <v>portions</v>
      </c>
      <c r="U238" s="4949">
        <f>IF(S238=0,0,INT(S238/X234))</f>
        <v>1</v>
      </c>
      <c r="V238" s="4951">
        <f>S238-(U238*X234)</f>
        <v>5.0000000000000018</v>
      </c>
      <c r="W238" s="4953" t="str">
        <f>IF(V238=0,0,Y234)</f>
        <v>portions</v>
      </c>
      <c r="X238" s="4962">
        <f>IF(V238=0,0,U238+1)</f>
        <v>2</v>
      </c>
      <c r="Y238" s="4964">
        <f>IF(V238=0,0,S238-(X238*X234))</f>
        <v>-4.9999999999999982</v>
      </c>
      <c r="Z238" s="4966" t="str">
        <f>IF(Y238=0,0,Y234)</f>
        <v>portions</v>
      </c>
    </row>
    <row r="239" spans="1:26" s="1" customFormat="1" ht="19.5" customHeight="1">
      <c r="A239" s="4927" t="str">
        <f>B238</f>
        <v>Poids de sauce à servir</v>
      </c>
      <c r="B239" s="533" t="str">
        <f>ADDRESS(ROW(),COLUMN(),4)</f>
        <v>B239</v>
      </c>
      <c r="C239" s="903" t="s">
        <v>691</v>
      </c>
      <c r="D239" s="1056"/>
      <c r="E239" s="1056"/>
      <c r="F239" s="1056"/>
      <c r="G239" s="1056"/>
      <c r="H239" s="1056"/>
      <c r="I239" s="1056"/>
      <c r="J239" s="1056"/>
      <c r="K239" s="1057"/>
      <c r="L239" s="139"/>
      <c r="M239" s="4927"/>
      <c r="N239" s="4989"/>
      <c r="O239" s="4990"/>
      <c r="P239" s="4990"/>
      <c r="Q239" s="4944"/>
      <c r="R239" s="4944"/>
      <c r="S239" s="4946"/>
      <c r="T239" s="4948"/>
      <c r="U239" s="4950"/>
      <c r="V239" s="4952"/>
      <c r="W239" s="4954"/>
      <c r="X239" s="4963"/>
      <c r="Y239" s="4965"/>
      <c r="Z239" s="4967"/>
    </row>
    <row r="240" spans="1:26" s="1" customFormat="1" ht="15" customHeight="1" thickBot="1">
      <c r="A240" s="4927"/>
      <c r="B240" s="4928" t="s">
        <v>913</v>
      </c>
      <c r="C240" s="4929"/>
      <c r="D240" s="4929"/>
      <c r="E240" s="4929"/>
      <c r="F240" s="4932" t="s">
        <v>914</v>
      </c>
      <c r="G240" s="4932"/>
      <c r="H240" s="4932"/>
      <c r="I240" s="4932"/>
      <c r="J240" s="4934">
        <v>0.15</v>
      </c>
      <c r="K240" s="4935"/>
      <c r="L240" s="139"/>
      <c r="M240" s="4927"/>
      <c r="N240" s="4938" t="s">
        <v>775</v>
      </c>
      <c r="O240" s="4939"/>
      <c r="P240" s="4939"/>
      <c r="Q240" s="4939"/>
      <c r="R240" s="4939"/>
      <c r="S240" s="4939"/>
      <c r="T240" s="4939"/>
      <c r="U240" s="4939"/>
      <c r="V240" s="4939"/>
      <c r="W240" s="4939"/>
      <c r="X240" s="4939"/>
      <c r="Y240" s="4939"/>
      <c r="Z240" s="4940"/>
    </row>
    <row r="241" spans="1:17" s="1" customFormat="1" ht="15">
      <c r="A241" s="4927"/>
      <c r="B241" s="4930"/>
      <c r="C241" s="4931"/>
      <c r="D241" s="4931"/>
      <c r="E241" s="4931"/>
      <c r="F241" s="4933"/>
      <c r="G241" s="4933"/>
      <c r="H241" s="4933"/>
      <c r="I241" s="4933"/>
      <c r="J241" s="4936"/>
      <c r="K241" s="4937"/>
      <c r="L241" s="139"/>
    </row>
    <row r="242" spans="1:17" s="1" customFormat="1" ht="15">
      <c r="A242" s="4927"/>
      <c r="B242" s="4941" t="s">
        <v>907</v>
      </c>
      <c r="C242" s="4942" t="s">
        <v>915</v>
      </c>
      <c r="D242" s="4955" t="s">
        <v>916</v>
      </c>
      <c r="E242" s="4956" t="s">
        <v>917</v>
      </c>
      <c r="F242" s="4956"/>
      <c r="G242" s="4957" t="s">
        <v>918</v>
      </c>
      <c r="H242" s="4956" t="s">
        <v>919</v>
      </c>
      <c r="I242" s="4956"/>
      <c r="J242" s="4956" t="s">
        <v>920</v>
      </c>
      <c r="K242" s="4958"/>
      <c r="L242" s="139"/>
      <c r="M242" s="490"/>
      <c r="N242" s="490"/>
      <c r="O242" s="2"/>
      <c r="P242" s="2"/>
      <c r="Q242" s="2"/>
    </row>
    <row r="243" spans="1:17" s="1" customFormat="1" ht="15">
      <c r="A243" s="4927"/>
      <c r="B243" s="4941"/>
      <c r="C243" s="4942"/>
      <c r="D243" s="4955"/>
      <c r="E243" s="4956"/>
      <c r="F243" s="4956"/>
      <c r="G243" s="4957"/>
      <c r="H243" s="4956"/>
      <c r="I243" s="4956"/>
      <c r="J243" s="4956"/>
      <c r="K243" s="4958"/>
      <c r="L243" s="139"/>
      <c r="M243" s="490"/>
      <c r="N243" s="490"/>
      <c r="O243" s="2"/>
      <c r="P243" s="2"/>
      <c r="Q243" s="2"/>
    </row>
    <row r="244" spans="1:17" s="1" customFormat="1" ht="18.75">
      <c r="A244" s="4927"/>
      <c r="B244" s="1094">
        <v>50</v>
      </c>
      <c r="C244" s="1075">
        <v>0.03</v>
      </c>
      <c r="D244" s="1560">
        <v>2</v>
      </c>
      <c r="E244" s="1076">
        <f t="shared" ref="E244" si="7">IF(B244=0,0,(C244/(100-D244)*100))</f>
        <v>3.0612244897959183E-2</v>
      </c>
      <c r="F244" s="1077" t="s">
        <v>42</v>
      </c>
      <c r="G244" s="1078">
        <f>J240/C244</f>
        <v>5</v>
      </c>
      <c r="H244" s="1079">
        <f t="shared" ref="H244" si="8">C244*B244</f>
        <v>1.5</v>
      </c>
      <c r="I244" s="1077" t="s">
        <v>42</v>
      </c>
      <c r="J244" s="1080">
        <f t="shared" ref="J244" si="9">E244*B244</f>
        <v>1.5306122448979591</v>
      </c>
      <c r="K244" s="1095" t="s">
        <v>42</v>
      </c>
      <c r="L244" s="139"/>
      <c r="M244" s="490"/>
      <c r="N244" s="490"/>
      <c r="O244" s="2"/>
      <c r="P244" s="2"/>
      <c r="Q244" s="2"/>
    </row>
    <row r="245" spans="1:17" s="1" customFormat="1" ht="16.5" thickBot="1">
      <c r="A245" s="4927"/>
      <c r="B245" s="4959" t="s">
        <v>775</v>
      </c>
      <c r="C245" s="4960"/>
      <c r="D245" s="4960"/>
      <c r="E245" s="4960"/>
      <c r="F245" s="4960"/>
      <c r="G245" s="4960"/>
      <c r="H245" s="4960"/>
      <c r="I245" s="4960"/>
      <c r="J245" s="4960"/>
      <c r="K245" s="4961"/>
      <c r="L245" s="139"/>
      <c r="M245" s="490"/>
      <c r="N245" s="490"/>
      <c r="O245" s="2"/>
      <c r="P245" s="2"/>
      <c r="Q245" s="2"/>
    </row>
    <row r="246" spans="1:17" s="1" customFormat="1" thickBot="1">
      <c r="A246" s="2"/>
      <c r="B246" s="572"/>
      <c r="C246" s="572"/>
      <c r="D246" s="572"/>
      <c r="E246" s="572"/>
      <c r="F246" s="572"/>
      <c r="G246" s="572"/>
      <c r="H246" s="3"/>
      <c r="I246" s="490"/>
      <c r="J246" s="490"/>
      <c r="K246" s="139"/>
      <c r="L246" s="139"/>
      <c r="M246" s="490"/>
      <c r="N246" s="490"/>
      <c r="O246" s="2"/>
      <c r="P246" s="2"/>
      <c r="Q246" s="2"/>
    </row>
    <row r="247" spans="1:17" s="1" customFormat="1" ht="18">
      <c r="A247" s="307" t="s">
        <v>70</v>
      </c>
      <c r="B247" s="4911" t="s">
        <v>107</v>
      </c>
      <c r="C247" s="4912"/>
      <c r="D247" s="4912"/>
      <c r="E247" s="4912"/>
      <c r="F247" s="4912"/>
      <c r="G247" s="4912"/>
      <c r="H247" s="4912"/>
      <c r="I247" s="4912"/>
      <c r="J247" s="4913"/>
      <c r="K247" s="2"/>
      <c r="L247" s="307" t="s">
        <v>70</v>
      </c>
      <c r="M247" s="4911" t="s">
        <v>117</v>
      </c>
      <c r="N247" s="4912"/>
      <c r="O247" s="4912"/>
      <c r="P247" s="4912"/>
      <c r="Q247" s="4913"/>
    </row>
    <row r="248" spans="1:17" s="1" customFormat="1" ht="16.5" customHeight="1">
      <c r="A248" s="4752" t="str">
        <f>B247</f>
        <v>Total Mx dans 1 contenant</v>
      </c>
      <c r="B248" s="533" t="str">
        <f>ADDRESS(ROW(),COLUMN(),4)</f>
        <v>B248</v>
      </c>
      <c r="C248" s="903" t="s">
        <v>691</v>
      </c>
      <c r="D248" s="904"/>
      <c r="E248" s="904"/>
      <c r="F248" s="904"/>
      <c r="G248" s="904"/>
      <c r="H248" s="904"/>
      <c r="I248" s="904"/>
      <c r="J248" s="536"/>
      <c r="K248" s="2"/>
      <c r="L248" s="4752"/>
      <c r="M248" s="533" t="str">
        <f>ADDRESS(ROW(),COLUMN(),4)</f>
        <v>M248</v>
      </c>
      <c r="N248" s="903" t="s">
        <v>691</v>
      </c>
      <c r="O248" s="904"/>
      <c r="P248" s="904"/>
      <c r="Q248" s="536"/>
    </row>
    <row r="249" spans="1:17" s="1" customFormat="1" ht="15" customHeight="1">
      <c r="A249" s="4752"/>
      <c r="B249" s="4914" t="s">
        <v>107</v>
      </c>
      <c r="C249" s="4916" t="s">
        <v>106</v>
      </c>
      <c r="D249" s="4918" t="s">
        <v>105</v>
      </c>
      <c r="E249" s="974" t="s">
        <v>104</v>
      </c>
      <c r="F249" s="974"/>
      <c r="G249" s="974"/>
      <c r="H249" s="974"/>
      <c r="I249" s="974"/>
      <c r="J249" s="982"/>
      <c r="K249" s="2"/>
      <c r="L249" s="4752"/>
      <c r="M249" s="4902" t="s">
        <v>114</v>
      </c>
      <c r="N249" s="941"/>
      <c r="O249" s="4904" t="s">
        <v>116</v>
      </c>
      <c r="P249" s="942"/>
      <c r="Q249" s="4920" t="s">
        <v>115</v>
      </c>
    </row>
    <row r="250" spans="1:17" s="1" customFormat="1">
      <c r="A250" s="4752"/>
      <c r="B250" s="4915"/>
      <c r="C250" s="4917"/>
      <c r="D250" s="4919"/>
      <c r="E250" s="981"/>
      <c r="F250" s="981"/>
      <c r="G250" s="981"/>
      <c r="H250" s="981"/>
      <c r="I250" s="981"/>
      <c r="J250" s="983"/>
      <c r="K250" s="2"/>
      <c r="L250" s="4752"/>
      <c r="M250" s="4902"/>
      <c r="N250" s="941"/>
      <c r="O250" s="4904"/>
      <c r="P250" s="942"/>
      <c r="Q250" s="4920"/>
    </row>
    <row r="251" spans="1:17" s="1" customFormat="1" ht="15" customHeight="1">
      <c r="A251" s="4752"/>
      <c r="B251" s="4915"/>
      <c r="C251" s="4917"/>
      <c r="D251" s="4919"/>
      <c r="E251" s="628"/>
      <c r="F251" s="628"/>
      <c r="G251" s="628"/>
      <c r="H251" s="628"/>
      <c r="I251" s="628"/>
      <c r="J251" s="984"/>
      <c r="K251" s="2"/>
      <c r="L251" s="4752"/>
      <c r="M251" s="4902"/>
      <c r="N251" s="941"/>
      <c r="O251" s="4904"/>
      <c r="P251" s="942"/>
      <c r="Q251" s="4920"/>
    </row>
    <row r="252" spans="1:17" s="1" customFormat="1" ht="15" customHeight="1">
      <c r="A252" s="4752"/>
      <c r="B252" s="985">
        <v>32</v>
      </c>
      <c r="C252" s="823">
        <v>1.45</v>
      </c>
      <c r="D252" s="824">
        <f>B252/C252</f>
        <v>22.068965517241381</v>
      </c>
      <c r="E252" s="980" t="s">
        <v>103</v>
      </c>
      <c r="F252" s="977"/>
      <c r="G252" s="977"/>
      <c r="H252" s="977"/>
      <c r="I252" s="977"/>
      <c r="J252" s="986"/>
      <c r="K252" s="2"/>
      <c r="L252" s="4752"/>
      <c r="M252" s="953">
        <v>10</v>
      </c>
      <c r="N252" s="940"/>
      <c r="O252" s="940">
        <v>0.1</v>
      </c>
      <c r="P252" s="940"/>
      <c r="Q252" s="954">
        <f>M252/O252</f>
        <v>100</v>
      </c>
    </row>
    <row r="253" spans="1:17" s="1" customFormat="1">
      <c r="A253" s="4752"/>
      <c r="B253" s="987"/>
      <c r="C253" s="975"/>
      <c r="D253" s="976"/>
      <c r="E253" s="977"/>
      <c r="F253" s="977"/>
      <c r="G253" s="977"/>
      <c r="H253" s="977"/>
      <c r="I253" s="977"/>
      <c r="J253" s="986"/>
      <c r="K253" s="2"/>
      <c r="L253" s="4752"/>
      <c r="M253" s="953">
        <v>1</v>
      </c>
      <c r="N253" s="940"/>
      <c r="O253" s="940">
        <v>7.0000000000000007E-2</v>
      </c>
      <c r="P253" s="940"/>
      <c r="Q253" s="954">
        <f>M253/O253</f>
        <v>14.285714285714285</v>
      </c>
    </row>
    <row r="254" spans="1:17" s="1" customFormat="1">
      <c r="A254" s="4752"/>
      <c r="B254" s="988" t="s">
        <v>102</v>
      </c>
      <c r="C254" s="978"/>
      <c r="D254" s="978"/>
      <c r="E254" s="978"/>
      <c r="F254" s="978"/>
      <c r="G254" s="978"/>
      <c r="H254" s="978"/>
      <c r="I254" s="978"/>
      <c r="J254" s="989"/>
      <c r="K254" s="2"/>
      <c r="L254" s="4752"/>
      <c r="M254" s="955"/>
      <c r="N254" s="121"/>
      <c r="O254" s="627"/>
      <c r="P254" s="121"/>
      <c r="Q254" s="131"/>
    </row>
    <row r="255" spans="1:17" s="1" customFormat="1">
      <c r="A255" s="4752"/>
      <c r="B255" s="990">
        <v>32</v>
      </c>
      <c r="C255" s="973">
        <v>1.2</v>
      </c>
      <c r="D255" s="824">
        <f t="shared" ref="D255:D266" si="10">B255/C255</f>
        <v>26.666666666666668</v>
      </c>
      <c r="E255" s="979" t="s">
        <v>101</v>
      </c>
      <c r="F255" s="629"/>
      <c r="G255" s="629"/>
      <c r="H255" s="629"/>
      <c r="I255" s="630"/>
      <c r="J255" s="991"/>
      <c r="K255" s="2"/>
      <c r="L255" s="4752"/>
      <c r="M255" s="968" t="s">
        <v>870</v>
      </c>
      <c r="N255" s="949"/>
      <c r="O255" s="627"/>
      <c r="P255" s="3"/>
      <c r="Q255" s="131"/>
    </row>
    <row r="256" spans="1:17" s="1" customFormat="1">
      <c r="A256" s="4752"/>
      <c r="B256" s="990">
        <v>12</v>
      </c>
      <c r="C256" s="973">
        <v>1</v>
      </c>
      <c r="D256" s="824">
        <f t="shared" si="10"/>
        <v>12</v>
      </c>
      <c r="E256" s="979" t="s">
        <v>100</v>
      </c>
      <c r="F256" s="629"/>
      <c r="G256" s="629"/>
      <c r="H256" s="629"/>
      <c r="I256" s="630"/>
      <c r="J256" s="991"/>
      <c r="K256" s="2"/>
      <c r="L256" s="4752"/>
      <c r="M256" s="969" t="s">
        <v>871</v>
      </c>
      <c r="N256" s="949"/>
      <c r="O256" s="627"/>
      <c r="P256" s="3"/>
      <c r="Q256" s="131"/>
    </row>
    <row r="257" spans="1:17" s="1" customFormat="1">
      <c r="A257" s="4752"/>
      <c r="B257" s="990">
        <v>32</v>
      </c>
      <c r="C257" s="973">
        <v>2</v>
      </c>
      <c r="D257" s="824">
        <f t="shared" si="10"/>
        <v>16</v>
      </c>
      <c r="E257" s="979" t="s">
        <v>99</v>
      </c>
      <c r="F257" s="629"/>
      <c r="G257" s="629"/>
      <c r="H257" s="629"/>
      <c r="I257" s="630"/>
      <c r="J257" s="991"/>
      <c r="K257" s="2"/>
      <c r="L257" s="4752"/>
      <c r="M257" s="956"/>
      <c r="N257" s="945"/>
      <c r="O257" s="945"/>
      <c r="P257" s="945"/>
      <c r="Q257" s="957"/>
    </row>
    <row r="258" spans="1:17" s="1" customFormat="1">
      <c r="A258" s="4752"/>
      <c r="B258" s="990">
        <v>32</v>
      </c>
      <c r="C258" s="973">
        <v>1.2</v>
      </c>
      <c r="D258" s="824">
        <f t="shared" si="10"/>
        <v>26.666666666666668</v>
      </c>
      <c r="E258" s="979" t="s">
        <v>99</v>
      </c>
      <c r="F258" s="629"/>
      <c r="G258" s="629"/>
      <c r="H258" s="629"/>
      <c r="I258" s="630"/>
      <c r="J258" s="991"/>
      <c r="K258" s="2"/>
      <c r="L258" s="4752"/>
      <c r="M258" s="4902" t="s">
        <v>114</v>
      </c>
      <c r="N258" s="4903"/>
      <c r="O258" s="4904" t="s">
        <v>113</v>
      </c>
      <c r="P258" s="4904"/>
      <c r="Q258" s="4905" t="s">
        <v>111</v>
      </c>
    </row>
    <row r="259" spans="1:17" s="1" customFormat="1">
      <c r="A259" s="4752"/>
      <c r="B259" s="990">
        <v>33</v>
      </c>
      <c r="C259" s="973">
        <v>1.3</v>
      </c>
      <c r="D259" s="824">
        <f t="shared" si="10"/>
        <v>25.384615384615383</v>
      </c>
      <c r="E259" s="979" t="s">
        <v>98</v>
      </c>
      <c r="F259" s="629"/>
      <c r="G259" s="629"/>
      <c r="H259" s="629"/>
      <c r="I259" s="630"/>
      <c r="J259" s="991"/>
      <c r="K259" s="2"/>
      <c r="L259" s="4752"/>
      <c r="M259" s="4902"/>
      <c r="N259" s="4903"/>
      <c r="O259" s="4904"/>
      <c r="P259" s="4904"/>
      <c r="Q259" s="4905"/>
    </row>
    <row r="260" spans="1:17" s="1" customFormat="1">
      <c r="A260" s="4752"/>
      <c r="B260" s="990">
        <v>33</v>
      </c>
      <c r="C260" s="973">
        <v>1.5</v>
      </c>
      <c r="D260" s="824">
        <f t="shared" si="10"/>
        <v>22</v>
      </c>
      <c r="E260" s="979" t="s">
        <v>97</v>
      </c>
      <c r="F260" s="629"/>
      <c r="G260" s="629"/>
      <c r="H260" s="629"/>
      <c r="I260" s="630"/>
      <c r="J260" s="991"/>
      <c r="K260" s="2"/>
      <c r="L260" s="4752"/>
      <c r="M260" s="1552"/>
      <c r="N260" s="1554"/>
      <c r="O260" s="1553"/>
      <c r="P260" s="1553"/>
      <c r="Q260" s="958"/>
    </row>
    <row r="261" spans="1:17" s="1" customFormat="1">
      <c r="A261" s="4752"/>
      <c r="B261" s="990">
        <v>30</v>
      </c>
      <c r="C261" s="973">
        <v>1.2</v>
      </c>
      <c r="D261" s="824">
        <f t="shared" si="10"/>
        <v>25</v>
      </c>
      <c r="E261" s="979" t="s">
        <v>96</v>
      </c>
      <c r="F261" s="629"/>
      <c r="G261" s="629"/>
      <c r="H261" s="629"/>
      <c r="I261" s="630"/>
      <c r="J261" s="991"/>
      <c r="K261" s="2"/>
      <c r="L261" s="4752"/>
      <c r="M261" s="959">
        <v>0.25</v>
      </c>
      <c r="N261" s="951"/>
      <c r="O261" s="952">
        <v>2</v>
      </c>
      <c r="P261" s="943"/>
      <c r="Q261" s="960">
        <f>M261/O261</f>
        <v>0.125</v>
      </c>
    </row>
    <row r="262" spans="1:17" s="1" customFormat="1">
      <c r="A262" s="4752"/>
      <c r="B262" s="990">
        <v>33</v>
      </c>
      <c r="C262" s="973">
        <v>1.6</v>
      </c>
      <c r="D262" s="824">
        <f t="shared" si="10"/>
        <v>20.625</v>
      </c>
      <c r="E262" s="979" t="s">
        <v>95</v>
      </c>
      <c r="F262" s="629"/>
      <c r="G262" s="629"/>
      <c r="H262" s="629"/>
      <c r="I262" s="630"/>
      <c r="J262" s="991"/>
      <c r="K262" s="2"/>
      <c r="L262" s="4752"/>
      <c r="M262" s="959">
        <v>3.5</v>
      </c>
      <c r="N262" s="951"/>
      <c r="O262" s="952">
        <v>20</v>
      </c>
      <c r="P262" s="943"/>
      <c r="Q262" s="960">
        <f>M262/O262</f>
        <v>0.17499999999999999</v>
      </c>
    </row>
    <row r="263" spans="1:17" s="1" customFormat="1">
      <c r="A263" s="4752"/>
      <c r="B263" s="990">
        <v>33</v>
      </c>
      <c r="C263" s="973">
        <v>2</v>
      </c>
      <c r="D263" s="824">
        <f t="shared" si="10"/>
        <v>16.5</v>
      </c>
      <c r="E263" s="979" t="s">
        <v>94</v>
      </c>
      <c r="F263" s="629"/>
      <c r="G263" s="629"/>
      <c r="H263" s="629"/>
      <c r="I263" s="630"/>
      <c r="J263" s="991"/>
      <c r="K263" s="2"/>
      <c r="L263" s="4752"/>
      <c r="M263" s="961"/>
      <c r="N263" s="822"/>
      <c r="O263" s="821"/>
      <c r="P263" s="821"/>
      <c r="Q263" s="962"/>
    </row>
    <row r="264" spans="1:17" s="1" customFormat="1">
      <c r="A264" s="4752"/>
      <c r="B264" s="990">
        <v>48</v>
      </c>
      <c r="C264" s="973">
        <v>6</v>
      </c>
      <c r="D264" s="824">
        <f t="shared" si="10"/>
        <v>8</v>
      </c>
      <c r="E264" s="979" t="s">
        <v>93</v>
      </c>
      <c r="F264" s="629"/>
      <c r="G264" s="629"/>
      <c r="H264" s="629"/>
      <c r="I264" s="630"/>
      <c r="J264" s="991"/>
      <c r="K264" s="2"/>
      <c r="L264" s="4752"/>
      <c r="M264" s="970" t="s">
        <v>870</v>
      </c>
      <c r="N264" s="950"/>
      <c r="O264" s="947"/>
      <c r="P264" s="1555"/>
      <c r="Q264" s="963"/>
    </row>
    <row r="265" spans="1:17" s="1" customFormat="1">
      <c r="A265" s="4752"/>
      <c r="B265" s="990">
        <v>1</v>
      </c>
      <c r="C265" s="973">
        <v>0.25</v>
      </c>
      <c r="D265" s="824">
        <f t="shared" si="10"/>
        <v>4</v>
      </c>
      <c r="E265" s="979" t="s">
        <v>92</v>
      </c>
      <c r="F265" s="629"/>
      <c r="G265" s="629"/>
      <c r="H265" s="629"/>
      <c r="I265" s="630"/>
      <c r="J265" s="991"/>
      <c r="K265" s="2"/>
      <c r="L265" s="4752"/>
      <c r="M265" s="971" t="s">
        <v>872</v>
      </c>
      <c r="N265" s="950"/>
      <c r="O265" s="947"/>
      <c r="P265" s="1555"/>
      <c r="Q265" s="963"/>
    </row>
    <row r="266" spans="1:17" s="1" customFormat="1">
      <c r="A266" s="4752"/>
      <c r="B266" s="990">
        <v>25</v>
      </c>
      <c r="C266" s="973">
        <v>1</v>
      </c>
      <c r="D266" s="824">
        <f t="shared" si="10"/>
        <v>25</v>
      </c>
      <c r="E266" s="979" t="s">
        <v>91</v>
      </c>
      <c r="F266" s="629"/>
      <c r="G266" s="629"/>
      <c r="H266" s="629"/>
      <c r="I266" s="630"/>
      <c r="J266" s="991"/>
      <c r="K266" s="2"/>
      <c r="L266" s="4752"/>
      <c r="M266" s="4906" t="s">
        <v>112</v>
      </c>
      <c r="N266" s="4907"/>
      <c r="O266" s="4907"/>
      <c r="P266" s="972"/>
      <c r="Q266" s="4910" t="s">
        <v>111</v>
      </c>
    </row>
    <row r="267" spans="1:17" s="1" customFormat="1">
      <c r="A267" s="4752"/>
      <c r="B267" s="992"/>
      <c r="C267" s="820"/>
      <c r="D267" s="824"/>
      <c r="E267" s="825"/>
      <c r="F267" s="629"/>
      <c r="G267" s="629"/>
      <c r="H267" s="629"/>
      <c r="I267" s="630"/>
      <c r="J267" s="991"/>
      <c r="K267" s="2"/>
      <c r="L267" s="4752"/>
      <c r="M267" s="4908"/>
      <c r="N267" s="4909"/>
      <c r="O267" s="4909"/>
      <c r="P267" s="948" t="s">
        <v>108</v>
      </c>
      <c r="Q267" s="4905"/>
    </row>
    <row r="268" spans="1:17" s="1" customFormat="1" ht="15" customHeight="1">
      <c r="A268" s="4752"/>
      <c r="B268" s="993" t="s">
        <v>90</v>
      </c>
      <c r="C268" s="820"/>
      <c r="D268" s="824"/>
      <c r="E268" s="825"/>
      <c r="F268" s="629"/>
      <c r="G268" s="629"/>
      <c r="H268" s="629"/>
      <c r="I268" s="630"/>
      <c r="J268" s="991"/>
      <c r="K268" s="2"/>
      <c r="L268" s="4752"/>
      <c r="M268" s="964" t="s">
        <v>110</v>
      </c>
      <c r="N268" s="946"/>
      <c r="O268" s="947">
        <v>0.9</v>
      </c>
      <c r="P268" s="1555">
        <v>7</v>
      </c>
      <c r="Q268" s="963">
        <f>O268/P268</f>
        <v>0.12857142857142859</v>
      </c>
    </row>
    <row r="269" spans="1:17" s="1" customFormat="1" ht="15" customHeight="1">
      <c r="A269" s="4752"/>
      <c r="B269" s="4921" t="s">
        <v>89</v>
      </c>
      <c r="C269" s="4922"/>
      <c r="D269" s="4922"/>
      <c r="E269" s="4922"/>
      <c r="F269" s="4922"/>
      <c r="G269" s="4922"/>
      <c r="H269" s="4922"/>
      <c r="I269" s="4922"/>
      <c r="J269" s="4923"/>
      <c r="K269" s="2"/>
      <c r="L269" s="4752"/>
      <c r="M269" s="964" t="s">
        <v>109</v>
      </c>
      <c r="N269" s="946"/>
      <c r="O269" s="947">
        <v>3.5</v>
      </c>
      <c r="P269" s="1555">
        <v>20</v>
      </c>
      <c r="Q269" s="963">
        <f>O269/P269</f>
        <v>0.17499999999999999</v>
      </c>
    </row>
    <row r="270" spans="1:17" s="1" customFormat="1" ht="15" customHeight="1">
      <c r="A270" s="4752"/>
      <c r="B270" s="4921"/>
      <c r="C270" s="4922"/>
      <c r="D270" s="4922"/>
      <c r="E270" s="4922"/>
      <c r="F270" s="4922"/>
      <c r="G270" s="4922"/>
      <c r="H270" s="4922"/>
      <c r="I270" s="4922"/>
      <c r="J270" s="4923"/>
      <c r="K270" s="2"/>
      <c r="L270" s="4752"/>
      <c r="M270" s="961"/>
      <c r="N270" s="822"/>
      <c r="O270" s="821"/>
      <c r="P270" s="821"/>
      <c r="Q270" s="962"/>
    </row>
    <row r="271" spans="1:17" s="1" customFormat="1" thickBot="1">
      <c r="A271" s="4752"/>
      <c r="B271" s="4924"/>
      <c r="C271" s="4925"/>
      <c r="D271" s="4925"/>
      <c r="E271" s="4925"/>
      <c r="F271" s="4925"/>
      <c r="G271" s="4925"/>
      <c r="H271" s="4925"/>
      <c r="I271" s="4925"/>
      <c r="J271" s="4926"/>
      <c r="K271" s="2"/>
      <c r="L271" s="4752"/>
      <c r="M271" s="965" t="s">
        <v>104</v>
      </c>
      <c r="N271" s="944"/>
      <c r="O271" s="944"/>
      <c r="P271" s="944"/>
      <c r="Q271" s="966"/>
    </row>
    <row r="272" spans="1:17" s="1" customFormat="1" thickBot="1">
      <c r="A272" s="2"/>
      <c r="B272" s="3"/>
      <c r="C272" s="3"/>
      <c r="D272" s="3"/>
      <c r="E272" s="3"/>
      <c r="F272" s="3"/>
      <c r="G272" s="3"/>
      <c r="H272" s="3"/>
      <c r="I272" s="3"/>
      <c r="J272" s="3"/>
      <c r="K272" s="3"/>
      <c r="L272" s="4752"/>
      <c r="M272" s="706"/>
      <c r="N272" s="967"/>
      <c r="O272" s="123"/>
      <c r="P272" s="967"/>
      <c r="Q272" s="122"/>
    </row>
    <row r="273" spans="1:17" s="1" customFormat="1" ht="15.75" customHeight="1" thickBot="1">
      <c r="A273" s="2"/>
      <c r="B273" s="572"/>
      <c r="C273" s="572"/>
      <c r="D273" s="572"/>
      <c r="E273" s="572"/>
      <c r="F273" s="572"/>
      <c r="G273" s="572"/>
      <c r="H273" s="3"/>
      <c r="I273" s="490"/>
      <c r="J273" s="490"/>
      <c r="K273" s="139"/>
      <c r="L273" s="139"/>
      <c r="M273" s="490"/>
      <c r="N273" s="490"/>
      <c r="O273" s="2"/>
      <c r="P273" s="2"/>
      <c r="Q273" s="2"/>
    </row>
    <row r="274" spans="1:17" s="1" customFormat="1" ht="15">
      <c r="A274" s="4873" t="s">
        <v>70</v>
      </c>
      <c r="B274" s="4875" t="s">
        <v>75</v>
      </c>
      <c r="C274" s="4876"/>
      <c r="D274" s="4876"/>
      <c r="E274" s="4876"/>
      <c r="F274" s="4876"/>
      <c r="G274" s="4876"/>
      <c r="H274" s="4876"/>
      <c r="I274" s="4876"/>
      <c r="J274" s="4876"/>
      <c r="K274" s="4876"/>
      <c r="L274" s="4876"/>
      <c r="M274" s="4876"/>
      <c r="N274" s="4879">
        <v>1</v>
      </c>
      <c r="O274" s="2"/>
      <c r="P274" s="2"/>
      <c r="Q274" s="2"/>
    </row>
    <row r="275" spans="1:17" s="1" customFormat="1" ht="15">
      <c r="A275" s="4874"/>
      <c r="B275" s="4877"/>
      <c r="C275" s="4878"/>
      <c r="D275" s="4878"/>
      <c r="E275" s="4878"/>
      <c r="F275" s="4878"/>
      <c r="G275" s="4878"/>
      <c r="H275" s="4878"/>
      <c r="I275" s="4878"/>
      <c r="J275" s="4878"/>
      <c r="K275" s="4878"/>
      <c r="L275" s="4878"/>
      <c r="M275" s="4878"/>
      <c r="N275" s="4880"/>
      <c r="O275" s="2"/>
      <c r="P275" s="2"/>
      <c r="Q275" s="2"/>
    </row>
    <row r="276" spans="1:17" s="1" customFormat="1">
      <c r="A276" s="4881" t="str">
        <f>B274</f>
        <v>QUANTITÉS A SERVIR OU A COMMANDER</v>
      </c>
      <c r="B276" s="551" t="str">
        <f>ADDRESS(ROW(),COLUMN(),4)</f>
        <v>B276</v>
      </c>
      <c r="C276" s="540" t="s">
        <v>691</v>
      </c>
      <c r="D276" s="541"/>
      <c r="E276" s="541"/>
      <c r="F276" s="541"/>
      <c r="G276" s="541"/>
      <c r="H276" s="541"/>
      <c r="I276" s="541"/>
      <c r="J276" s="541"/>
      <c r="K276" s="541"/>
      <c r="L276" s="541"/>
      <c r="M276" s="541"/>
      <c r="N276" s="632"/>
      <c r="O276" s="2"/>
      <c r="P276" s="2"/>
      <c r="Q276" s="2"/>
    </row>
    <row r="277" spans="1:17" s="1" customFormat="1" ht="20.25">
      <c r="A277" s="4881"/>
      <c r="B277" s="4882" t="s">
        <v>68</v>
      </c>
      <c r="C277" s="4883"/>
      <c r="D277" s="4883"/>
      <c r="E277" s="4883"/>
      <c r="F277" s="4883"/>
      <c r="G277" s="4883"/>
      <c r="H277" s="4883"/>
      <c r="I277" s="4883"/>
      <c r="J277" s="4883"/>
      <c r="K277" s="4883"/>
      <c r="L277" s="4883"/>
      <c r="M277" s="4883"/>
      <c r="N277" s="4884"/>
      <c r="O277" s="2"/>
      <c r="P277" s="2"/>
      <c r="Q277" s="2"/>
    </row>
    <row r="278" spans="1:17" s="1" customFormat="1" ht="15">
      <c r="A278" s="4881"/>
      <c r="B278" s="4885" t="s">
        <v>74</v>
      </c>
      <c r="C278" s="4886"/>
      <c r="D278" s="4886"/>
      <c r="E278" s="4886"/>
      <c r="F278" s="4886"/>
      <c r="G278" s="4886"/>
      <c r="H278" s="4886"/>
      <c r="I278" s="4886"/>
      <c r="J278" s="4886"/>
      <c r="K278" s="4886"/>
      <c r="L278" s="4886"/>
      <c r="M278" s="4886"/>
      <c r="N278" s="4887"/>
      <c r="O278" s="2"/>
      <c r="P278" s="2"/>
      <c r="Q278" s="2"/>
    </row>
    <row r="279" spans="1:17" s="1" customFormat="1" ht="15">
      <c r="A279" s="4881"/>
      <c r="B279" s="4885"/>
      <c r="C279" s="4886"/>
      <c r="D279" s="4886"/>
      <c r="E279" s="4886"/>
      <c r="F279" s="4886"/>
      <c r="G279" s="4886"/>
      <c r="H279" s="4886"/>
      <c r="I279" s="4886"/>
      <c r="J279" s="4886"/>
      <c r="K279" s="4886"/>
      <c r="L279" s="4886"/>
      <c r="M279" s="4886"/>
      <c r="N279" s="4887"/>
      <c r="O279" s="2"/>
      <c r="P279" s="2"/>
      <c r="Q279" s="2"/>
    </row>
    <row r="280" spans="1:17" s="1" customFormat="1" ht="15">
      <c r="A280" s="4881"/>
      <c r="B280" s="4885"/>
      <c r="C280" s="4886"/>
      <c r="D280" s="4886"/>
      <c r="E280" s="4886"/>
      <c r="F280" s="4886"/>
      <c r="G280" s="4886"/>
      <c r="H280" s="4886"/>
      <c r="I280" s="4886"/>
      <c r="J280" s="4886"/>
      <c r="K280" s="4886"/>
      <c r="L280" s="4886"/>
      <c r="M280" s="4886"/>
      <c r="N280" s="4887"/>
      <c r="O280" s="2"/>
      <c r="P280" s="2"/>
      <c r="Q280" s="2"/>
    </row>
    <row r="281" spans="1:17" s="1" customFormat="1" ht="15">
      <c r="A281" s="4881"/>
      <c r="B281" s="4885"/>
      <c r="C281" s="4886"/>
      <c r="D281" s="4886"/>
      <c r="E281" s="4886"/>
      <c r="F281" s="4886"/>
      <c r="G281" s="4886"/>
      <c r="H281" s="4886"/>
      <c r="I281" s="4886"/>
      <c r="J281" s="4886"/>
      <c r="K281" s="4886"/>
      <c r="L281" s="4886"/>
      <c r="M281" s="4886"/>
      <c r="N281" s="4887"/>
      <c r="O281" s="2"/>
      <c r="P281" s="2"/>
      <c r="Q281" s="2"/>
    </row>
    <row r="282" spans="1:17" s="1" customFormat="1" ht="15">
      <c r="A282" s="4881"/>
      <c r="B282" s="4888"/>
      <c r="C282" s="4889"/>
      <c r="D282" s="4889"/>
      <c r="E282" s="4889"/>
      <c r="F282" s="4889"/>
      <c r="G282" s="4889"/>
      <c r="H282" s="4889"/>
      <c r="I282" s="4889"/>
      <c r="J282" s="4889"/>
      <c r="K282" s="4889"/>
      <c r="L282" s="4889"/>
      <c r="M282" s="4889"/>
      <c r="N282" s="4890"/>
      <c r="O282" s="2"/>
      <c r="P282" s="2"/>
      <c r="Q282" s="2"/>
    </row>
    <row r="283" spans="1:17" s="1" customFormat="1" ht="15">
      <c r="A283" s="4881"/>
      <c r="B283" s="65"/>
      <c r="C283" s="64"/>
      <c r="D283" s="64"/>
      <c r="E283" s="64"/>
      <c r="F283" s="64"/>
      <c r="G283" s="64"/>
      <c r="H283" s="64"/>
      <c r="I283" s="64"/>
      <c r="J283" s="64"/>
      <c r="K283" s="64"/>
      <c r="L283" s="4901" t="s">
        <v>55</v>
      </c>
      <c r="M283" s="4901"/>
      <c r="N283" s="62"/>
      <c r="O283" s="2"/>
      <c r="P283" s="2"/>
      <c r="Q283" s="2"/>
    </row>
    <row r="284" spans="1:17" s="1" customFormat="1">
      <c r="A284" s="4881"/>
      <c r="B284" s="64"/>
      <c r="C284" s="64"/>
      <c r="D284" s="64"/>
      <c r="E284" s="64"/>
      <c r="F284" s="64"/>
      <c r="G284" s="64"/>
      <c r="H284" s="64"/>
      <c r="I284" s="64"/>
      <c r="J284" s="64"/>
      <c r="K284" s="77" t="s">
        <v>52</v>
      </c>
      <c r="L284" s="4892" t="s">
        <v>73</v>
      </c>
      <c r="M284" s="4893"/>
      <c r="N284" s="62"/>
      <c r="O284" s="2"/>
      <c r="P284" s="2"/>
      <c r="Q284" s="2"/>
    </row>
    <row r="285" spans="1:17" s="1" customFormat="1" ht="15">
      <c r="A285" s="4881"/>
      <c r="B285" s="65"/>
      <c r="C285" s="64"/>
      <c r="D285" s="64"/>
      <c r="E285" s="64"/>
      <c r="F285" s="64"/>
      <c r="G285" s="64"/>
      <c r="H285" s="64"/>
      <c r="I285" s="64"/>
      <c r="J285" s="64"/>
      <c r="K285" s="64"/>
      <c r="L285" s="64"/>
      <c r="M285" s="67"/>
      <c r="N285" s="62"/>
      <c r="O285" s="2"/>
      <c r="P285" s="2"/>
      <c r="Q285" s="2"/>
    </row>
    <row r="286" spans="1:17" s="1" customFormat="1" ht="18">
      <c r="A286" s="4881"/>
      <c r="B286" s="65"/>
      <c r="C286" s="64"/>
      <c r="D286" s="64"/>
      <c r="E286" s="64"/>
      <c r="F286" s="76" t="s">
        <v>65</v>
      </c>
      <c r="G286" s="75" t="s">
        <v>64</v>
      </c>
      <c r="H286" s="73" t="s">
        <v>63</v>
      </c>
      <c r="I286" s="74" t="s">
        <v>62</v>
      </c>
      <c r="J286" s="73" t="s">
        <v>61</v>
      </c>
      <c r="K286" s="73" t="s">
        <v>60</v>
      </c>
      <c r="L286" s="64"/>
      <c r="M286" s="64"/>
      <c r="N286" s="62"/>
      <c r="O286" s="2"/>
      <c r="P286" s="2"/>
      <c r="Q286" s="2"/>
    </row>
    <row r="287" spans="1:17" s="1" customFormat="1" ht="18.75">
      <c r="A287" s="4881"/>
      <c r="B287" s="65"/>
      <c r="C287" s="64"/>
      <c r="D287" s="64"/>
      <c r="E287" s="64"/>
      <c r="F287" s="38" t="s">
        <v>51</v>
      </c>
      <c r="G287" s="37">
        <v>50</v>
      </c>
      <c r="H287" s="37">
        <v>500</v>
      </c>
      <c r="I287" s="37">
        <v>150</v>
      </c>
      <c r="J287" s="37">
        <v>13</v>
      </c>
      <c r="K287" s="37">
        <v>13</v>
      </c>
      <c r="L287" s="25">
        <f>SUM(G287:K287)</f>
        <v>726</v>
      </c>
      <c r="M287" s="24" t="s">
        <v>50</v>
      </c>
      <c r="N287" s="62"/>
      <c r="O287" s="2"/>
      <c r="P287" s="2"/>
      <c r="Q287" s="2"/>
    </row>
    <row r="288" spans="1:17" s="1" customFormat="1" ht="18.75">
      <c r="A288" s="4881"/>
      <c r="B288" s="65"/>
      <c r="C288" s="64"/>
      <c r="D288" s="64"/>
      <c r="E288" s="64"/>
      <c r="F288" s="49" t="s">
        <v>72</v>
      </c>
      <c r="G288" s="72">
        <v>0.5</v>
      </c>
      <c r="H288" s="72">
        <v>1</v>
      </c>
      <c r="I288" s="72">
        <v>1</v>
      </c>
      <c r="J288" s="72">
        <v>2</v>
      </c>
      <c r="K288" s="72">
        <v>1</v>
      </c>
      <c r="L288" s="47">
        <f>SUM(G288:K288)/COUNTIF(G288:K288,"&gt;0")</f>
        <v>1.1000000000000001</v>
      </c>
      <c r="M288" s="24" t="s">
        <v>58</v>
      </c>
      <c r="N288" s="62"/>
      <c r="O288" s="2"/>
      <c r="P288" s="2"/>
      <c r="Q288" s="2"/>
    </row>
    <row r="289" spans="1:17" s="1" customFormat="1" ht="18">
      <c r="A289" s="4881"/>
      <c r="B289" s="65"/>
      <c r="C289" s="64"/>
      <c r="D289" s="64"/>
      <c r="E289" s="64"/>
      <c r="F289" s="27" t="s">
        <v>71</v>
      </c>
      <c r="G289" s="71">
        <f>G288*G287</f>
        <v>25</v>
      </c>
      <c r="H289" s="70">
        <f>H288*H287</f>
        <v>500</v>
      </c>
      <c r="I289" s="70">
        <f>I288*I287</f>
        <v>150</v>
      </c>
      <c r="J289" s="70">
        <f>J288*J287</f>
        <v>26</v>
      </c>
      <c r="K289" s="70">
        <f>K288*K287</f>
        <v>13</v>
      </c>
      <c r="L289" s="25">
        <f>SUM(G289:K289)</f>
        <v>714</v>
      </c>
      <c r="M289" s="24" t="str">
        <f>L284</f>
        <v>pommes</v>
      </c>
      <c r="N289" s="62"/>
      <c r="O289" s="2"/>
      <c r="P289" s="2"/>
      <c r="Q289" s="2"/>
    </row>
    <row r="290" spans="1:17" s="1" customFormat="1" ht="15">
      <c r="A290" s="4881"/>
      <c r="B290" s="65"/>
      <c r="C290" s="64"/>
      <c r="D290" s="64"/>
      <c r="E290" s="64"/>
      <c r="F290" s="64"/>
      <c r="G290" s="35" t="str">
        <f>L284</f>
        <v>pommes</v>
      </c>
      <c r="H290" s="35" t="str">
        <f>L284</f>
        <v>pommes</v>
      </c>
      <c r="I290" s="35" t="str">
        <f>L284</f>
        <v>pommes</v>
      </c>
      <c r="J290" s="35" t="str">
        <f>L284</f>
        <v>pommes</v>
      </c>
      <c r="K290" s="35" t="str">
        <f>L284</f>
        <v>pommes</v>
      </c>
      <c r="L290" s="64"/>
      <c r="M290" s="67"/>
      <c r="N290" s="62"/>
      <c r="O290" s="2"/>
      <c r="P290" s="2"/>
      <c r="Q290" s="2"/>
    </row>
    <row r="291" spans="1:17" s="1" customFormat="1" ht="18">
      <c r="A291" s="4881"/>
      <c r="B291" s="69"/>
      <c r="C291" s="33" t="s">
        <v>48</v>
      </c>
      <c r="D291" s="32">
        <v>10</v>
      </c>
      <c r="E291" s="31" t="s">
        <v>44</v>
      </c>
      <c r="F291" s="68"/>
      <c r="G291" s="68"/>
      <c r="H291" s="64"/>
      <c r="I291" s="64"/>
      <c r="J291" s="64"/>
      <c r="K291" s="64"/>
      <c r="L291" s="64"/>
      <c r="M291" s="67"/>
      <c r="N291" s="62"/>
      <c r="O291" s="2"/>
      <c r="P291" s="2"/>
      <c r="Q291" s="2"/>
    </row>
    <row r="292" spans="1:17" s="1" customFormat="1" ht="18">
      <c r="A292" s="4881"/>
      <c r="B292" s="65"/>
      <c r="C292" s="64"/>
      <c r="D292" s="64"/>
      <c r="E292" s="64"/>
      <c r="F292" s="27" t="s">
        <v>47</v>
      </c>
      <c r="G292" s="29">
        <f>G289/(100-D291)*100</f>
        <v>27.777777777777779</v>
      </c>
      <c r="H292" s="29">
        <f>H289/(100-D291)*100</f>
        <v>555.55555555555554</v>
      </c>
      <c r="I292" s="29">
        <f>I289/(100-D291)*100</f>
        <v>166.66666666666669</v>
      </c>
      <c r="J292" s="29">
        <f>J289/(100-D291)*100</f>
        <v>28.888888888888886</v>
      </c>
      <c r="K292" s="29">
        <f>K289/(100-D291)*100</f>
        <v>14.444444444444443</v>
      </c>
      <c r="L292" s="66">
        <f>SUM(G292:K292)</f>
        <v>793.33333333333337</v>
      </c>
      <c r="M292" s="24" t="str">
        <f>L284</f>
        <v>pommes</v>
      </c>
      <c r="N292" s="62"/>
      <c r="O292" s="2"/>
      <c r="P292" s="2"/>
      <c r="Q292" s="2"/>
    </row>
    <row r="293" spans="1:17" s="1" customFormat="1" ht="18">
      <c r="A293" s="4881"/>
      <c r="B293" s="65"/>
      <c r="C293" s="64"/>
      <c r="D293" s="64"/>
      <c r="E293" s="64"/>
      <c r="F293" s="27"/>
      <c r="G293" s="63" t="str">
        <f>L284</f>
        <v>pommes</v>
      </c>
      <c r="H293" s="63" t="str">
        <f>L284</f>
        <v>pommes</v>
      </c>
      <c r="I293" s="63" t="str">
        <f>L284</f>
        <v>pommes</v>
      </c>
      <c r="J293" s="63" t="str">
        <f>L284</f>
        <v>pommes</v>
      </c>
      <c r="K293" s="63" t="str">
        <f>L284</f>
        <v>pommes</v>
      </c>
      <c r="L293" s="25"/>
      <c r="M293" s="24"/>
      <c r="N293" s="62"/>
      <c r="O293" s="2"/>
      <c r="P293" s="2"/>
      <c r="Q293" s="2"/>
    </row>
    <row r="294" spans="1:17" s="1" customFormat="1" ht="15">
      <c r="A294" s="4881"/>
      <c r="B294" s="61"/>
      <c r="C294" s="60"/>
      <c r="D294" s="60"/>
      <c r="E294" s="60"/>
      <c r="F294" s="60"/>
      <c r="G294" s="60"/>
      <c r="H294" s="60"/>
      <c r="I294" s="60"/>
      <c r="J294" s="60"/>
      <c r="K294" s="60"/>
      <c r="L294" s="60"/>
      <c r="M294" s="60"/>
      <c r="N294" s="59"/>
      <c r="O294" s="2"/>
      <c r="P294" s="2"/>
      <c r="Q294" s="2"/>
    </row>
    <row r="295" spans="1:17" s="1" customFormat="1" ht="18.75">
      <c r="A295" s="4881"/>
      <c r="B295" s="58" t="s">
        <v>55</v>
      </c>
      <c r="C295" s="57" t="s">
        <v>43</v>
      </c>
      <c r="D295" s="16"/>
      <c r="E295" s="16"/>
      <c r="F295" s="16"/>
      <c r="G295" s="16"/>
      <c r="H295" s="16"/>
      <c r="I295" s="16"/>
      <c r="J295" s="16"/>
      <c r="K295" s="16"/>
      <c r="L295" s="16"/>
      <c r="M295" s="16"/>
      <c r="N295" s="15"/>
      <c r="O295" s="2"/>
      <c r="P295" s="2"/>
      <c r="Q295" s="2"/>
    </row>
    <row r="296" spans="1:17" s="1" customFormat="1" ht="18.75">
      <c r="A296" s="4881"/>
      <c r="B296" s="14"/>
      <c r="C296" s="4892" t="s">
        <v>39</v>
      </c>
      <c r="D296" s="4893"/>
      <c r="E296" s="13"/>
      <c r="F296" s="4892" t="s">
        <v>42</v>
      </c>
      <c r="G296" s="4893"/>
      <c r="H296" s="13"/>
      <c r="I296" s="4892" t="s">
        <v>41</v>
      </c>
      <c r="J296" s="4893"/>
      <c r="K296" s="13"/>
      <c r="L296" s="4892" t="s">
        <v>40</v>
      </c>
      <c r="M296" s="4893"/>
      <c r="N296" s="12"/>
      <c r="O296" s="2"/>
      <c r="P296" s="2"/>
      <c r="Q296" s="2"/>
    </row>
    <row r="297" spans="1:17" s="1" customFormat="1" ht="18.75">
      <c r="A297" s="4881"/>
      <c r="B297" s="56" t="s">
        <v>44</v>
      </c>
      <c r="C297" s="21" t="s">
        <v>45</v>
      </c>
      <c r="D297" s="13"/>
      <c r="E297" s="13"/>
      <c r="F297" s="13"/>
      <c r="G297" s="13"/>
      <c r="H297" s="13"/>
      <c r="I297" s="13"/>
      <c r="J297" s="13"/>
      <c r="K297" s="13"/>
      <c r="L297" s="13"/>
      <c r="M297" s="13"/>
      <c r="N297" s="12"/>
      <c r="O297" s="2"/>
      <c r="P297" s="2"/>
      <c r="Q297" s="2"/>
    </row>
    <row r="298" spans="1:17" s="1" customFormat="1" ht="15">
      <c r="A298" s="4881"/>
      <c r="B298" s="4835" t="s">
        <v>38</v>
      </c>
      <c r="C298" s="4836"/>
      <c r="D298" s="4836"/>
      <c r="E298" s="4836"/>
      <c r="F298" s="4836"/>
      <c r="G298" s="4836"/>
      <c r="H298" s="4836"/>
      <c r="I298" s="4836"/>
      <c r="J298" s="4836"/>
      <c r="K298" s="4836"/>
      <c r="L298" s="4836"/>
      <c r="M298" s="4836"/>
      <c r="N298" s="4837"/>
      <c r="O298" s="2"/>
      <c r="P298" s="2"/>
      <c r="Q298" s="2"/>
    </row>
    <row r="299" spans="1:17" s="1" customFormat="1" ht="15">
      <c r="A299" s="4881"/>
      <c r="B299" s="4838"/>
      <c r="C299" s="4839"/>
      <c r="D299" s="4839"/>
      <c r="E299" s="4839"/>
      <c r="F299" s="4839"/>
      <c r="G299" s="4839"/>
      <c r="H299" s="4839"/>
      <c r="I299" s="4839"/>
      <c r="J299" s="4839"/>
      <c r="K299" s="4839"/>
      <c r="L299" s="4839"/>
      <c r="M299" s="4839"/>
      <c r="N299" s="4840"/>
      <c r="O299" s="2"/>
      <c r="P299" s="2"/>
      <c r="Q299" s="2"/>
    </row>
    <row r="300" spans="1:17" s="1" customFormat="1" ht="15">
      <c r="A300" s="4881"/>
      <c r="B300" s="11" t="s">
        <v>37</v>
      </c>
      <c r="C300" s="4841" t="str">
        <f ca="1">CELL("nomfichier")</f>
        <v>D:\Données\Copie_ancien_DD\0-UPRT.fait\1-UPRT.FR-SITE-WEB\ff-fiches-fabrications\ff-fiches-fabrication-maj-08-2020\[ff-22-formats-formules-pourcentages.xlsx]Epurer.un.texte</v>
      </c>
      <c r="D300" s="4841"/>
      <c r="E300" s="4841"/>
      <c r="F300" s="4841"/>
      <c r="G300" s="4841"/>
      <c r="H300" s="4841"/>
      <c r="I300" s="4841"/>
      <c r="J300" s="4841"/>
      <c r="K300" s="4841"/>
      <c r="L300" s="4841"/>
      <c r="M300" s="4841"/>
      <c r="N300" s="4842"/>
      <c r="O300" s="2"/>
      <c r="P300" s="2"/>
      <c r="Q300" s="2"/>
    </row>
    <row r="301" spans="1:17" s="1" customFormat="1" ht="15">
      <c r="A301" s="4881"/>
      <c r="B301" s="10" t="s">
        <v>36</v>
      </c>
      <c r="C301" s="4843" t="s">
        <v>35</v>
      </c>
      <c r="D301" s="4843"/>
      <c r="E301" s="4843"/>
      <c r="F301" s="4843"/>
      <c r="G301" s="4843"/>
      <c r="H301" s="4843"/>
      <c r="I301" s="4843"/>
      <c r="J301" s="4843"/>
      <c r="K301" s="4843"/>
      <c r="L301" s="4843"/>
      <c r="M301" s="4843"/>
      <c r="N301" s="4844"/>
      <c r="O301" s="2"/>
      <c r="P301" s="2"/>
      <c r="Q301" s="2"/>
    </row>
    <row r="302" spans="1:17" s="1" customFormat="1" thickBot="1">
      <c r="A302" s="4881"/>
      <c r="B302" s="4845" t="s">
        <v>34</v>
      </c>
      <c r="C302" s="4846"/>
      <c r="D302" s="4846"/>
      <c r="E302" s="4846"/>
      <c r="F302" s="4846"/>
      <c r="G302" s="4846"/>
      <c r="H302" s="4846"/>
      <c r="I302" s="4846"/>
      <c r="J302" s="4846"/>
      <c r="K302" s="4846"/>
      <c r="L302" s="4846"/>
      <c r="M302" s="4846"/>
      <c r="N302" s="4847"/>
      <c r="O302" s="2"/>
      <c r="P302" s="2"/>
      <c r="Q302" s="2"/>
    </row>
    <row r="303" spans="1:17" s="1" customFormat="1" ht="15.75" customHeight="1" thickBot="1">
      <c r="A303" s="2"/>
      <c r="B303" s="572"/>
      <c r="C303" s="572"/>
      <c r="D303" s="572"/>
      <c r="E303" s="572"/>
      <c r="F303" s="572"/>
      <c r="G303" s="572"/>
      <c r="H303" s="3"/>
      <c r="I303" s="490"/>
      <c r="J303" s="490"/>
      <c r="K303" s="139"/>
      <c r="L303" s="139"/>
      <c r="M303" s="490"/>
      <c r="N303" s="490"/>
      <c r="O303" s="2"/>
      <c r="P303" s="2"/>
      <c r="Q303" s="2"/>
    </row>
    <row r="304" spans="1:17" s="1" customFormat="1" ht="15">
      <c r="A304" s="4873" t="s">
        <v>70</v>
      </c>
      <c r="B304" s="4875" t="s">
        <v>69</v>
      </c>
      <c r="C304" s="4876"/>
      <c r="D304" s="4876"/>
      <c r="E304" s="4876"/>
      <c r="F304" s="4876"/>
      <c r="G304" s="4876"/>
      <c r="H304" s="4876"/>
      <c r="I304" s="4876"/>
      <c r="J304" s="4876"/>
      <c r="K304" s="4876"/>
      <c r="L304" s="4876"/>
      <c r="M304" s="4876"/>
      <c r="N304" s="4879">
        <v>2</v>
      </c>
      <c r="O304" s="2"/>
      <c r="P304" s="2"/>
      <c r="Q304" s="2"/>
    </row>
    <row r="305" spans="1:17" s="1" customFormat="1" ht="15">
      <c r="A305" s="4874"/>
      <c r="B305" s="4877"/>
      <c r="C305" s="4878"/>
      <c r="D305" s="4878"/>
      <c r="E305" s="4878"/>
      <c r="F305" s="4878"/>
      <c r="G305" s="4878"/>
      <c r="H305" s="4878"/>
      <c r="I305" s="4878"/>
      <c r="J305" s="4878"/>
      <c r="K305" s="4878"/>
      <c r="L305" s="4878"/>
      <c r="M305" s="4878"/>
      <c r="N305" s="4880"/>
      <c r="O305" s="2"/>
      <c r="P305" s="2"/>
      <c r="Q305" s="2"/>
    </row>
    <row r="306" spans="1:17" s="1" customFormat="1">
      <c r="A306" s="4881" t="str">
        <f>B304</f>
        <v>COMBIEN POURRIEZ VOUS SERVIR AVEC</v>
      </c>
      <c r="B306" s="551" t="str">
        <f>ADDRESS(ROW(),COLUMN(),4)</f>
        <v>B306</v>
      </c>
      <c r="C306" s="540" t="s">
        <v>691</v>
      </c>
      <c r="D306" s="541"/>
      <c r="E306" s="541"/>
      <c r="F306" s="541"/>
      <c r="G306" s="541"/>
      <c r="H306" s="541"/>
      <c r="I306" s="541"/>
      <c r="J306" s="541"/>
      <c r="K306" s="541"/>
      <c r="L306" s="541"/>
      <c r="M306" s="541"/>
      <c r="N306" s="632"/>
      <c r="O306" s="2"/>
      <c r="P306" s="2"/>
      <c r="Q306" s="2"/>
    </row>
    <row r="307" spans="1:17" s="1" customFormat="1" ht="20.25">
      <c r="A307" s="4881"/>
      <c r="B307" s="4882" t="s">
        <v>68</v>
      </c>
      <c r="C307" s="4883"/>
      <c r="D307" s="4883"/>
      <c r="E307" s="4883"/>
      <c r="F307" s="4883"/>
      <c r="G307" s="4883"/>
      <c r="H307" s="4883"/>
      <c r="I307" s="4883"/>
      <c r="J307" s="4883"/>
      <c r="K307" s="4883"/>
      <c r="L307" s="4883"/>
      <c r="M307" s="4883"/>
      <c r="N307" s="4884"/>
      <c r="O307" s="2"/>
      <c r="P307" s="2"/>
      <c r="Q307" s="2"/>
    </row>
    <row r="308" spans="1:17" s="1" customFormat="1" ht="15">
      <c r="A308" s="4881"/>
      <c r="B308" s="4885" t="s">
        <v>67</v>
      </c>
      <c r="C308" s="4886"/>
      <c r="D308" s="4886"/>
      <c r="E308" s="4886"/>
      <c r="F308" s="4886"/>
      <c r="G308" s="4886"/>
      <c r="H308" s="4886"/>
      <c r="I308" s="4886"/>
      <c r="J308" s="4886"/>
      <c r="K308" s="4886"/>
      <c r="L308" s="4886"/>
      <c r="M308" s="4886"/>
      <c r="N308" s="4887"/>
      <c r="O308" s="2"/>
      <c r="P308" s="2"/>
      <c r="Q308" s="2"/>
    </row>
    <row r="309" spans="1:17" s="1" customFormat="1" ht="15">
      <c r="A309" s="4881"/>
      <c r="B309" s="4885"/>
      <c r="C309" s="4886"/>
      <c r="D309" s="4886"/>
      <c r="E309" s="4886"/>
      <c r="F309" s="4886"/>
      <c r="G309" s="4886"/>
      <c r="H309" s="4886"/>
      <c r="I309" s="4886"/>
      <c r="J309" s="4886"/>
      <c r="K309" s="4886"/>
      <c r="L309" s="4886"/>
      <c r="M309" s="4886"/>
      <c r="N309" s="4887"/>
      <c r="O309" s="2"/>
      <c r="P309" s="2"/>
      <c r="Q309" s="2"/>
    </row>
    <row r="310" spans="1:17" s="1" customFormat="1" ht="15">
      <c r="A310" s="4881"/>
      <c r="B310" s="4885"/>
      <c r="C310" s="4886"/>
      <c r="D310" s="4886"/>
      <c r="E310" s="4886"/>
      <c r="F310" s="4886"/>
      <c r="G310" s="4886"/>
      <c r="H310" s="4886"/>
      <c r="I310" s="4886"/>
      <c r="J310" s="4886"/>
      <c r="K310" s="4886"/>
      <c r="L310" s="4886"/>
      <c r="M310" s="4886"/>
      <c r="N310" s="4887"/>
      <c r="O310" s="2"/>
      <c r="P310" s="2"/>
      <c r="Q310" s="2"/>
    </row>
    <row r="311" spans="1:17" s="1" customFormat="1" ht="15">
      <c r="A311" s="4881"/>
      <c r="B311" s="4885"/>
      <c r="C311" s="4886"/>
      <c r="D311" s="4886"/>
      <c r="E311" s="4886"/>
      <c r="F311" s="4886"/>
      <c r="G311" s="4886"/>
      <c r="H311" s="4886"/>
      <c r="I311" s="4886"/>
      <c r="J311" s="4886"/>
      <c r="K311" s="4886"/>
      <c r="L311" s="4886"/>
      <c r="M311" s="4886"/>
      <c r="N311" s="4887"/>
      <c r="O311" s="2"/>
      <c r="P311" s="2"/>
      <c r="Q311" s="2"/>
    </row>
    <row r="312" spans="1:17" s="1" customFormat="1" ht="15">
      <c r="A312" s="4881"/>
      <c r="B312" s="4888"/>
      <c r="C312" s="4889"/>
      <c r="D312" s="4889"/>
      <c r="E312" s="4889"/>
      <c r="F312" s="4889"/>
      <c r="G312" s="4889"/>
      <c r="H312" s="4889"/>
      <c r="I312" s="4889"/>
      <c r="J312" s="4889"/>
      <c r="K312" s="4889"/>
      <c r="L312" s="4889"/>
      <c r="M312" s="4889"/>
      <c r="N312" s="4890"/>
      <c r="O312" s="2"/>
      <c r="P312" s="2"/>
      <c r="Q312" s="2"/>
    </row>
    <row r="313" spans="1:17" s="1" customFormat="1" ht="15">
      <c r="A313" s="4881"/>
      <c r="B313" s="28"/>
      <c r="C313" s="9"/>
      <c r="D313" s="9"/>
      <c r="E313" s="9"/>
      <c r="F313" s="9"/>
      <c r="G313" s="9"/>
      <c r="H313" s="9"/>
      <c r="I313" s="9"/>
      <c r="J313" s="9"/>
      <c r="K313" s="9"/>
      <c r="L313" s="4891" t="s">
        <v>55</v>
      </c>
      <c r="M313" s="4891"/>
      <c r="N313" s="23"/>
      <c r="O313" s="2"/>
      <c r="P313" s="2"/>
      <c r="Q313" s="2"/>
    </row>
    <row r="314" spans="1:17" s="1" customFormat="1" ht="18">
      <c r="A314" s="4881"/>
      <c r="B314" s="28"/>
      <c r="C314" s="9"/>
      <c r="D314" s="9"/>
      <c r="E314" s="9"/>
      <c r="F314" s="9"/>
      <c r="G314" s="9"/>
      <c r="H314" s="9"/>
      <c r="I314" s="9"/>
      <c r="K314" s="27" t="s">
        <v>66</v>
      </c>
      <c r="L314" s="4894">
        <v>2.4</v>
      </c>
      <c r="M314" s="4894"/>
      <c r="N314" s="23"/>
      <c r="O314" s="2"/>
      <c r="P314" s="2"/>
      <c r="Q314" s="2"/>
    </row>
    <row r="315" spans="1:17" s="1" customFormat="1" ht="15">
      <c r="A315" s="4881"/>
      <c r="B315" s="55"/>
      <c r="C315" s="54"/>
      <c r="D315" s="54"/>
      <c r="E315" s="54"/>
      <c r="F315" s="9"/>
      <c r="G315" s="9"/>
      <c r="H315" s="9"/>
      <c r="I315" s="9"/>
      <c r="J315" s="9"/>
      <c r="K315" s="53"/>
      <c r="L315" s="4894"/>
      <c r="M315" s="4894"/>
      <c r="N315" s="23"/>
      <c r="O315" s="2"/>
      <c r="P315" s="2"/>
      <c r="Q315" s="2"/>
    </row>
    <row r="316" spans="1:17" s="1" customFormat="1" ht="15">
      <c r="A316" s="4881"/>
      <c r="B316" s="28"/>
      <c r="C316" s="9"/>
      <c r="D316" s="9"/>
      <c r="E316" s="9"/>
      <c r="F316" s="9"/>
      <c r="G316" s="9"/>
      <c r="H316" s="9"/>
      <c r="I316" s="9"/>
      <c r="J316" s="9"/>
      <c r="K316" s="9"/>
      <c r="L316" s="9"/>
      <c r="M316" s="9"/>
      <c r="N316" s="23"/>
      <c r="O316" s="2"/>
      <c r="P316" s="2"/>
      <c r="Q316" s="2"/>
    </row>
    <row r="317" spans="1:17" s="1" customFormat="1" ht="18">
      <c r="A317" s="4881"/>
      <c r="B317" s="28"/>
      <c r="C317" s="9"/>
      <c r="D317" s="9"/>
      <c r="E317" s="9"/>
      <c r="F317" s="52" t="s">
        <v>65</v>
      </c>
      <c r="G317" s="50" t="s">
        <v>64</v>
      </c>
      <c r="H317" s="50" t="s">
        <v>63</v>
      </c>
      <c r="I317" s="51" t="s">
        <v>62</v>
      </c>
      <c r="J317" s="50" t="s">
        <v>61</v>
      </c>
      <c r="K317" s="50" t="s">
        <v>60</v>
      </c>
      <c r="L317" s="9"/>
      <c r="M317" s="9"/>
      <c r="N317" s="23"/>
      <c r="O317" s="2"/>
      <c r="P317" s="2"/>
      <c r="Q317" s="2"/>
    </row>
    <row r="318" spans="1:17" s="1" customFormat="1" ht="18">
      <c r="A318" s="4881"/>
      <c r="B318" s="28"/>
      <c r="C318" s="9"/>
      <c r="D318" s="9"/>
      <c r="E318" s="9"/>
      <c r="F318" s="49" t="s">
        <v>59</v>
      </c>
      <c r="G318" s="48">
        <v>0.05</v>
      </c>
      <c r="H318" s="48">
        <v>0.08</v>
      </c>
      <c r="I318" s="48">
        <v>0.11</v>
      </c>
      <c r="J318" s="48">
        <v>0.125</v>
      </c>
      <c r="K318" s="48">
        <v>7.0000000000000007E-2</v>
      </c>
      <c r="L318" s="47">
        <f>SUM(G318:K318)/COUNTIF(G318:K318,"&gt;0")</f>
        <v>8.6999999999999994E-2</v>
      </c>
      <c r="M318" s="24" t="s">
        <v>58</v>
      </c>
      <c r="N318" s="23"/>
      <c r="O318" s="2"/>
      <c r="P318" s="2"/>
      <c r="Q318" s="2"/>
    </row>
    <row r="319" spans="1:17" s="1" customFormat="1" ht="18.75">
      <c r="A319" s="4881"/>
      <c r="B319" s="28"/>
      <c r="C319" s="9"/>
      <c r="D319" s="9"/>
      <c r="E319" s="9"/>
      <c r="F319" s="27" t="s">
        <v>57</v>
      </c>
      <c r="G319" s="46">
        <f>L314/G318</f>
        <v>47.999999999999993</v>
      </c>
      <c r="H319" s="46">
        <f>L314/H318</f>
        <v>30</v>
      </c>
      <c r="I319" s="46">
        <f>L314/I318</f>
        <v>21.818181818181817</v>
      </c>
      <c r="J319" s="46">
        <f>L314/J318</f>
        <v>19.2</v>
      </c>
      <c r="K319" s="46">
        <f>L314/K318</f>
        <v>34.285714285714285</v>
      </c>
      <c r="L319" s="42" t="s">
        <v>56</v>
      </c>
      <c r="M319" s="24"/>
      <c r="N319" s="23"/>
      <c r="O319" s="2"/>
      <c r="P319" s="2"/>
      <c r="Q319" s="2"/>
    </row>
    <row r="320" spans="1:17" s="1" customFormat="1" ht="18.75">
      <c r="A320" s="4881"/>
      <c r="B320" s="45" t="s">
        <v>55</v>
      </c>
      <c r="C320" s="44" t="s">
        <v>54</v>
      </c>
      <c r="D320" s="9"/>
      <c r="E320" s="9"/>
      <c r="F320" s="27"/>
      <c r="G320" s="43"/>
      <c r="H320" s="43"/>
      <c r="I320" s="43"/>
      <c r="J320" s="43"/>
      <c r="K320" s="43"/>
      <c r="L320" s="42"/>
      <c r="M320" s="24"/>
      <c r="N320" s="23"/>
      <c r="O320" s="2"/>
      <c r="P320" s="2"/>
      <c r="Q320" s="2"/>
    </row>
    <row r="321" spans="1:17" s="1" customFormat="1" ht="15">
      <c r="A321" s="4881"/>
      <c r="B321" s="4895" t="s">
        <v>53</v>
      </c>
      <c r="C321" s="4896"/>
      <c r="D321" s="4896"/>
      <c r="E321" s="4896"/>
      <c r="F321" s="4896"/>
      <c r="G321" s="4896"/>
      <c r="H321" s="4896"/>
      <c r="I321" s="4896"/>
      <c r="J321" s="4896"/>
      <c r="K321" s="4896"/>
      <c r="L321" s="4896"/>
      <c r="M321" s="4896"/>
      <c r="N321" s="4897"/>
      <c r="O321" s="2"/>
      <c r="P321" s="2"/>
      <c r="Q321" s="2"/>
    </row>
    <row r="322" spans="1:17" s="1" customFormat="1">
      <c r="A322" s="4881"/>
      <c r="B322" s="41"/>
      <c r="C322" s="40"/>
      <c r="D322" s="40"/>
      <c r="E322" s="40"/>
      <c r="F322" s="9"/>
      <c r="G322" s="9"/>
      <c r="H322" s="25"/>
      <c r="I322" s="25"/>
      <c r="J322" s="25"/>
      <c r="K322" s="25"/>
      <c r="L322" s="4898" t="s">
        <v>44</v>
      </c>
      <c r="M322" s="4898"/>
      <c r="N322" s="23"/>
      <c r="O322" s="2"/>
      <c r="P322" s="2"/>
      <c r="Q322" s="2"/>
    </row>
    <row r="323" spans="1:17" s="1" customFormat="1">
      <c r="A323" s="4881"/>
      <c r="B323" s="41"/>
      <c r="C323" s="40"/>
      <c r="D323" s="40"/>
      <c r="E323" s="40"/>
      <c r="F323" s="9"/>
      <c r="G323" s="9"/>
      <c r="H323" s="25"/>
      <c r="I323" s="25"/>
      <c r="J323" s="25"/>
      <c r="K323" s="39" t="s">
        <v>52</v>
      </c>
      <c r="L323" s="4899" t="s">
        <v>42</v>
      </c>
      <c r="M323" s="4900"/>
      <c r="N323" s="23"/>
      <c r="O323" s="2"/>
      <c r="P323" s="2"/>
      <c r="Q323" s="2"/>
    </row>
    <row r="324" spans="1:17" s="1" customFormat="1" ht="18">
      <c r="A324" s="4881"/>
      <c r="B324" s="28"/>
      <c r="C324" s="9"/>
      <c r="D324" s="25"/>
      <c r="E324" s="25"/>
      <c r="F324" s="25"/>
      <c r="G324" s="25"/>
      <c r="H324" s="25"/>
      <c r="I324" s="25"/>
      <c r="J324" s="25"/>
      <c r="K324" s="25"/>
      <c r="L324" s="25"/>
      <c r="M324" s="24"/>
      <c r="N324" s="23"/>
      <c r="O324" s="2"/>
      <c r="P324" s="2"/>
      <c r="Q324" s="2"/>
    </row>
    <row r="325" spans="1:17" s="1" customFormat="1" ht="18.75">
      <c r="A325" s="4881"/>
      <c r="B325" s="28"/>
      <c r="C325" s="9"/>
      <c r="D325" s="9"/>
      <c r="E325" s="9"/>
      <c r="F325" s="38" t="s">
        <v>51</v>
      </c>
      <c r="G325" s="37">
        <v>50</v>
      </c>
      <c r="H325" s="37">
        <v>500</v>
      </c>
      <c r="I325" s="37">
        <v>150</v>
      </c>
      <c r="J325" s="37">
        <v>13</v>
      </c>
      <c r="K325" s="37">
        <v>13</v>
      </c>
      <c r="L325" s="25">
        <f>SUM(G325:K325)</f>
        <v>726</v>
      </c>
      <c r="M325" s="24" t="s">
        <v>50</v>
      </c>
      <c r="N325" s="23"/>
      <c r="O325" s="2"/>
      <c r="P325" s="2"/>
      <c r="Q325" s="2"/>
    </row>
    <row r="326" spans="1:17" s="1" customFormat="1" ht="18.75">
      <c r="A326" s="4881"/>
      <c r="B326" s="28"/>
      <c r="C326" s="9"/>
      <c r="D326" s="9"/>
      <c r="E326" s="9"/>
      <c r="F326" s="27" t="s">
        <v>49</v>
      </c>
      <c r="G326" s="36">
        <f>G318*G325</f>
        <v>2.5</v>
      </c>
      <c r="H326" s="36">
        <f>H318*H325</f>
        <v>40</v>
      </c>
      <c r="I326" s="36">
        <f>I318*I325</f>
        <v>16.5</v>
      </c>
      <c r="J326" s="36">
        <f>J318*J325</f>
        <v>1.625</v>
      </c>
      <c r="K326" s="36">
        <f>K318*K325</f>
        <v>0.91000000000000014</v>
      </c>
      <c r="L326" s="25">
        <f>SUM(G326:K326)</f>
        <v>61.534999999999997</v>
      </c>
      <c r="M326" s="24" t="str">
        <f>L323</f>
        <v>Kg</v>
      </c>
      <c r="N326" s="23"/>
      <c r="O326" s="2"/>
      <c r="P326" s="2"/>
      <c r="Q326" s="2"/>
    </row>
    <row r="327" spans="1:17" s="1" customFormat="1" ht="15">
      <c r="A327" s="4881"/>
      <c r="B327" s="28"/>
      <c r="C327" s="9"/>
      <c r="D327" s="9"/>
      <c r="E327" s="9"/>
      <c r="F327" s="9"/>
      <c r="G327" s="35" t="str">
        <f>L323</f>
        <v>Kg</v>
      </c>
      <c r="H327" s="35" t="str">
        <f>L323</f>
        <v>Kg</v>
      </c>
      <c r="I327" s="35" t="str">
        <f>L323</f>
        <v>Kg</v>
      </c>
      <c r="J327" s="35" t="str">
        <f>L323</f>
        <v>Kg</v>
      </c>
      <c r="K327" s="35" t="str">
        <f>L323</f>
        <v>Kg</v>
      </c>
      <c r="L327" s="9"/>
      <c r="M327" s="30"/>
      <c r="N327" s="23"/>
      <c r="O327" s="2"/>
      <c r="P327" s="2"/>
      <c r="Q327" s="2"/>
    </row>
    <row r="328" spans="1:17" s="1" customFormat="1" ht="18">
      <c r="A328" s="4881"/>
      <c r="B328" s="34"/>
      <c r="C328" s="33" t="s">
        <v>48</v>
      </c>
      <c r="D328" s="32">
        <v>50</v>
      </c>
      <c r="E328" s="31" t="s">
        <v>46</v>
      </c>
      <c r="H328" s="9"/>
      <c r="I328" s="9"/>
      <c r="J328" s="9"/>
      <c r="K328" s="9"/>
      <c r="L328" s="9"/>
      <c r="M328" s="30"/>
      <c r="N328" s="23"/>
      <c r="O328" s="2"/>
      <c r="P328" s="2"/>
      <c r="Q328" s="2"/>
    </row>
    <row r="329" spans="1:17" s="1" customFormat="1" ht="18">
      <c r="A329" s="4881"/>
      <c r="B329" s="28"/>
      <c r="C329" s="9"/>
      <c r="D329" s="9"/>
      <c r="E329" s="9"/>
      <c r="F329" s="27" t="s">
        <v>47</v>
      </c>
      <c r="G329" s="29">
        <f>G326/(100-D328)*100</f>
        <v>5</v>
      </c>
      <c r="H329" s="29">
        <f>H326/(100-D328)*100</f>
        <v>80</v>
      </c>
      <c r="I329" s="29">
        <f>I326/(100-D328)*100</f>
        <v>33</v>
      </c>
      <c r="J329" s="29">
        <f>J326/(100-D328)*100</f>
        <v>3.25</v>
      </c>
      <c r="K329" s="29">
        <f>K326/(100-D328)*100</f>
        <v>1.8200000000000005</v>
      </c>
      <c r="L329" s="25">
        <f>SUM(G329:K329)</f>
        <v>123.07000000000001</v>
      </c>
      <c r="M329" s="24" t="str">
        <f>L323</f>
        <v>Kg</v>
      </c>
      <c r="N329" s="23"/>
      <c r="O329" s="2"/>
      <c r="P329" s="2"/>
      <c r="Q329" s="2"/>
    </row>
    <row r="330" spans="1:17" s="1" customFormat="1" ht="18">
      <c r="A330" s="4881"/>
      <c r="B330" s="28"/>
      <c r="C330" s="9"/>
      <c r="D330" s="9"/>
      <c r="E330" s="9"/>
      <c r="F330" s="27"/>
      <c r="G330" s="26" t="str">
        <f>L323</f>
        <v>Kg</v>
      </c>
      <c r="H330" s="26" t="str">
        <f>L323</f>
        <v>Kg</v>
      </c>
      <c r="I330" s="26" t="str">
        <f>L323</f>
        <v>Kg</v>
      </c>
      <c r="J330" s="26" t="str">
        <f>L323</f>
        <v>Kg</v>
      </c>
      <c r="K330" s="26" t="str">
        <f>L323</f>
        <v>Kg</v>
      </c>
      <c r="L330" s="25"/>
      <c r="M330" s="24"/>
      <c r="N330" s="23"/>
      <c r="O330" s="2"/>
      <c r="P330" s="2"/>
      <c r="Q330" s="2"/>
    </row>
    <row r="331" spans="1:17" s="1" customFormat="1">
      <c r="A331" s="4881"/>
      <c r="B331" s="22" t="s">
        <v>46</v>
      </c>
      <c r="C331" s="21" t="s">
        <v>45</v>
      </c>
      <c r="D331" s="20"/>
      <c r="E331" s="20"/>
      <c r="F331" s="20"/>
      <c r="G331" s="20"/>
      <c r="H331" s="20"/>
      <c r="I331" s="20"/>
      <c r="J331" s="20"/>
      <c r="K331" s="20"/>
      <c r="L331" s="20"/>
      <c r="M331" s="20"/>
      <c r="N331" s="19"/>
      <c r="O331" s="2"/>
      <c r="P331" s="2"/>
      <c r="Q331" s="2"/>
    </row>
    <row r="332" spans="1:17" s="1" customFormat="1" ht="18.75">
      <c r="A332" s="4881"/>
      <c r="B332" s="18" t="s">
        <v>44</v>
      </c>
      <c r="C332" s="17" t="s">
        <v>43</v>
      </c>
      <c r="D332" s="16"/>
      <c r="E332" s="16"/>
      <c r="F332" s="16"/>
      <c r="G332" s="16"/>
      <c r="H332" s="16"/>
      <c r="I332" s="16"/>
      <c r="J332" s="16"/>
      <c r="K332" s="16"/>
      <c r="L332" s="16"/>
      <c r="M332" s="16"/>
      <c r="N332" s="15"/>
      <c r="O332" s="2"/>
      <c r="P332" s="2"/>
      <c r="Q332" s="2"/>
    </row>
    <row r="333" spans="1:17" s="1" customFormat="1" ht="18.75">
      <c r="A333" s="4881"/>
      <c r="B333" s="14"/>
      <c r="C333" s="4899" t="s">
        <v>42</v>
      </c>
      <c r="D333" s="4900"/>
      <c r="E333" s="13"/>
      <c r="F333" s="4899" t="s">
        <v>41</v>
      </c>
      <c r="G333" s="4900"/>
      <c r="H333" s="13"/>
      <c r="I333" s="4899" t="s">
        <v>40</v>
      </c>
      <c r="J333" s="4900"/>
      <c r="K333" s="13"/>
      <c r="L333" s="4899" t="s">
        <v>39</v>
      </c>
      <c r="M333" s="4900"/>
      <c r="N333" s="12"/>
      <c r="O333" s="2"/>
      <c r="P333" s="2"/>
      <c r="Q333" s="2"/>
    </row>
    <row r="334" spans="1:17" s="1" customFormat="1" ht="18.75">
      <c r="A334" s="4881"/>
      <c r="B334" s="14"/>
      <c r="C334" s="13"/>
      <c r="D334" s="13"/>
      <c r="E334" s="13"/>
      <c r="F334" s="13"/>
      <c r="G334" s="13"/>
      <c r="H334" s="13"/>
      <c r="I334" s="13"/>
      <c r="J334" s="13"/>
      <c r="K334" s="13"/>
      <c r="L334" s="13"/>
      <c r="M334" s="13"/>
      <c r="N334" s="12"/>
      <c r="O334" s="2"/>
      <c r="P334" s="2"/>
      <c r="Q334" s="2"/>
    </row>
    <row r="335" spans="1:17" s="1" customFormat="1" ht="15">
      <c r="A335" s="4881"/>
      <c r="B335" s="4835" t="s">
        <v>38</v>
      </c>
      <c r="C335" s="4836"/>
      <c r="D335" s="4836"/>
      <c r="E335" s="4836"/>
      <c r="F335" s="4836"/>
      <c r="G335" s="4836"/>
      <c r="H335" s="4836"/>
      <c r="I335" s="4836"/>
      <c r="J335" s="4836"/>
      <c r="K335" s="4836"/>
      <c r="L335" s="4836"/>
      <c r="M335" s="4836"/>
      <c r="N335" s="4837"/>
      <c r="O335" s="2"/>
      <c r="P335" s="2"/>
      <c r="Q335" s="2"/>
    </row>
    <row r="336" spans="1:17" s="1" customFormat="1" ht="15">
      <c r="A336" s="4881"/>
      <c r="B336" s="4838"/>
      <c r="C336" s="4839"/>
      <c r="D336" s="4839"/>
      <c r="E336" s="4839"/>
      <c r="F336" s="4839"/>
      <c r="G336" s="4839"/>
      <c r="H336" s="4839"/>
      <c r="I336" s="4839"/>
      <c r="J336" s="4839"/>
      <c r="K336" s="4839"/>
      <c r="L336" s="4839"/>
      <c r="M336" s="4839"/>
      <c r="N336" s="4840"/>
      <c r="O336" s="2"/>
      <c r="P336" s="2"/>
      <c r="Q336" s="2"/>
    </row>
    <row r="337" spans="1:17" s="1" customFormat="1" ht="15">
      <c r="A337" s="4881"/>
      <c r="B337" s="11" t="s">
        <v>37</v>
      </c>
      <c r="C337" s="4841" t="str">
        <f ca="1">CELL("nomfichier")</f>
        <v>D:\Données\Copie_ancien_DD\0-UPRT.fait\1-UPRT.FR-SITE-WEB\ff-fiches-fabrications\ff-fiches-fabrication-maj-08-2020\[ff-22-formats-formules-pourcentages.xlsx]Epurer.un.texte</v>
      </c>
      <c r="D337" s="4841"/>
      <c r="E337" s="4841"/>
      <c r="F337" s="4841"/>
      <c r="G337" s="4841"/>
      <c r="H337" s="4841"/>
      <c r="I337" s="4841"/>
      <c r="J337" s="4841"/>
      <c r="K337" s="4841"/>
      <c r="L337" s="4841"/>
      <c r="M337" s="4841"/>
      <c r="N337" s="4842"/>
      <c r="O337" s="2"/>
      <c r="P337" s="2"/>
      <c r="Q337" s="2"/>
    </row>
    <row r="338" spans="1:17" s="1" customFormat="1" ht="15">
      <c r="A338" s="4881"/>
      <c r="B338" s="10" t="s">
        <v>36</v>
      </c>
      <c r="C338" s="4843" t="s">
        <v>35</v>
      </c>
      <c r="D338" s="4843"/>
      <c r="E338" s="4843"/>
      <c r="F338" s="4843"/>
      <c r="G338" s="4843"/>
      <c r="H338" s="4843"/>
      <c r="I338" s="4843"/>
      <c r="J338" s="4843"/>
      <c r="K338" s="4843"/>
      <c r="L338" s="4843"/>
      <c r="M338" s="4843"/>
      <c r="N338" s="4844"/>
      <c r="O338" s="2"/>
      <c r="P338" s="2"/>
      <c r="Q338" s="2"/>
    </row>
    <row r="339" spans="1:17" s="1" customFormat="1" thickBot="1">
      <c r="A339" s="4881"/>
      <c r="B339" s="4845" t="s">
        <v>34</v>
      </c>
      <c r="C339" s="4846"/>
      <c r="D339" s="4846"/>
      <c r="E339" s="4846"/>
      <c r="F339" s="4846"/>
      <c r="G339" s="4846"/>
      <c r="H339" s="4846"/>
      <c r="I339" s="4846"/>
      <c r="J339" s="4846"/>
      <c r="K339" s="4846"/>
      <c r="L339" s="4846"/>
      <c r="M339" s="4846"/>
      <c r="N339" s="4847"/>
      <c r="O339" s="2"/>
      <c r="P339" s="2"/>
      <c r="Q339" s="2"/>
    </row>
    <row r="340" spans="1:17" s="1" customFormat="1" ht="15.75" customHeight="1">
      <c r="A340" s="2"/>
      <c r="B340" s="572"/>
      <c r="C340" s="572"/>
      <c r="D340" s="572"/>
      <c r="E340" s="572"/>
      <c r="F340" s="572"/>
      <c r="G340" s="572"/>
      <c r="H340" s="3"/>
      <c r="I340" s="490"/>
      <c r="J340" s="490"/>
      <c r="K340" s="139"/>
      <c r="L340" s="139"/>
      <c r="M340" s="490"/>
      <c r="N340" s="490"/>
      <c r="O340" s="2"/>
      <c r="P340" s="2"/>
      <c r="Q340" s="2"/>
    </row>
    <row r="341" spans="1:17" s="1" customFormat="1" thickBot="1">
      <c r="A341" s="2"/>
      <c r="B341" s="572"/>
      <c r="C341" s="572"/>
      <c r="D341" s="572"/>
      <c r="E341" s="572"/>
      <c r="F341" s="572"/>
      <c r="G341" s="572"/>
      <c r="H341" s="3"/>
      <c r="I341" s="490"/>
      <c r="J341" s="490"/>
      <c r="K341" s="139"/>
      <c r="L341" s="139"/>
      <c r="M341" s="490"/>
      <c r="N341" s="490"/>
      <c r="O341" s="2"/>
      <c r="P341" s="2"/>
      <c r="Q341" s="2"/>
    </row>
    <row r="342" spans="1:17" s="1" customFormat="1" ht="15.75" customHeight="1">
      <c r="A342" s="307" t="s">
        <v>70</v>
      </c>
      <c r="B342" s="344" t="s">
        <v>325</v>
      </c>
      <c r="C342" s="577"/>
      <c r="D342" s="343"/>
      <c r="E342" s="342"/>
      <c r="F342" s="2"/>
      <c r="G342" s="578" t="s">
        <v>70</v>
      </c>
      <c r="H342" s="341" t="s">
        <v>324</v>
      </c>
      <c r="I342" s="340"/>
      <c r="J342" s="339"/>
      <c r="K342" s="339"/>
      <c r="L342" s="339"/>
      <c r="M342" s="339"/>
      <c r="N342" s="338"/>
      <c r="O342" s="2"/>
      <c r="P342" s="2"/>
      <c r="Q342" s="2"/>
    </row>
    <row r="343" spans="1:17" s="1" customFormat="1" ht="18.75">
      <c r="A343" s="4785" t="str">
        <f>B342</f>
        <v xml:space="preserve">Quantités nettes à prévoir : Mater Prim Adul Adul +  </v>
      </c>
      <c r="B343" s="533" t="str">
        <f>ADDRESS(ROW(),COLUMN(),4)</f>
        <v>B343</v>
      </c>
      <c r="C343" s="534" t="s">
        <v>691</v>
      </c>
      <c r="D343" s="535"/>
      <c r="E343" s="536"/>
      <c r="F343" s="2"/>
      <c r="G343" s="4785" t="str">
        <f>H342</f>
        <v>PURÉE DÉSHYDRATÉE</v>
      </c>
      <c r="H343" s="533" t="str">
        <f>ADDRESS(ROW(),COLUMN(),4)</f>
        <v>H343</v>
      </c>
      <c r="I343" s="534" t="s">
        <v>691</v>
      </c>
      <c r="J343" s="535"/>
      <c r="K343" s="537"/>
      <c r="L343" s="537"/>
      <c r="M343" s="537"/>
      <c r="N343" s="538"/>
      <c r="O343" s="2"/>
      <c r="P343" s="2"/>
      <c r="Q343" s="2"/>
    </row>
    <row r="344" spans="1:17" s="1" customFormat="1" ht="25.5">
      <c r="A344" s="4785"/>
      <c r="B344" s="4848" t="s">
        <v>323</v>
      </c>
      <c r="C344" s="4849"/>
      <c r="D344" s="4852" t="s">
        <v>322</v>
      </c>
      <c r="E344" s="4854">
        <f>(B346*B349)+(C346*C349)+(D346*D349)+(E346*E349)</f>
        <v>228.85000000000002</v>
      </c>
      <c r="F344" s="2"/>
      <c r="G344" s="4785"/>
      <c r="H344" s="337" t="s">
        <v>321</v>
      </c>
      <c r="I344" s="579" t="s">
        <v>320</v>
      </c>
      <c r="J344" s="579" t="s">
        <v>319</v>
      </c>
      <c r="K344" s="579" t="s">
        <v>318</v>
      </c>
      <c r="L344" s="579" t="s">
        <v>317</v>
      </c>
      <c r="M344" s="579" t="s">
        <v>316</v>
      </c>
      <c r="N344" s="336" t="s">
        <v>315</v>
      </c>
      <c r="O344" s="2"/>
      <c r="P344" s="2"/>
      <c r="Q344" s="2"/>
    </row>
    <row r="345" spans="1:17" s="1" customFormat="1" ht="15">
      <c r="A345" s="4785"/>
      <c r="B345" s="4850"/>
      <c r="C345" s="4851"/>
      <c r="D345" s="4853"/>
      <c r="E345" s="4855"/>
      <c r="F345" s="2"/>
      <c r="G345" s="4785"/>
      <c r="H345" s="4856">
        <v>0.12</v>
      </c>
      <c r="I345" s="4832">
        <v>1</v>
      </c>
      <c r="J345" s="4832">
        <v>0.11</v>
      </c>
      <c r="K345" s="4832">
        <v>0</v>
      </c>
      <c r="L345" s="4832">
        <v>0.01</v>
      </c>
      <c r="M345" s="4832">
        <v>5.0000000000000001E-3</v>
      </c>
      <c r="N345" s="4833">
        <f>SUM(H345:M345)</f>
        <v>1.2450000000000001</v>
      </c>
      <c r="O345" s="2"/>
      <c r="P345" s="2"/>
      <c r="Q345" s="2"/>
    </row>
    <row r="346" spans="1:17" s="1" customFormat="1" ht="15">
      <c r="A346" s="4785"/>
      <c r="B346" s="4867">
        <v>6.5000000000000002E-2</v>
      </c>
      <c r="C346" s="4869">
        <v>7.4999999999999997E-2</v>
      </c>
      <c r="D346" s="4869">
        <v>0.12</v>
      </c>
      <c r="E346" s="4871">
        <v>0.15</v>
      </c>
      <c r="F346" s="2"/>
      <c r="G346" s="4785"/>
      <c r="H346" s="4856"/>
      <c r="I346" s="4832"/>
      <c r="J346" s="4832"/>
      <c r="K346" s="4832"/>
      <c r="L346" s="4832"/>
      <c r="M346" s="4832"/>
      <c r="N346" s="4833"/>
      <c r="O346" s="2"/>
      <c r="P346" s="2"/>
      <c r="Q346" s="2"/>
    </row>
    <row r="347" spans="1:17" s="1" customFormat="1" ht="15">
      <c r="A347" s="4785"/>
      <c r="B347" s="4868"/>
      <c r="C347" s="4870"/>
      <c r="D347" s="4870"/>
      <c r="E347" s="4872"/>
      <c r="F347" s="2"/>
      <c r="G347" s="4785"/>
      <c r="H347" s="4830">
        <f>(H345/N345)*N347</f>
        <v>2.1204819277108431</v>
      </c>
      <c r="I347" s="4831">
        <f>(I345/N345)*N347</f>
        <v>17.670682730923691</v>
      </c>
      <c r="J347" s="4831">
        <f>(J345/N345)*N347</f>
        <v>1.9437751004016062</v>
      </c>
      <c r="K347" s="4831">
        <f>(K345/N345)*N347</f>
        <v>0</v>
      </c>
      <c r="L347" s="4831">
        <f>(L345/N345)*N347</f>
        <v>0.17670682730923692</v>
      </c>
      <c r="M347" s="4831">
        <f>(M345/N345)*N347</f>
        <v>8.8353413654618462E-2</v>
      </c>
      <c r="N347" s="4857">
        <v>22</v>
      </c>
      <c r="O347" s="2"/>
      <c r="P347" s="2"/>
      <c r="Q347" s="2"/>
    </row>
    <row r="348" spans="1:17" s="1" customFormat="1" ht="15">
      <c r="A348" s="4785"/>
      <c r="B348" s="817" t="s">
        <v>314</v>
      </c>
      <c r="C348" s="818" t="s">
        <v>313</v>
      </c>
      <c r="D348" s="818" t="s">
        <v>312</v>
      </c>
      <c r="E348" s="819" t="s">
        <v>61</v>
      </c>
      <c r="F348" s="2"/>
      <c r="G348" s="4785"/>
      <c r="H348" s="4830"/>
      <c r="I348" s="4831"/>
      <c r="J348" s="4831"/>
      <c r="K348" s="4831"/>
      <c r="L348" s="4831"/>
      <c r="M348" s="4831"/>
      <c r="N348" s="4857"/>
      <c r="O348" s="2"/>
      <c r="P348" s="2"/>
      <c r="Q348" s="2"/>
    </row>
    <row r="349" spans="1:17" s="1" customFormat="1" ht="15" customHeight="1">
      <c r="A349" s="4785"/>
      <c r="B349" s="4858">
        <v>920</v>
      </c>
      <c r="C349" s="4860">
        <v>1700</v>
      </c>
      <c r="D349" s="4860">
        <v>240</v>
      </c>
      <c r="E349" s="4862">
        <v>85</v>
      </c>
      <c r="F349" s="2"/>
      <c r="G349" s="4785"/>
      <c r="H349" s="4864" t="s">
        <v>311</v>
      </c>
      <c r="I349" s="4865"/>
      <c r="J349" s="4865"/>
      <c r="K349" s="4865"/>
      <c r="L349" s="4865"/>
      <c r="M349" s="4865"/>
      <c r="N349" s="4866"/>
      <c r="O349" s="2"/>
      <c r="P349" s="2"/>
      <c r="Q349" s="2"/>
    </row>
    <row r="350" spans="1:17" s="1" customFormat="1" ht="15" customHeight="1">
      <c r="A350" s="4785"/>
      <c r="B350" s="4859"/>
      <c r="C350" s="4861"/>
      <c r="D350" s="4861"/>
      <c r="E350" s="4863"/>
      <c r="F350" s="2"/>
      <c r="G350" s="4785"/>
      <c r="H350" s="4828">
        <f t="shared" ref="H350:M350" si="11">ROUNDUP(H347,2)</f>
        <v>2.13</v>
      </c>
      <c r="I350" s="4829">
        <f t="shared" si="11"/>
        <v>17.680000000000003</v>
      </c>
      <c r="J350" s="4829">
        <f t="shared" si="11"/>
        <v>1.95</v>
      </c>
      <c r="K350" s="4829">
        <f t="shared" si="11"/>
        <v>0</v>
      </c>
      <c r="L350" s="4829">
        <f t="shared" si="11"/>
        <v>0.18000000000000002</v>
      </c>
      <c r="M350" s="4829">
        <f t="shared" si="11"/>
        <v>0.09</v>
      </c>
      <c r="N350" s="4834">
        <f>SUM(H350:M350)</f>
        <v>22.03</v>
      </c>
      <c r="O350" s="2"/>
      <c r="P350" s="2"/>
      <c r="Q350" s="2"/>
    </row>
    <row r="351" spans="1:17" s="1" customFormat="1" ht="15.75" customHeight="1">
      <c r="A351" s="4785"/>
      <c r="B351" s="4817" t="s">
        <v>310</v>
      </c>
      <c r="C351" s="4819">
        <f>SUM(B349:E349)</f>
        <v>2945</v>
      </c>
      <c r="D351" s="4821" t="s">
        <v>309</v>
      </c>
      <c r="E351" s="4823">
        <f>IF(E344=0,0,E344/D346)</f>
        <v>1907.0833333333335</v>
      </c>
      <c r="F351" s="2"/>
      <c r="G351" s="4785"/>
      <c r="H351" s="4828"/>
      <c r="I351" s="4829"/>
      <c r="J351" s="4829"/>
      <c r="K351" s="4829"/>
      <c r="L351" s="4829"/>
      <c r="M351" s="4829"/>
      <c r="N351" s="4834"/>
      <c r="O351" s="2"/>
      <c r="P351" s="2"/>
      <c r="Q351" s="2"/>
    </row>
    <row r="352" spans="1:17" s="1" customFormat="1" ht="15.75" customHeight="1" thickBot="1">
      <c r="A352" s="4785"/>
      <c r="B352" s="4818"/>
      <c r="C352" s="4820"/>
      <c r="D352" s="4822"/>
      <c r="E352" s="4824"/>
      <c r="F352" s="2"/>
      <c r="G352" s="4785"/>
      <c r="H352" s="4825" t="s">
        <v>258</v>
      </c>
      <c r="I352" s="4826"/>
      <c r="J352" s="4826"/>
      <c r="K352" s="4826"/>
      <c r="L352" s="4826"/>
      <c r="M352" s="4826"/>
      <c r="N352" s="4827"/>
      <c r="O352" s="2"/>
      <c r="P352" s="2"/>
      <c r="Q352" s="2"/>
    </row>
    <row r="353" spans="1:17" s="1" customFormat="1" ht="16.5" thickBot="1">
      <c r="A353" s="4785"/>
      <c r="B353" s="4808" t="s">
        <v>687</v>
      </c>
      <c r="C353" s="4809"/>
      <c r="D353" s="4809"/>
      <c r="E353" s="4810"/>
      <c r="F353" s="2"/>
      <c r="G353" s="4785"/>
      <c r="H353" s="4808" t="s">
        <v>687</v>
      </c>
      <c r="I353" s="4809"/>
      <c r="J353" s="4809"/>
      <c r="K353" s="4809"/>
      <c r="L353" s="580"/>
      <c r="M353" s="580"/>
      <c r="N353" s="581"/>
      <c r="O353" s="3"/>
      <c r="P353" s="3"/>
      <c r="Q353" s="3"/>
    </row>
    <row r="354" spans="1:17" s="1" customFormat="1" thickBot="1">
      <c r="A354" s="2"/>
      <c r="B354" s="3"/>
      <c r="C354" s="3"/>
      <c r="D354" s="3"/>
      <c r="E354" s="3"/>
      <c r="F354" s="3"/>
      <c r="G354" s="3"/>
      <c r="H354" s="3"/>
      <c r="I354" s="3"/>
      <c r="J354" s="3"/>
      <c r="K354" s="3"/>
      <c r="L354" s="3"/>
      <c r="M354" s="3"/>
      <c r="N354" s="3"/>
      <c r="O354" s="3"/>
      <c r="P354" s="3"/>
      <c r="Q354" s="3"/>
    </row>
    <row r="355" spans="1:17" s="1" customFormat="1" ht="18.75">
      <c r="A355" s="307" t="s">
        <v>70</v>
      </c>
      <c r="B355" s="4781" t="str">
        <f>B357</f>
        <v>Gélatine alimentaire</v>
      </c>
      <c r="C355" s="4782"/>
      <c r="D355" s="4782"/>
      <c r="E355" s="4782"/>
      <c r="F355" s="4782"/>
      <c r="G355" s="4782"/>
      <c r="H355" s="4782"/>
      <c r="I355" s="4782"/>
      <c r="J355" s="4782"/>
      <c r="K355" s="4782"/>
      <c r="L355" s="4782"/>
      <c r="M355" s="4782"/>
      <c r="N355" s="4783"/>
      <c r="O355" s="2"/>
      <c r="P355" s="2"/>
      <c r="Q355" s="2"/>
    </row>
    <row r="356" spans="1:17" s="1" customFormat="1" ht="22.5" customHeight="1">
      <c r="A356" s="4784" t="str">
        <f>B357</f>
        <v>Gélatine alimentaire</v>
      </c>
      <c r="B356" s="533" t="str">
        <f>ADDRESS(ROW(),COLUMN(),4)</f>
        <v>B356</v>
      </c>
      <c r="C356" s="534" t="s">
        <v>691</v>
      </c>
      <c r="D356" s="535"/>
      <c r="E356" s="535"/>
      <c r="F356" s="535"/>
      <c r="G356" s="535"/>
      <c r="H356" s="535"/>
      <c r="I356" s="535"/>
      <c r="J356" s="535"/>
      <c r="K356" s="535"/>
      <c r="L356" s="535"/>
      <c r="M356" s="535"/>
      <c r="N356" s="536"/>
      <c r="O356" s="2"/>
      <c r="P356" s="2"/>
      <c r="Q356" s="2"/>
    </row>
    <row r="357" spans="1:17" s="1" customFormat="1" ht="15" customHeight="1">
      <c r="A357" s="4785"/>
      <c r="B357" s="4786" t="s">
        <v>308</v>
      </c>
      <c r="C357" s="4787"/>
      <c r="D357" s="4787"/>
      <c r="E357" s="4787"/>
      <c r="F357" s="4787"/>
      <c r="G357" s="4787"/>
      <c r="H357" s="4787"/>
      <c r="I357" s="4787"/>
      <c r="J357" s="4787"/>
      <c r="K357" s="4787"/>
      <c r="L357" s="4787"/>
      <c r="M357" s="4787"/>
      <c r="N357" s="4788"/>
      <c r="O357" s="2"/>
      <c r="P357" s="2"/>
      <c r="Q357" s="2"/>
    </row>
    <row r="358" spans="1:17" s="1" customFormat="1" ht="15" customHeight="1">
      <c r="A358" s="4785"/>
      <c r="B358" s="4786"/>
      <c r="C358" s="4787"/>
      <c r="D358" s="4787"/>
      <c r="E358" s="4787"/>
      <c r="F358" s="4787"/>
      <c r="G358" s="4787"/>
      <c r="H358" s="4787"/>
      <c r="I358" s="4787"/>
      <c r="J358" s="4787"/>
      <c r="K358" s="4787"/>
      <c r="L358" s="4787"/>
      <c r="M358" s="4787"/>
      <c r="N358" s="4788"/>
      <c r="O358" s="2"/>
      <c r="P358" s="2"/>
      <c r="Q358" s="2"/>
    </row>
    <row r="359" spans="1:17" s="1" customFormat="1" ht="15" customHeight="1">
      <c r="A359" s="4785"/>
      <c r="B359" s="4789" t="s">
        <v>307</v>
      </c>
      <c r="C359" s="4790"/>
      <c r="D359" s="4790"/>
      <c r="E359" s="4790"/>
      <c r="F359" s="4790"/>
      <c r="G359" s="4790"/>
      <c r="H359" s="4790"/>
      <c r="I359" s="4790"/>
      <c r="J359" s="4790"/>
      <c r="K359" s="4790"/>
      <c r="L359" s="4790"/>
      <c r="M359" s="4790"/>
      <c r="N359" s="4791"/>
      <c r="O359" s="2"/>
      <c r="P359" s="2"/>
      <c r="Q359" s="2"/>
    </row>
    <row r="360" spans="1:17" s="1" customFormat="1" ht="15.75" customHeight="1">
      <c r="A360" s="4785"/>
      <c r="B360" s="4792"/>
      <c r="C360" s="4793"/>
      <c r="D360" s="4793"/>
      <c r="E360" s="4793"/>
      <c r="F360" s="4793"/>
      <c r="G360" s="4793"/>
      <c r="H360" s="4793"/>
      <c r="I360" s="4793"/>
      <c r="J360" s="4793"/>
      <c r="K360" s="4793"/>
      <c r="L360" s="4793"/>
      <c r="M360" s="4793"/>
      <c r="N360" s="4794"/>
      <c r="O360" s="2"/>
      <c r="P360" s="2"/>
      <c r="Q360" s="2"/>
    </row>
    <row r="361" spans="1:17" s="1" customFormat="1" ht="15.75" customHeight="1">
      <c r="A361" s="4785"/>
      <c r="B361" s="314"/>
      <c r="C361" s="268"/>
      <c r="D361" s="268"/>
      <c r="E361" s="268"/>
      <c r="F361" s="268"/>
      <c r="G361" s="268"/>
      <c r="H361" s="268"/>
      <c r="I361" s="268"/>
      <c r="J361" s="268"/>
      <c r="K361" s="268"/>
      <c r="L361" s="268"/>
      <c r="M361" s="268"/>
      <c r="N361" s="335" t="s">
        <v>275</v>
      </c>
      <c r="O361" s="2"/>
      <c r="P361" s="2"/>
      <c r="Q361" s="2"/>
    </row>
    <row r="362" spans="1:17" s="1" customFormat="1" ht="16.5" customHeight="1">
      <c r="A362" s="4785"/>
      <c r="B362" s="314"/>
      <c r="C362" s="334" t="s">
        <v>306</v>
      </c>
      <c r="D362" s="268"/>
      <c r="E362" s="268"/>
      <c r="F362" s="268"/>
      <c r="G362" s="268"/>
      <c r="H362" s="268"/>
      <c r="I362" s="268"/>
      <c r="J362" s="268"/>
      <c r="K362" s="268"/>
      <c r="L362" s="268"/>
      <c r="M362" s="268"/>
      <c r="N362" s="308"/>
      <c r="O362" s="2"/>
      <c r="P362" s="2"/>
      <c r="Q362" s="2"/>
    </row>
    <row r="363" spans="1:17" s="1" customFormat="1" ht="15.75" customHeight="1">
      <c r="A363" s="4785"/>
      <c r="B363" s="314"/>
      <c r="C363" s="334" t="s">
        <v>305</v>
      </c>
      <c r="D363" s="268"/>
      <c r="E363" s="268"/>
      <c r="F363" s="268"/>
      <c r="G363" s="268"/>
      <c r="H363" s="268"/>
      <c r="I363" s="268"/>
      <c r="J363" s="268"/>
      <c r="K363" s="268"/>
      <c r="L363" s="268"/>
      <c r="M363" s="268"/>
      <c r="N363" s="308"/>
      <c r="O363" s="2"/>
      <c r="P363" s="2"/>
      <c r="Q363" s="2"/>
    </row>
    <row r="364" spans="1:17" s="1" customFormat="1">
      <c r="A364" s="4785"/>
      <c r="B364" s="314"/>
      <c r="C364" s="334" t="s">
        <v>304</v>
      </c>
      <c r="D364" s="268"/>
      <c r="E364" s="268"/>
      <c r="F364" s="268"/>
      <c r="G364" s="268"/>
      <c r="H364" s="268"/>
      <c r="I364" s="268"/>
      <c r="J364" s="268"/>
      <c r="K364" s="268"/>
      <c r="L364" s="268"/>
      <c r="M364" s="268"/>
      <c r="N364" s="308"/>
      <c r="O364" s="2"/>
      <c r="P364" s="2"/>
      <c r="Q364" s="2"/>
    </row>
    <row r="365" spans="1:17" s="1" customFormat="1" ht="15.75" customHeight="1">
      <c r="A365" s="4785"/>
      <c r="B365" s="314"/>
      <c r="C365" s="334" t="s">
        <v>303</v>
      </c>
      <c r="D365" s="268"/>
      <c r="E365" s="268"/>
      <c r="F365" s="268"/>
      <c r="G365" s="268"/>
      <c r="H365" s="268"/>
      <c r="I365" s="268"/>
      <c r="J365" s="268"/>
      <c r="K365" s="268"/>
      <c r="L365" s="268"/>
      <c r="M365" s="268"/>
      <c r="N365" s="308"/>
      <c r="O365" s="2"/>
      <c r="P365" s="2"/>
      <c r="Q365" s="2"/>
    </row>
    <row r="366" spans="1:17" s="1" customFormat="1">
      <c r="A366" s="4785"/>
      <c r="B366" s="314"/>
      <c r="C366" s="334" t="s">
        <v>302</v>
      </c>
      <c r="D366" s="268"/>
      <c r="E366" s="268"/>
      <c r="F366" s="268"/>
      <c r="G366" s="268"/>
      <c r="H366" s="268"/>
      <c r="I366" s="268"/>
      <c r="J366" s="268"/>
      <c r="K366" s="268"/>
      <c r="L366" s="268"/>
      <c r="M366" s="268"/>
      <c r="N366" s="308"/>
      <c r="O366" s="2"/>
      <c r="P366" s="2"/>
      <c r="Q366" s="2"/>
    </row>
    <row r="367" spans="1:17" s="1" customFormat="1">
      <c r="A367" s="4785"/>
      <c r="B367" s="314"/>
      <c r="C367" s="334" t="s">
        <v>301</v>
      </c>
      <c r="D367" s="268"/>
      <c r="E367" s="268"/>
      <c r="F367" s="268"/>
      <c r="G367" s="268"/>
      <c r="H367" s="268"/>
      <c r="I367" s="268"/>
      <c r="J367" s="268"/>
      <c r="K367" s="268"/>
      <c r="L367" s="268"/>
      <c r="M367" s="268"/>
      <c r="N367" s="308"/>
      <c r="O367" s="2"/>
      <c r="P367" s="2"/>
      <c r="Q367" s="2"/>
    </row>
    <row r="368" spans="1:17" s="1" customFormat="1">
      <c r="A368" s="4785"/>
      <c r="B368" s="314"/>
      <c r="C368" s="334" t="s">
        <v>300</v>
      </c>
      <c r="D368" s="268"/>
      <c r="E368" s="268"/>
      <c r="F368" s="268"/>
      <c r="G368" s="268"/>
      <c r="H368" s="268"/>
      <c r="I368" s="268"/>
      <c r="J368" s="268"/>
      <c r="K368" s="268"/>
      <c r="L368" s="268"/>
      <c r="M368" s="268"/>
      <c r="N368" s="308"/>
      <c r="O368" s="2"/>
      <c r="P368" s="2"/>
      <c r="Q368" s="2"/>
    </row>
    <row r="369" spans="1:17" s="1" customFormat="1" ht="15">
      <c r="A369" s="4785"/>
      <c r="B369" s="314"/>
      <c r="C369" s="268"/>
      <c r="D369" s="268"/>
      <c r="E369" s="268"/>
      <c r="F369" s="268"/>
      <c r="G369" s="268"/>
      <c r="H369" s="268"/>
      <c r="I369" s="268"/>
      <c r="J369" s="268"/>
      <c r="K369" s="268"/>
      <c r="L369" s="268"/>
      <c r="M369" s="268"/>
      <c r="N369" s="308"/>
      <c r="O369" s="2"/>
      <c r="P369" s="2"/>
      <c r="Q369" s="2"/>
    </row>
    <row r="370" spans="1:17" s="1" customFormat="1" ht="15">
      <c r="A370" s="4785"/>
      <c r="B370" s="314"/>
      <c r="C370" s="4811" t="s">
        <v>299</v>
      </c>
      <c r="D370" s="4812"/>
      <c r="E370" s="4812"/>
      <c r="F370" s="4812"/>
      <c r="G370" s="4812"/>
      <c r="H370" s="4812"/>
      <c r="I370" s="4812"/>
      <c r="J370" s="4812"/>
      <c r="K370" s="4812"/>
      <c r="L370" s="4812"/>
      <c r="M370" s="4813"/>
      <c r="N370" s="308"/>
      <c r="O370" s="2"/>
      <c r="P370" s="2"/>
      <c r="Q370" s="2"/>
    </row>
    <row r="371" spans="1:17" s="1" customFormat="1" ht="15">
      <c r="A371" s="4785"/>
      <c r="B371" s="314"/>
      <c r="C371" s="333"/>
      <c r="D371" s="332"/>
      <c r="E371" s="2"/>
      <c r="F371" s="270" t="s">
        <v>55</v>
      </c>
      <c r="G371" s="332"/>
      <c r="H371" s="4814" t="s">
        <v>298</v>
      </c>
      <c r="I371" s="4814"/>
      <c r="J371" s="4814"/>
      <c r="K371" s="4814"/>
      <c r="L371" s="4814"/>
      <c r="M371" s="4815"/>
      <c r="N371" s="308"/>
      <c r="O371" s="2"/>
      <c r="P371" s="2"/>
      <c r="Q371" s="2"/>
    </row>
    <row r="372" spans="1:17" s="1" customFormat="1">
      <c r="A372" s="4785"/>
      <c r="B372" s="314"/>
      <c r="C372" s="323" t="s">
        <v>44</v>
      </c>
      <c r="D372" s="4816" t="s">
        <v>297</v>
      </c>
      <c r="E372" s="4816"/>
      <c r="F372" s="331">
        <v>2</v>
      </c>
      <c r="G372" s="138"/>
      <c r="H372" s="321" t="s">
        <v>296</v>
      </c>
      <c r="I372" s="138"/>
      <c r="J372" s="138"/>
      <c r="K372" s="320"/>
      <c r="L372" s="320"/>
      <c r="M372" s="319"/>
      <c r="N372" s="308"/>
      <c r="O372" s="2"/>
      <c r="P372" s="2"/>
      <c r="Q372" s="2"/>
    </row>
    <row r="373" spans="1:17" s="1" customFormat="1">
      <c r="A373" s="4785"/>
      <c r="B373" s="314"/>
      <c r="C373" s="330">
        <v>10</v>
      </c>
      <c r="D373" s="297" t="s">
        <v>295</v>
      </c>
      <c r="E373" s="2"/>
      <c r="F373" s="329">
        <f>C373*F372</f>
        <v>20</v>
      </c>
      <c r="G373" s="328"/>
      <c r="H373" s="325" t="s">
        <v>294</v>
      </c>
      <c r="I373" s="138"/>
      <c r="J373" s="138"/>
      <c r="K373" s="320"/>
      <c r="L373" s="320"/>
      <c r="M373" s="319"/>
      <c r="N373" s="308"/>
      <c r="O373" s="2"/>
      <c r="P373" s="2"/>
      <c r="Q373" s="2"/>
    </row>
    <row r="374" spans="1:17" s="1" customFormat="1">
      <c r="A374" s="4785"/>
      <c r="B374" s="314"/>
      <c r="C374" s="327"/>
      <c r="D374" s="326"/>
      <c r="E374" s="320"/>
      <c r="F374" s="320"/>
      <c r="G374" s="320"/>
      <c r="H374" s="325" t="s">
        <v>293</v>
      </c>
      <c r="I374" s="324"/>
      <c r="J374" s="138"/>
      <c r="K374" s="320"/>
      <c r="L374" s="320"/>
      <c r="M374" s="319"/>
      <c r="N374" s="308"/>
      <c r="O374" s="2"/>
      <c r="P374" s="2"/>
      <c r="Q374" s="2"/>
    </row>
    <row r="375" spans="1:17" s="1" customFormat="1">
      <c r="A375" s="4785"/>
      <c r="B375" s="314"/>
      <c r="C375" s="323"/>
      <c r="D375" s="322"/>
      <c r="E375" s="320"/>
      <c r="F375" s="320"/>
      <c r="G375" s="320"/>
      <c r="H375" s="321" t="s">
        <v>292</v>
      </c>
      <c r="I375" s="138"/>
      <c r="J375" s="138"/>
      <c r="K375" s="320"/>
      <c r="L375" s="320"/>
      <c r="M375" s="319"/>
      <c r="N375" s="308"/>
      <c r="O375" s="2"/>
      <c r="P375" s="2"/>
      <c r="Q375" s="2"/>
    </row>
    <row r="376" spans="1:17" s="1" customFormat="1">
      <c r="A376" s="4785"/>
      <c r="B376" s="314"/>
      <c r="C376" s="318" t="s">
        <v>55</v>
      </c>
      <c r="D376" s="317" t="s">
        <v>291</v>
      </c>
      <c r="E376" s="316"/>
      <c r="F376" s="316"/>
      <c r="G376" s="316"/>
      <c r="H376" s="316"/>
      <c r="I376" s="316"/>
      <c r="J376" s="316"/>
      <c r="K376" s="316"/>
      <c r="L376" s="316"/>
      <c r="M376" s="315"/>
      <c r="N376" s="308"/>
      <c r="O376" s="2"/>
      <c r="P376" s="2"/>
      <c r="Q376" s="2"/>
    </row>
    <row r="377" spans="1:17" s="1" customFormat="1">
      <c r="A377" s="4785"/>
      <c r="B377" s="314"/>
      <c r="C377" s="313" t="s">
        <v>44</v>
      </c>
      <c r="D377" s="312" t="s">
        <v>290</v>
      </c>
      <c r="E377" s="311"/>
      <c r="F377" s="311"/>
      <c r="G377" s="311"/>
      <c r="H377" s="311"/>
      <c r="I377" s="311"/>
      <c r="J377" s="311"/>
      <c r="K377" s="311"/>
      <c r="L377" s="311"/>
      <c r="M377" s="310"/>
      <c r="N377" s="308"/>
      <c r="O377" s="2"/>
      <c r="P377" s="2"/>
      <c r="Q377" s="2"/>
    </row>
    <row r="378" spans="1:17" s="1" customFormat="1" ht="15">
      <c r="A378" s="4785"/>
      <c r="B378" s="309" t="str">
        <f ca="1">CELL("nomfichier",A374)</f>
        <v>D:\Données\Copie_ancien_DD\0-UPRT.fait\1-UPRT.FR-SITE-WEB\ff-fiches-fabrications\ff-fiches-fabrication-maj-08-2020\[ff-22-formats-formules-pourcentages.xlsx]aides cuisine</v>
      </c>
      <c r="C378" s="268"/>
      <c r="D378" s="268"/>
      <c r="E378" s="268"/>
      <c r="F378" s="268"/>
      <c r="G378" s="268"/>
      <c r="H378" s="268"/>
      <c r="I378" s="268"/>
      <c r="J378" s="268"/>
      <c r="K378" s="268"/>
      <c r="L378" s="268"/>
      <c r="M378" s="268"/>
      <c r="N378" s="308"/>
      <c r="O378" s="2"/>
      <c r="P378" s="2"/>
      <c r="Q378" s="2"/>
    </row>
    <row r="379" spans="1:17" s="1" customFormat="1" ht="15" customHeight="1">
      <c r="A379" s="4785"/>
      <c r="B379" s="4802" t="s">
        <v>272</v>
      </c>
      <c r="C379" s="4803"/>
      <c r="D379" s="4803"/>
      <c r="E379" s="4803"/>
      <c r="F379" s="4803"/>
      <c r="G379" s="4803"/>
      <c r="H379" s="4803"/>
      <c r="I379" s="4803"/>
      <c r="J379" s="4803"/>
      <c r="K379" s="4803"/>
      <c r="L379" s="4803"/>
      <c r="M379" s="4803"/>
      <c r="N379" s="4804"/>
      <c r="O379" s="2"/>
      <c r="P379" s="2"/>
      <c r="Q379" s="2"/>
    </row>
    <row r="380" spans="1:17" s="1" customFormat="1" thickBot="1">
      <c r="A380" s="4785"/>
      <c r="B380" s="4805"/>
      <c r="C380" s="4806"/>
      <c r="D380" s="4806"/>
      <c r="E380" s="4806"/>
      <c r="F380" s="4806"/>
      <c r="G380" s="4806"/>
      <c r="H380" s="4806"/>
      <c r="I380" s="4806"/>
      <c r="J380" s="4806"/>
      <c r="K380" s="4806"/>
      <c r="L380" s="4806"/>
      <c r="M380" s="4806"/>
      <c r="N380" s="4807"/>
      <c r="O380" s="2"/>
      <c r="P380" s="2"/>
      <c r="Q380" s="2"/>
    </row>
    <row r="381" spans="1:17" s="1" customFormat="1" thickBot="1">
      <c r="B381" s="2"/>
      <c r="C381" s="2"/>
      <c r="D381" s="2"/>
      <c r="E381" s="2"/>
      <c r="F381" s="2"/>
      <c r="G381" s="2"/>
      <c r="H381" s="2"/>
      <c r="I381" s="2"/>
      <c r="J381" s="2"/>
      <c r="K381" s="2"/>
      <c r="L381" s="2"/>
      <c r="M381" s="2"/>
      <c r="N381" s="2"/>
      <c r="O381" s="2"/>
      <c r="P381" s="2"/>
      <c r="Q381" s="2"/>
    </row>
    <row r="382" spans="1:17" s="1" customFormat="1" ht="18.75">
      <c r="A382" s="307" t="s">
        <v>70</v>
      </c>
      <c r="B382" s="4781" t="str">
        <f>B384</f>
        <v>ŒUFS poids et %</v>
      </c>
      <c r="C382" s="4782"/>
      <c r="D382" s="4782"/>
      <c r="E382" s="4782"/>
      <c r="F382" s="4782"/>
      <c r="G382" s="4782"/>
      <c r="H382" s="4782"/>
      <c r="I382" s="4782"/>
      <c r="J382" s="4782"/>
      <c r="K382" s="4782"/>
      <c r="L382" s="4782"/>
      <c r="M382" s="4782"/>
      <c r="N382" s="4783"/>
      <c r="O382" s="2"/>
      <c r="P382" s="2"/>
      <c r="Q382" s="2"/>
    </row>
    <row r="383" spans="1:17" s="1" customFormat="1" ht="16.5" customHeight="1">
      <c r="A383" s="4784" t="str">
        <f>B384</f>
        <v>ŒUFS poids et %</v>
      </c>
      <c r="B383" s="533" t="str">
        <f>ADDRESS(ROW(),COLUMN(),4)</f>
        <v>B383</v>
      </c>
      <c r="C383" s="534" t="s">
        <v>691</v>
      </c>
      <c r="D383" s="535"/>
      <c r="E383" s="535"/>
      <c r="F383" s="535"/>
      <c r="G383" s="535"/>
      <c r="H383" s="535"/>
      <c r="I383" s="535"/>
      <c r="J383" s="535"/>
      <c r="K383" s="535"/>
      <c r="L383" s="535"/>
      <c r="M383" s="535"/>
      <c r="N383" s="536"/>
      <c r="O383" s="2"/>
      <c r="P383" s="2"/>
      <c r="Q383" s="2"/>
    </row>
    <row r="384" spans="1:17" s="1" customFormat="1" ht="15" customHeight="1">
      <c r="A384" s="4785"/>
      <c r="B384" s="4786" t="s">
        <v>289</v>
      </c>
      <c r="C384" s="4787"/>
      <c r="D384" s="4787"/>
      <c r="E384" s="4787"/>
      <c r="F384" s="4787"/>
      <c r="G384" s="4787"/>
      <c r="H384" s="4787"/>
      <c r="I384" s="4787"/>
      <c r="J384" s="4787"/>
      <c r="K384" s="4787"/>
      <c r="L384" s="4787"/>
      <c r="M384" s="4787"/>
      <c r="N384" s="4788"/>
      <c r="O384" s="2"/>
      <c r="P384" s="2"/>
      <c r="Q384" s="2"/>
    </row>
    <row r="385" spans="1:17" s="1" customFormat="1" ht="15" customHeight="1">
      <c r="A385" s="4785"/>
      <c r="B385" s="4786"/>
      <c r="C385" s="4787"/>
      <c r="D385" s="4787"/>
      <c r="E385" s="4787"/>
      <c r="F385" s="4787"/>
      <c r="G385" s="4787"/>
      <c r="H385" s="4787"/>
      <c r="I385" s="4787"/>
      <c r="J385" s="4787"/>
      <c r="K385" s="4787"/>
      <c r="L385" s="4787"/>
      <c r="M385" s="4787"/>
      <c r="N385" s="4788"/>
      <c r="O385" s="2"/>
      <c r="P385" s="2"/>
      <c r="Q385" s="2"/>
    </row>
    <row r="386" spans="1:17" s="1" customFormat="1" ht="15" customHeight="1">
      <c r="A386" s="4785"/>
      <c r="B386" s="4789" t="s">
        <v>104</v>
      </c>
      <c r="C386" s="4790"/>
      <c r="D386" s="4790"/>
      <c r="E386" s="4790"/>
      <c r="F386" s="4790"/>
      <c r="G386" s="4790"/>
      <c r="H386" s="4790"/>
      <c r="I386" s="4790"/>
      <c r="J386" s="4790"/>
      <c r="K386" s="4790"/>
      <c r="L386" s="4790"/>
      <c r="M386" s="4790"/>
      <c r="N386" s="4791"/>
      <c r="O386" s="2"/>
      <c r="P386" s="2"/>
      <c r="Q386" s="2"/>
    </row>
    <row r="387" spans="1:17" s="1" customFormat="1" ht="15.75" customHeight="1">
      <c r="A387" s="4785"/>
      <c r="B387" s="4792"/>
      <c r="C387" s="4793"/>
      <c r="D387" s="4793"/>
      <c r="E387" s="4793"/>
      <c r="F387" s="4793"/>
      <c r="G387" s="4793"/>
      <c r="H387" s="4793"/>
      <c r="I387" s="4793"/>
      <c r="J387" s="4793"/>
      <c r="K387" s="4793"/>
      <c r="L387" s="4793"/>
      <c r="M387" s="4793"/>
      <c r="N387" s="4794"/>
      <c r="O387" s="2"/>
      <c r="P387" s="2"/>
      <c r="Q387" s="2"/>
    </row>
    <row r="388" spans="1:17" s="1" customFormat="1" ht="15" customHeight="1">
      <c r="A388" s="4785"/>
      <c r="B388" s="4795" t="s">
        <v>289</v>
      </c>
      <c r="C388" s="4796"/>
      <c r="D388" s="4796"/>
      <c r="E388" s="4796"/>
      <c r="F388" s="4796"/>
      <c r="G388" s="4796"/>
      <c r="H388" s="4796"/>
      <c r="I388" s="4796"/>
      <c r="J388" s="4796"/>
      <c r="K388" s="4796"/>
      <c r="L388" s="4796"/>
      <c r="M388" s="4796"/>
      <c r="N388" s="4797"/>
      <c r="O388" s="2"/>
      <c r="P388" s="2"/>
      <c r="Q388" s="2"/>
    </row>
    <row r="389" spans="1:17" s="1" customFormat="1" ht="15.75" customHeight="1">
      <c r="A389" s="4785"/>
      <c r="B389" s="306" t="s">
        <v>44</v>
      </c>
      <c r="C389" s="304"/>
      <c r="D389" s="282" t="s">
        <v>55</v>
      </c>
      <c r="E389" s="304"/>
      <c r="F389" s="304"/>
      <c r="G389" s="305" t="s">
        <v>44</v>
      </c>
      <c r="H389" s="304"/>
      <c r="I389" s="282" t="s">
        <v>55</v>
      </c>
      <c r="J389" s="304"/>
      <c r="K389" s="305" t="s">
        <v>44</v>
      </c>
      <c r="L389" s="304"/>
      <c r="M389" s="282" t="s">
        <v>55</v>
      </c>
      <c r="N389" s="303"/>
      <c r="O389" s="2"/>
      <c r="P389" s="2"/>
      <c r="Q389" s="2"/>
    </row>
    <row r="390" spans="1:17" s="1" customFormat="1" ht="18.75" customHeight="1">
      <c r="A390" s="4785"/>
      <c r="B390" s="4798" t="s">
        <v>288</v>
      </c>
      <c r="C390" s="4799"/>
      <c r="D390" s="299">
        <v>50</v>
      </c>
      <c r="E390" s="302">
        <v>1</v>
      </c>
      <c r="F390" s="301"/>
      <c r="G390" s="4800" t="s">
        <v>287</v>
      </c>
      <c r="H390" s="4801"/>
      <c r="I390" s="299">
        <v>20</v>
      </c>
      <c r="J390" s="300">
        <f>I390/D390</f>
        <v>0.4</v>
      </c>
      <c r="K390" s="4800" t="s">
        <v>286</v>
      </c>
      <c r="L390" s="4801"/>
      <c r="M390" s="299">
        <v>30</v>
      </c>
      <c r="N390" s="298">
        <f>M390/D390</f>
        <v>0.6</v>
      </c>
      <c r="O390" s="2"/>
      <c r="P390" s="2"/>
      <c r="Q390" s="2"/>
    </row>
    <row r="391" spans="1:17" s="1" customFormat="1">
      <c r="A391" s="4785"/>
      <c r="B391" s="296">
        <v>4</v>
      </c>
      <c r="C391" s="295" t="s">
        <v>285</v>
      </c>
      <c r="D391" s="295">
        <f>B391*D390</f>
        <v>200</v>
      </c>
      <c r="E391" s="297" t="s">
        <v>282</v>
      </c>
      <c r="F391" s="2"/>
      <c r="G391" s="296">
        <v>10</v>
      </c>
      <c r="H391" s="295" t="s">
        <v>284</v>
      </c>
      <c r="I391" s="295">
        <f>G391*I390</f>
        <v>200</v>
      </c>
      <c r="J391" s="297" t="s">
        <v>282</v>
      </c>
      <c r="K391" s="296">
        <v>12</v>
      </c>
      <c r="L391" s="295" t="s">
        <v>283</v>
      </c>
      <c r="M391" s="295">
        <f>K391*M390</f>
        <v>360</v>
      </c>
      <c r="N391" s="294" t="s">
        <v>282</v>
      </c>
      <c r="O391" s="2"/>
      <c r="P391" s="2"/>
      <c r="Q391" s="2"/>
    </row>
    <row r="392" spans="1:17" s="1" customFormat="1" ht="15.75" customHeight="1">
      <c r="A392" s="4785"/>
      <c r="B392" s="293" t="s">
        <v>281</v>
      </c>
      <c r="C392" s="292" t="s">
        <v>280</v>
      </c>
      <c r="D392" s="292" t="s">
        <v>279</v>
      </c>
      <c r="E392" s="292" t="s">
        <v>278</v>
      </c>
      <c r="F392" s="2"/>
      <c r="G392" s="293" t="s">
        <v>281</v>
      </c>
      <c r="H392" s="292" t="s">
        <v>280</v>
      </c>
      <c r="I392" s="292" t="s">
        <v>279</v>
      </c>
      <c r="J392" s="292" t="s">
        <v>278</v>
      </c>
      <c r="K392" s="293" t="s">
        <v>281</v>
      </c>
      <c r="L392" s="292" t="s">
        <v>280</v>
      </c>
      <c r="M392" s="292" t="s">
        <v>279</v>
      </c>
      <c r="N392" s="291" t="s">
        <v>278</v>
      </c>
      <c r="O392" s="2"/>
      <c r="P392" s="2"/>
      <c r="Q392" s="2"/>
    </row>
    <row r="393" spans="1:17" s="1" customFormat="1" ht="15">
      <c r="A393" s="4785"/>
      <c r="B393" s="289">
        <f>D391</f>
        <v>200</v>
      </c>
      <c r="C393" s="288">
        <f>B393*C394</f>
        <v>24.489795918367346</v>
      </c>
      <c r="D393" s="288">
        <f>B393*D394</f>
        <v>22.448979591836736</v>
      </c>
      <c r="E393" s="288">
        <f>B393*E394</f>
        <v>153.0612244897959</v>
      </c>
      <c r="F393" s="2"/>
      <c r="G393" s="289">
        <f>I391</f>
        <v>200</v>
      </c>
      <c r="H393" s="290">
        <f>G393*H394</f>
        <v>34.4</v>
      </c>
      <c r="I393" s="290">
        <f>G393*I394</f>
        <v>64.600000000000009</v>
      </c>
      <c r="J393" s="290">
        <f>G393*J394</f>
        <v>101</v>
      </c>
      <c r="K393" s="289">
        <f>M391</f>
        <v>360</v>
      </c>
      <c r="L393" s="288">
        <f>K393*L394</f>
        <v>39.96</v>
      </c>
      <c r="M393" s="288">
        <f>K393*M394</f>
        <v>0</v>
      </c>
      <c r="N393" s="287">
        <f>K393*N394</f>
        <v>320</v>
      </c>
      <c r="O393" s="2"/>
      <c r="P393" s="2"/>
      <c r="Q393" s="2"/>
    </row>
    <row r="394" spans="1:17" s="1" customFormat="1" ht="15">
      <c r="A394" s="4785"/>
      <c r="B394" s="286">
        <f>C394+D394+E394</f>
        <v>1</v>
      </c>
      <c r="C394" s="285">
        <v>0.12244897959183673</v>
      </c>
      <c r="D394" s="285">
        <v>0.11224489795918367</v>
      </c>
      <c r="E394" s="285">
        <v>0.76530612244897955</v>
      </c>
      <c r="F394" s="2"/>
      <c r="G394" s="286">
        <f>H394+I394+J394</f>
        <v>1</v>
      </c>
      <c r="H394" s="285">
        <v>0.17199999999999999</v>
      </c>
      <c r="I394" s="285">
        <v>0.32300000000000001</v>
      </c>
      <c r="J394" s="285">
        <v>0.505</v>
      </c>
      <c r="K394" s="286">
        <f>L394+M394+N394</f>
        <v>0.99988888888888894</v>
      </c>
      <c r="L394" s="285">
        <v>0.111</v>
      </c>
      <c r="M394" s="271">
        <v>0</v>
      </c>
      <c r="N394" s="284">
        <v>0.88888888888888895</v>
      </c>
      <c r="O394" s="2"/>
      <c r="P394" s="2"/>
      <c r="Q394" s="2"/>
    </row>
    <row r="395" spans="1:17" s="1" customFormat="1" ht="15">
      <c r="A395" s="4785"/>
      <c r="B395" s="283"/>
      <c r="C395" s="282" t="s">
        <v>55</v>
      </c>
      <c r="D395" s="282" t="s">
        <v>55</v>
      </c>
      <c r="E395" s="282" t="s">
        <v>55</v>
      </c>
      <c r="F395" s="120"/>
      <c r="G395" s="283"/>
      <c r="H395" s="282" t="s">
        <v>55</v>
      </c>
      <c r="I395" s="282" t="s">
        <v>55</v>
      </c>
      <c r="J395" s="282" t="s">
        <v>55</v>
      </c>
      <c r="K395" s="283"/>
      <c r="L395" s="282" t="s">
        <v>55</v>
      </c>
      <c r="M395" s="281"/>
      <c r="N395" s="280" t="s">
        <v>55</v>
      </c>
      <c r="O395" s="2"/>
      <c r="P395" s="2"/>
      <c r="Q395" s="2"/>
    </row>
    <row r="396" spans="1:17" s="1" customFormat="1" ht="15">
      <c r="A396" s="4785"/>
      <c r="B396" s="279" t="s">
        <v>55</v>
      </c>
      <c r="C396" s="278" t="s">
        <v>277</v>
      </c>
      <c r="D396" s="269"/>
      <c r="E396" s="269"/>
      <c r="F396" s="269"/>
      <c r="G396" s="269"/>
      <c r="H396" s="269"/>
      <c r="I396" s="269"/>
      <c r="J396" s="269"/>
      <c r="K396" s="269"/>
      <c r="L396" s="269"/>
      <c r="M396" s="269"/>
      <c r="N396" s="267"/>
      <c r="O396" s="2"/>
      <c r="P396" s="2"/>
      <c r="Q396" s="2"/>
    </row>
    <row r="397" spans="1:17" s="1" customFormat="1">
      <c r="A397" s="4785"/>
      <c r="B397" s="277" t="s">
        <v>44</v>
      </c>
      <c r="C397" s="276" t="s">
        <v>276</v>
      </c>
      <c r="D397" s="269"/>
      <c r="E397" s="269"/>
      <c r="F397" s="269"/>
      <c r="G397" s="269"/>
      <c r="H397" s="269"/>
      <c r="I397" s="269"/>
      <c r="J397" s="269"/>
      <c r="K397" s="269"/>
      <c r="L397" s="269"/>
      <c r="M397" s="268"/>
      <c r="N397" s="275" t="s">
        <v>275</v>
      </c>
      <c r="O397" s="2"/>
      <c r="P397" s="2"/>
      <c r="Q397" s="2"/>
    </row>
    <row r="398" spans="1:17" s="1" customFormat="1" ht="15">
      <c r="A398" s="4785"/>
      <c r="B398" s="274"/>
      <c r="C398" s="270"/>
      <c r="D398" s="273" t="s">
        <v>274</v>
      </c>
      <c r="E398" s="272" t="s">
        <v>273</v>
      </c>
      <c r="F398" s="2"/>
      <c r="G398" s="271"/>
      <c r="H398" s="270"/>
      <c r="I398" s="270"/>
      <c r="J398" s="270"/>
      <c r="K398" s="269"/>
      <c r="L398" s="269"/>
      <c r="M398" s="268"/>
      <c r="N398" s="267"/>
      <c r="O398" s="2"/>
      <c r="P398" s="2"/>
      <c r="Q398" s="2"/>
    </row>
    <row r="399" spans="1:17" s="1" customFormat="1" ht="15" customHeight="1">
      <c r="A399" s="4785"/>
      <c r="B399" s="4802" t="s">
        <v>272</v>
      </c>
      <c r="C399" s="4803"/>
      <c r="D399" s="4803"/>
      <c r="E399" s="4803"/>
      <c r="F399" s="4803"/>
      <c r="G399" s="4803"/>
      <c r="H399" s="4803"/>
      <c r="I399" s="4803"/>
      <c r="J399" s="4803"/>
      <c r="K399" s="4803"/>
      <c r="L399" s="4803"/>
      <c r="M399" s="4803"/>
      <c r="N399" s="4804"/>
      <c r="O399" s="2"/>
      <c r="P399" s="2"/>
      <c r="Q399" s="2"/>
    </row>
    <row r="400" spans="1:17" s="1" customFormat="1" thickBot="1">
      <c r="A400" s="4785"/>
      <c r="B400" s="4805"/>
      <c r="C400" s="4806"/>
      <c r="D400" s="4806"/>
      <c r="E400" s="4806"/>
      <c r="F400" s="4806"/>
      <c r="G400" s="4806"/>
      <c r="H400" s="4806"/>
      <c r="I400" s="4806"/>
      <c r="J400" s="4806"/>
      <c r="K400" s="4806"/>
      <c r="L400" s="4806"/>
      <c r="M400" s="4806"/>
      <c r="N400" s="4807"/>
      <c r="O400" s="2"/>
      <c r="P400" s="2"/>
      <c r="Q400" s="2"/>
    </row>
    <row r="401" spans="1:17" s="1" customFormat="1" thickBot="1">
      <c r="A401" s="2"/>
      <c r="B401" s="3"/>
      <c r="C401" s="3"/>
      <c r="D401" s="3"/>
      <c r="E401" s="3"/>
      <c r="F401" s="3"/>
      <c r="G401" s="3"/>
      <c r="H401" s="3"/>
      <c r="I401" s="3"/>
      <c r="J401" s="3"/>
      <c r="K401" s="3"/>
      <c r="L401" s="3"/>
      <c r="M401" s="3"/>
      <c r="N401" s="3"/>
      <c r="O401" s="3"/>
      <c r="P401" s="3"/>
      <c r="Q401" s="3"/>
    </row>
    <row r="402" spans="1:17" s="1" customFormat="1">
      <c r="A402" s="307" t="s">
        <v>70</v>
      </c>
      <c r="B402" s="4768" t="s">
        <v>158</v>
      </c>
      <c r="C402" s="4769"/>
      <c r="D402" s="4769"/>
      <c r="E402" s="4769"/>
      <c r="F402" s="4769"/>
      <c r="G402" s="4769"/>
      <c r="H402" s="4769"/>
      <c r="I402" s="4769"/>
      <c r="J402" s="4769"/>
      <c r="K402" s="4770"/>
      <c r="L402" s="2"/>
      <c r="M402" s="2"/>
      <c r="N402" s="2"/>
      <c r="O402" s="2"/>
      <c r="P402" s="2"/>
      <c r="Q402" s="2"/>
    </row>
    <row r="403" spans="1:17" s="1" customFormat="1" ht="15.75" customHeight="1">
      <c r="A403" s="4752" t="str">
        <f>B402</f>
        <v>Composition d'une garniture "COUSCOUS"</v>
      </c>
      <c r="B403" s="533" t="str">
        <f>ADDRESS(ROW(),COLUMN(),4)</f>
        <v>B403</v>
      </c>
      <c r="C403" s="903" t="s">
        <v>691</v>
      </c>
      <c r="D403" s="936"/>
      <c r="E403" s="936"/>
      <c r="F403" s="936"/>
      <c r="G403" s="936"/>
      <c r="H403" s="936"/>
      <c r="I403" s="936"/>
      <c r="J403" s="936"/>
      <c r="K403" s="602"/>
      <c r="L403" s="2"/>
      <c r="M403" s="2"/>
      <c r="N403" s="2"/>
      <c r="O403" s="2"/>
      <c r="P403" s="2"/>
      <c r="Q403" s="2"/>
    </row>
    <row r="404" spans="1:17" s="1" customFormat="1" ht="15" customHeight="1">
      <c r="A404" s="4752"/>
      <c r="B404" s="4771" t="s">
        <v>157</v>
      </c>
      <c r="C404" s="4772"/>
      <c r="D404" s="4772"/>
      <c r="E404" s="603">
        <v>1</v>
      </c>
      <c r="F404" s="604">
        <f>E404</f>
        <v>1</v>
      </c>
      <c r="G404" s="4773" t="s">
        <v>156</v>
      </c>
      <c r="H404" s="4773"/>
      <c r="I404" s="605" t="s">
        <v>155</v>
      </c>
      <c r="J404" s="4774" t="s">
        <v>154</v>
      </c>
      <c r="K404" s="4775"/>
      <c r="L404" s="2"/>
      <c r="M404" s="2"/>
      <c r="N404" s="2"/>
      <c r="O404" s="2"/>
      <c r="P404" s="2"/>
      <c r="Q404" s="2"/>
    </row>
    <row r="405" spans="1:17" s="1" customFormat="1" ht="15">
      <c r="A405" s="4752"/>
      <c r="B405" s="4747" t="s">
        <v>153</v>
      </c>
      <c r="C405" s="4748"/>
      <c r="D405" s="4748"/>
      <c r="E405" s="606">
        <v>25</v>
      </c>
      <c r="F405" s="604">
        <f>F404</f>
        <v>1</v>
      </c>
      <c r="G405" s="4749">
        <f t="shared" ref="G405:G411" si="12">(F405*E405)/100</f>
        <v>0.25</v>
      </c>
      <c r="H405" s="4749"/>
      <c r="I405" s="607">
        <v>20</v>
      </c>
      <c r="J405" s="4750">
        <f t="shared" ref="J405:J411" si="13">G405/(100-I405)*100</f>
        <v>0.3125</v>
      </c>
      <c r="K405" s="4751"/>
      <c r="L405" s="2"/>
      <c r="M405" s="2"/>
      <c r="N405" s="2"/>
      <c r="O405" s="2"/>
      <c r="P405" s="2"/>
      <c r="Q405" s="2"/>
    </row>
    <row r="406" spans="1:17" s="1" customFormat="1" ht="15">
      <c r="A406" s="4752"/>
      <c r="B406" s="4747" t="s">
        <v>152</v>
      </c>
      <c r="C406" s="4748"/>
      <c r="D406" s="4748"/>
      <c r="E406" s="606">
        <v>20</v>
      </c>
      <c r="F406" s="604">
        <f>F404</f>
        <v>1</v>
      </c>
      <c r="G406" s="4749">
        <f t="shared" si="12"/>
        <v>0.2</v>
      </c>
      <c r="H406" s="4749"/>
      <c r="I406" s="607">
        <v>25</v>
      </c>
      <c r="J406" s="4750">
        <f t="shared" si="13"/>
        <v>0.26666666666666672</v>
      </c>
      <c r="K406" s="4751"/>
      <c r="L406" s="2"/>
      <c r="M406" s="2"/>
      <c r="N406" s="2"/>
      <c r="O406" s="2"/>
      <c r="P406" s="2"/>
      <c r="Q406" s="2"/>
    </row>
    <row r="407" spans="1:17" s="1" customFormat="1" ht="15">
      <c r="A407" s="4752"/>
      <c r="B407" s="4747" t="s">
        <v>151</v>
      </c>
      <c r="C407" s="4748"/>
      <c r="D407" s="4748"/>
      <c r="E407" s="606">
        <v>15</v>
      </c>
      <c r="F407" s="604">
        <f>F404</f>
        <v>1</v>
      </c>
      <c r="G407" s="4749">
        <f t="shared" si="12"/>
        <v>0.15</v>
      </c>
      <c r="H407" s="4749"/>
      <c r="I407" s="607">
        <v>20</v>
      </c>
      <c r="J407" s="4750">
        <f t="shared" si="13"/>
        <v>0.1875</v>
      </c>
      <c r="K407" s="4751"/>
      <c r="L407" s="2"/>
      <c r="M407" s="2"/>
      <c r="N407" s="2"/>
      <c r="O407" s="2"/>
      <c r="P407" s="2"/>
      <c r="Q407" s="2"/>
    </row>
    <row r="408" spans="1:17" s="1" customFormat="1" ht="15">
      <c r="A408" s="4752"/>
      <c r="B408" s="4747" t="s">
        <v>150</v>
      </c>
      <c r="C408" s="4748"/>
      <c r="D408" s="4748"/>
      <c r="E408" s="606">
        <v>15</v>
      </c>
      <c r="F408" s="604">
        <f>F404</f>
        <v>1</v>
      </c>
      <c r="G408" s="4749">
        <f t="shared" si="12"/>
        <v>0.15</v>
      </c>
      <c r="H408" s="4749"/>
      <c r="I408" s="607">
        <v>0</v>
      </c>
      <c r="J408" s="4750">
        <f t="shared" si="13"/>
        <v>0.15</v>
      </c>
      <c r="K408" s="4751"/>
      <c r="L408" s="2"/>
      <c r="M408" s="2"/>
      <c r="N408" s="2"/>
      <c r="O408" s="2"/>
      <c r="P408" s="2"/>
      <c r="Q408" s="2"/>
    </row>
    <row r="409" spans="1:17" s="1" customFormat="1" ht="15">
      <c r="A409" s="4752"/>
      <c r="B409" s="4747" t="s">
        <v>149</v>
      </c>
      <c r="C409" s="4748"/>
      <c r="D409" s="4748"/>
      <c r="E409" s="606">
        <v>10</v>
      </c>
      <c r="F409" s="604">
        <f>F404</f>
        <v>1</v>
      </c>
      <c r="G409" s="4749">
        <f t="shared" si="12"/>
        <v>0.1</v>
      </c>
      <c r="H409" s="4749"/>
      <c r="I409" s="607">
        <v>20</v>
      </c>
      <c r="J409" s="4750">
        <f t="shared" si="13"/>
        <v>0.125</v>
      </c>
      <c r="K409" s="4751"/>
      <c r="L409" s="2"/>
      <c r="M409" s="2"/>
      <c r="N409" s="2"/>
      <c r="O409" s="2"/>
      <c r="P409" s="2"/>
      <c r="Q409" s="2"/>
    </row>
    <row r="410" spans="1:17" s="1" customFormat="1" ht="15">
      <c r="A410" s="4752"/>
      <c r="B410" s="4747" t="s">
        <v>148</v>
      </c>
      <c r="C410" s="4748"/>
      <c r="D410" s="4748"/>
      <c r="E410" s="606">
        <v>7.5</v>
      </c>
      <c r="F410" s="604">
        <f>F404</f>
        <v>1</v>
      </c>
      <c r="G410" s="4749">
        <f t="shared" si="12"/>
        <v>7.4999999999999997E-2</v>
      </c>
      <c r="H410" s="4749"/>
      <c r="I410" s="607">
        <v>20</v>
      </c>
      <c r="J410" s="4750">
        <f t="shared" si="13"/>
        <v>9.375E-2</v>
      </c>
      <c r="K410" s="4751"/>
      <c r="L410" s="2"/>
      <c r="M410" s="2"/>
      <c r="N410" s="2"/>
      <c r="O410" s="2"/>
      <c r="P410" s="2"/>
      <c r="Q410" s="2"/>
    </row>
    <row r="411" spans="1:17" s="1" customFormat="1" ht="15">
      <c r="A411" s="4752"/>
      <c r="B411" s="4747" t="s">
        <v>147</v>
      </c>
      <c r="C411" s="4748"/>
      <c r="D411" s="4748"/>
      <c r="E411" s="606">
        <v>7.5</v>
      </c>
      <c r="F411" s="604">
        <f>F404</f>
        <v>1</v>
      </c>
      <c r="G411" s="4749">
        <f t="shared" si="12"/>
        <v>7.4999999999999997E-2</v>
      </c>
      <c r="H411" s="4749"/>
      <c r="I411" s="607">
        <v>20</v>
      </c>
      <c r="J411" s="4750">
        <f t="shared" si="13"/>
        <v>9.375E-2</v>
      </c>
      <c r="K411" s="4751"/>
      <c r="L411" s="2"/>
      <c r="M411" s="2"/>
      <c r="N411" s="2"/>
      <c r="O411" s="2"/>
      <c r="P411" s="2"/>
      <c r="Q411" s="2"/>
    </row>
    <row r="412" spans="1:17" s="1" customFormat="1" ht="15">
      <c r="A412" s="4752"/>
      <c r="B412" s="4776" t="s">
        <v>146</v>
      </c>
      <c r="C412" s="4777"/>
      <c r="D412" s="4777"/>
      <c r="E412" s="608">
        <f>SUM(E405:E411)</f>
        <v>100</v>
      </c>
      <c r="F412" s="609"/>
      <c r="G412" s="138"/>
      <c r="H412" s="3"/>
      <c r="I412" s="138"/>
      <c r="J412" s="138"/>
      <c r="K412" s="937"/>
      <c r="L412" s="2"/>
      <c r="M412" s="2"/>
      <c r="N412" s="2"/>
      <c r="O412" s="2"/>
      <c r="P412" s="2"/>
      <c r="Q412" s="2"/>
    </row>
    <row r="413" spans="1:17" s="1" customFormat="1">
      <c r="A413" s="4752"/>
      <c r="B413" s="938"/>
      <c r="C413" s="120"/>
      <c r="D413" s="120"/>
      <c r="E413" s="136"/>
      <c r="F413" s="610" t="str">
        <f>SUBSTITUTE(ADDRESS(1,COLUMN(),4),"1","")</f>
        <v>F</v>
      </c>
      <c r="G413" s="79" t="s">
        <v>159</v>
      </c>
      <c r="H413" s="79"/>
      <c r="I413" s="135"/>
      <c r="J413" s="135"/>
      <c r="K413" s="939"/>
      <c r="L413" s="2"/>
      <c r="M413" s="2"/>
      <c r="N413" s="2"/>
      <c r="O413" s="2"/>
      <c r="P413" s="2"/>
      <c r="Q413" s="2"/>
    </row>
    <row r="414" spans="1:17" s="1" customFormat="1" ht="16.5" thickBot="1">
      <c r="A414" s="4752"/>
      <c r="B414" s="4778" t="s">
        <v>144</v>
      </c>
      <c r="C414" s="4779"/>
      <c r="D414" s="4779"/>
      <c r="E414" s="4779"/>
      <c r="F414" s="4779"/>
      <c r="G414" s="4779"/>
      <c r="H414" s="4779"/>
      <c r="I414" s="4779"/>
      <c r="J414" s="4779"/>
      <c r="K414" s="4780"/>
      <c r="L414"/>
      <c r="M414" s="2"/>
      <c r="N414" s="2"/>
      <c r="O414" s="2"/>
      <c r="P414" s="2"/>
      <c r="Q414" s="2"/>
    </row>
    <row r="415" spans="1:17" s="1" customFormat="1" thickBot="1">
      <c r="A415" s="2"/>
      <c r="B415" s="3"/>
      <c r="C415" s="3"/>
      <c r="D415" s="3"/>
      <c r="E415" s="3"/>
      <c r="F415" s="3"/>
      <c r="G415" s="3"/>
      <c r="H415" s="3"/>
      <c r="I415" s="3"/>
      <c r="J415" s="3"/>
      <c r="K415" s="3"/>
      <c r="L415" s="3"/>
      <c r="M415" s="2"/>
      <c r="N415" s="2"/>
      <c r="O415" s="2"/>
      <c r="P415" s="2"/>
      <c r="Q415" s="2"/>
    </row>
    <row r="416" spans="1:17" s="1" customFormat="1" ht="19.5" customHeight="1">
      <c r="A416" s="307" t="s">
        <v>70</v>
      </c>
      <c r="B416" s="4744" t="s">
        <v>145</v>
      </c>
      <c r="C416" s="4745"/>
      <c r="D416" s="4745"/>
      <c r="E416" s="4745"/>
      <c r="F416" s="4745"/>
      <c r="G416" s="4745"/>
      <c r="H416" s="4745"/>
      <c r="I416" s="4745"/>
      <c r="J416" s="4745"/>
      <c r="K416" s="4746"/>
      <c r="L416" s="3"/>
      <c r="M416" s="2"/>
      <c r="N416" s="2"/>
      <c r="O416" s="2"/>
      <c r="P416" s="2"/>
      <c r="Q416" s="2"/>
    </row>
    <row r="417" spans="1:17" s="1" customFormat="1" ht="15.75" customHeight="1">
      <c r="A417" s="4752" t="str">
        <f>B416</f>
        <v>COMPOSITION ET SERVICE D'UN PLAT COMPLET</v>
      </c>
      <c r="B417" s="533" t="str">
        <f>ADDRESS(ROW(),COLUMN(),4)</f>
        <v>B417</v>
      </c>
      <c r="C417" s="903" t="s">
        <v>691</v>
      </c>
      <c r="D417" s="904"/>
      <c r="E417" s="904"/>
      <c r="F417" s="904"/>
      <c r="G417" s="904"/>
      <c r="H417" s="904"/>
      <c r="I417" s="904"/>
      <c r="J417" s="904"/>
      <c r="K417" s="536"/>
      <c r="L417" s="3"/>
      <c r="M417" s="2"/>
      <c r="N417" s="2"/>
      <c r="O417" s="2"/>
      <c r="P417" s="2"/>
      <c r="Q417" s="2"/>
    </row>
    <row r="418" spans="1:17" s="1" customFormat="1" ht="15" customHeight="1">
      <c r="A418" s="4752"/>
      <c r="B418" s="4753" t="s">
        <v>144</v>
      </c>
      <c r="C418" s="4754"/>
      <c r="D418" s="4754"/>
      <c r="E418" s="4754"/>
      <c r="F418" s="4754"/>
      <c r="G418" s="4754"/>
      <c r="H418" s="4754"/>
      <c r="I418" s="4754"/>
      <c r="J418" s="4754"/>
      <c r="K418" s="4755"/>
      <c r="L418" s="3"/>
      <c r="M418" s="2"/>
      <c r="N418" s="2"/>
      <c r="O418" s="2"/>
      <c r="P418" s="2"/>
      <c r="Q418" s="2"/>
    </row>
    <row r="419" spans="1:17" s="1" customFormat="1" ht="18">
      <c r="A419" s="4752"/>
      <c r="B419" s="4756" t="s">
        <v>143</v>
      </c>
      <c r="C419" s="4757"/>
      <c r="D419" s="4757"/>
      <c r="E419" s="4757"/>
      <c r="F419" s="4757"/>
      <c r="G419" s="4757"/>
      <c r="H419" s="4757"/>
      <c r="I419" s="4757"/>
      <c r="J419" s="4757"/>
      <c r="K419" s="4758"/>
      <c r="L419" s="3"/>
      <c r="M419" s="2"/>
      <c r="N419" s="2"/>
      <c r="O419" s="2"/>
      <c r="P419" s="2"/>
      <c r="Q419" s="2"/>
    </row>
    <row r="420" spans="1:17" s="1" customFormat="1" ht="15" customHeight="1">
      <c r="A420" s="4752"/>
      <c r="B420" s="4759" t="str">
        <f ca="1">CELL("nomfichier")</f>
        <v>D:\Données\Copie_ancien_DD\0-UPRT.fait\1-UPRT.FR-SITE-WEB\ff-fiches-fabrications\ff-fiches-fabrication-maj-08-2020\[ff-22-formats-formules-pourcentages.xlsx]Epurer.un.texte</v>
      </c>
      <c r="C420" s="4760"/>
      <c r="D420" s="4760"/>
      <c r="E420" s="4760"/>
      <c r="F420" s="4760"/>
      <c r="G420" s="4760"/>
      <c r="H420" s="4760"/>
      <c r="I420" s="4760"/>
      <c r="J420" s="4760"/>
      <c r="K420" s="4761"/>
      <c r="L420" s="3"/>
      <c r="M420" s="2"/>
      <c r="N420" s="2"/>
      <c r="O420" s="2"/>
      <c r="P420" s="2"/>
      <c r="Q420" s="2"/>
    </row>
    <row r="421" spans="1:17" s="1" customFormat="1" ht="26.25">
      <c r="A421" s="4752"/>
      <c r="B421" s="4762" t="s">
        <v>142</v>
      </c>
      <c r="C421" s="4763"/>
      <c r="D421" s="4763"/>
      <c r="E421" s="4763"/>
      <c r="F421" s="4763"/>
      <c r="G421" s="4763"/>
      <c r="H421" s="4763"/>
      <c r="I421" s="4763"/>
      <c r="J421" s="4763"/>
      <c r="K421" s="4764"/>
      <c r="L421" s="3"/>
      <c r="M421" s="2"/>
      <c r="N421" s="2"/>
      <c r="O421" s="2"/>
      <c r="P421" s="2"/>
      <c r="Q421" s="2"/>
    </row>
    <row r="422" spans="1:17" s="1" customFormat="1" ht="26.25">
      <c r="A422" s="4752"/>
      <c r="B422" s="34"/>
      <c r="C422" s="611"/>
      <c r="D422" s="611" t="s">
        <v>141</v>
      </c>
      <c r="E422" s="3"/>
      <c r="F422" s="612">
        <f ca="1">TODAY()</f>
        <v>45075</v>
      </c>
      <c r="G422" s="613"/>
      <c r="H422" s="614"/>
      <c r="I422" s="615">
        <f ca="1">NOW()</f>
        <v>45075.412900000003</v>
      </c>
      <c r="J422" s="615"/>
      <c r="K422" s="134"/>
      <c r="L422" s="3"/>
      <c r="M422" s="2"/>
      <c r="N422" s="2"/>
      <c r="O422" s="2"/>
      <c r="P422" s="2"/>
      <c r="Q422" s="2"/>
    </row>
    <row r="423" spans="1:17" s="1" customFormat="1">
      <c r="A423" s="4752"/>
      <c r="B423" s="928" t="s">
        <v>55</v>
      </c>
      <c r="C423" s="935" t="s">
        <v>868</v>
      </c>
      <c r="D423" s="2"/>
      <c r="E423" s="3"/>
      <c r="F423" s="3"/>
      <c r="G423" s="3"/>
      <c r="H423" s="617"/>
      <c r="I423" s="617"/>
      <c r="J423" s="617"/>
      <c r="K423" s="133"/>
      <c r="L423" s="3"/>
      <c r="M423" s="2"/>
      <c r="N423" s="2"/>
      <c r="O423" s="2"/>
      <c r="P423" s="2"/>
      <c r="Q423" s="2"/>
    </row>
    <row r="424" spans="1:17" s="1" customFormat="1" ht="15" customHeight="1">
      <c r="A424" s="4752"/>
      <c r="B424" s="168"/>
      <c r="C424" s="618" t="s">
        <v>64</v>
      </c>
      <c r="D424" s="619" t="s">
        <v>63</v>
      </c>
      <c r="E424" s="619" t="s">
        <v>62</v>
      </c>
      <c r="F424" s="619" t="s">
        <v>61</v>
      </c>
      <c r="G424" s="923" t="s">
        <v>133</v>
      </c>
      <c r="H424" s="4765" t="s">
        <v>65</v>
      </c>
      <c r="I424" s="4765"/>
      <c r="J424" s="4765"/>
      <c r="K424" s="521"/>
      <c r="L424" s="3"/>
      <c r="M424" s="2"/>
      <c r="N424" s="2"/>
      <c r="O424" s="2"/>
      <c r="P424" s="2"/>
      <c r="Q424" s="2"/>
    </row>
    <row r="425" spans="1:17" s="1" customFormat="1">
      <c r="A425" s="4752"/>
      <c r="B425" s="168"/>
      <c r="C425" s="132">
        <v>550</v>
      </c>
      <c r="D425" s="132">
        <v>920</v>
      </c>
      <c r="E425" s="132">
        <v>340</v>
      </c>
      <c r="F425" s="132">
        <v>150</v>
      </c>
      <c r="G425" s="132">
        <v>210</v>
      </c>
      <c r="H425" s="4766" t="s">
        <v>140</v>
      </c>
      <c r="I425" s="4766"/>
      <c r="J425" s="4766"/>
      <c r="K425" s="929">
        <f>SUM(C425:J425)</f>
        <v>2170</v>
      </c>
      <c r="L425" s="3"/>
      <c r="M425" s="2"/>
      <c r="N425" s="2"/>
      <c r="O425" s="2"/>
      <c r="P425" s="2"/>
      <c r="Q425" s="2"/>
    </row>
    <row r="426" spans="1:17" s="1" customFormat="1">
      <c r="A426" s="4752"/>
      <c r="B426" s="130"/>
      <c r="C426" s="620"/>
      <c r="D426" s="620"/>
      <c r="E426" s="620"/>
      <c r="F426" s="620"/>
      <c r="G426" s="620"/>
      <c r="H426" s="1551"/>
      <c r="I426" s="1551"/>
      <c r="J426" s="1551"/>
      <c r="K426" s="929"/>
      <c r="L426" s="3"/>
      <c r="M426" s="2"/>
      <c r="N426" s="2"/>
      <c r="O426" s="2"/>
      <c r="P426" s="2"/>
      <c r="Q426" s="2"/>
    </row>
    <row r="427" spans="1:17" s="1" customFormat="1">
      <c r="A427" s="4752"/>
      <c r="B427" s="928" t="s">
        <v>44</v>
      </c>
      <c r="C427" s="935" t="s">
        <v>139</v>
      </c>
      <c r="D427" s="620"/>
      <c r="E427" s="620"/>
      <c r="F427" s="620"/>
      <c r="G427" s="620"/>
      <c r="H427" s="1551"/>
      <c r="I427" s="1551"/>
      <c r="J427" s="1551"/>
      <c r="K427" s="930"/>
      <c r="L427" s="3"/>
      <c r="M427" s="2"/>
      <c r="N427" s="2"/>
      <c r="O427" s="2"/>
      <c r="P427" s="2"/>
      <c r="Q427" s="2"/>
    </row>
    <row r="428" spans="1:17" s="1" customFormat="1" ht="15" customHeight="1">
      <c r="A428" s="4752"/>
      <c r="B428" s="130"/>
      <c r="C428" s="2"/>
      <c r="D428" s="2"/>
      <c r="E428" s="2"/>
      <c r="F428" s="2"/>
      <c r="G428" s="2"/>
      <c r="H428" s="616"/>
      <c r="I428" s="2"/>
      <c r="J428" s="3"/>
      <c r="K428" s="131"/>
      <c r="L428" s="3"/>
      <c r="M428" s="2"/>
      <c r="N428" s="2"/>
      <c r="O428" s="2"/>
      <c r="P428" s="2"/>
      <c r="Q428" s="2"/>
    </row>
    <row r="429" spans="1:17" s="1" customFormat="1" ht="15" customHeight="1">
      <c r="A429" s="4752"/>
      <c r="B429" s="130"/>
      <c r="C429" s="621">
        <v>0</v>
      </c>
      <c r="D429" s="621">
        <v>1</v>
      </c>
      <c r="E429" s="621">
        <v>1</v>
      </c>
      <c r="F429" s="621">
        <v>0</v>
      </c>
      <c r="G429" s="621">
        <v>1</v>
      </c>
      <c r="H429" s="4767" t="s">
        <v>138</v>
      </c>
      <c r="I429" s="4767"/>
      <c r="J429" s="4767"/>
      <c r="K429" s="931">
        <f>(C429*C425)+(D429*D425)+(E429*E425)+(F429*F425)+(G429*G425)</f>
        <v>1470</v>
      </c>
      <c r="L429" s="3"/>
      <c r="M429" s="2"/>
      <c r="N429" s="2"/>
      <c r="O429" s="2"/>
      <c r="P429" s="2"/>
      <c r="Q429" s="2"/>
    </row>
    <row r="430" spans="1:17" s="1" customFormat="1" ht="15" customHeight="1">
      <c r="A430" s="4752"/>
      <c r="B430" s="130"/>
      <c r="C430" s="621">
        <v>1</v>
      </c>
      <c r="D430" s="621">
        <v>0</v>
      </c>
      <c r="E430" s="621">
        <v>0</v>
      </c>
      <c r="F430" s="621">
        <v>2</v>
      </c>
      <c r="G430" s="621">
        <v>0</v>
      </c>
      <c r="H430" s="4767" t="s">
        <v>137</v>
      </c>
      <c r="I430" s="4767"/>
      <c r="J430" s="4767"/>
      <c r="K430" s="931">
        <f>(C430*C425)+(D430*D425)+(E430*E425)+(F430*F425)+(G430*G425)</f>
        <v>850</v>
      </c>
      <c r="L430" s="3"/>
      <c r="M430" s="2"/>
      <c r="N430" s="2"/>
      <c r="O430" s="2"/>
      <c r="P430" s="2"/>
      <c r="Q430" s="2"/>
    </row>
    <row r="431" spans="1:17" s="1" customFormat="1" ht="15" customHeight="1">
      <c r="A431" s="4752"/>
      <c r="B431" s="130"/>
      <c r="C431" s="622">
        <v>0.5</v>
      </c>
      <c r="D431" s="621">
        <v>1</v>
      </c>
      <c r="E431" s="621">
        <v>1</v>
      </c>
      <c r="F431" s="621">
        <v>1</v>
      </c>
      <c r="G431" s="621">
        <v>1</v>
      </c>
      <c r="H431" s="4767" t="s">
        <v>136</v>
      </c>
      <c r="I431" s="4767"/>
      <c r="J431" s="4767"/>
      <c r="K431" s="931">
        <f>(C431*C425)+(D431*D425)+(E431*E425)+(F431*F425)+(G431*G425)</f>
        <v>1895</v>
      </c>
      <c r="L431" s="3"/>
      <c r="M431" s="2"/>
      <c r="N431" s="2"/>
      <c r="O431" s="2"/>
      <c r="P431" s="2"/>
      <c r="Q431" s="2"/>
    </row>
    <row r="432" spans="1:17" s="1" customFormat="1" ht="15" customHeight="1">
      <c r="A432" s="4752"/>
      <c r="B432" s="130"/>
      <c r="C432" s="621">
        <v>0</v>
      </c>
      <c r="D432" s="621">
        <v>0</v>
      </c>
      <c r="E432" s="621">
        <v>2</v>
      </c>
      <c r="F432" s="621">
        <v>2</v>
      </c>
      <c r="G432" s="621">
        <v>1</v>
      </c>
      <c r="H432" s="4767" t="s">
        <v>135</v>
      </c>
      <c r="I432" s="4767"/>
      <c r="J432" s="4767"/>
      <c r="K432" s="931">
        <f>(C432*C425)+(D432*D425)+(E432*E425)+(F432*F425)+(G432*G425)</f>
        <v>1190</v>
      </c>
      <c r="L432" s="3"/>
      <c r="M432" s="2"/>
      <c r="N432" s="2"/>
      <c r="O432" s="2"/>
      <c r="P432" s="2"/>
      <c r="Q432" s="2"/>
    </row>
    <row r="433" spans="1:17" s="1" customFormat="1">
      <c r="A433" s="4752"/>
      <c r="B433" s="130"/>
      <c r="C433" s="621">
        <v>1</v>
      </c>
      <c r="D433" s="621">
        <v>2</v>
      </c>
      <c r="E433" s="621">
        <v>0</v>
      </c>
      <c r="F433" s="621">
        <v>1</v>
      </c>
      <c r="G433" s="621">
        <v>0</v>
      </c>
      <c r="H433" s="4767" t="s">
        <v>134</v>
      </c>
      <c r="I433" s="4767"/>
      <c r="J433" s="4767"/>
      <c r="K433" s="931">
        <f>(C433*C425)+(D433*D425)+(E433*E425)+(F433*F425)+(G433*G425)</f>
        <v>2540</v>
      </c>
      <c r="L433" s="3"/>
      <c r="M433" s="2"/>
      <c r="N433" s="2"/>
      <c r="O433" s="2"/>
      <c r="P433" s="2"/>
      <c r="Q433" s="2"/>
    </row>
    <row r="434" spans="1:17" s="1" customFormat="1">
      <c r="A434" s="4752"/>
      <c r="B434" s="130"/>
      <c r="C434" s="618" t="s">
        <v>64</v>
      </c>
      <c r="D434" s="619" t="s">
        <v>63</v>
      </c>
      <c r="E434" s="619" t="s">
        <v>62</v>
      </c>
      <c r="F434" s="619" t="s">
        <v>61</v>
      </c>
      <c r="G434" s="923" t="s">
        <v>133</v>
      </c>
      <c r="H434" s="623"/>
      <c r="I434" s="2"/>
      <c r="J434" s="3"/>
      <c r="K434" s="931"/>
      <c r="L434" s="3"/>
      <c r="M434" s="2"/>
      <c r="N434" s="2"/>
      <c r="O434" s="2"/>
      <c r="P434" s="2"/>
      <c r="Q434" s="2"/>
    </row>
    <row r="435" spans="1:17" s="1" customFormat="1">
      <c r="A435" s="4752"/>
      <c r="B435" s="130"/>
      <c r="C435" s="624">
        <f>SUM(C429:C433)</f>
        <v>2.5</v>
      </c>
      <c r="D435" s="624">
        <f t="shared" ref="D435:G435" si="14">SUM(D429:D433)</f>
        <v>4</v>
      </c>
      <c r="E435" s="624">
        <f t="shared" si="14"/>
        <v>4</v>
      </c>
      <c r="F435" s="624">
        <f t="shared" si="14"/>
        <v>6</v>
      </c>
      <c r="G435" s="624">
        <f t="shared" si="14"/>
        <v>3</v>
      </c>
      <c r="H435" s="927" t="s">
        <v>869</v>
      </c>
      <c r="I435" s="2"/>
      <c r="J435" s="3"/>
      <c r="K435" s="932"/>
      <c r="L435" s="3"/>
      <c r="M435" s="2"/>
      <c r="N435" s="2"/>
      <c r="O435" s="2"/>
      <c r="P435" s="2"/>
      <c r="Q435" s="2"/>
    </row>
    <row r="436" spans="1:17" s="1" customFormat="1" ht="15.75" customHeight="1">
      <c r="A436" s="4752"/>
      <c r="B436" s="129"/>
      <c r="C436" s="625"/>
      <c r="D436" s="625"/>
      <c r="E436" s="625"/>
      <c r="F436" s="625"/>
      <c r="G436" s="625"/>
      <c r="H436" s="623"/>
      <c r="I436" s="2"/>
      <c r="J436" s="3"/>
      <c r="K436" s="933"/>
      <c r="L436" s="3"/>
      <c r="M436" s="2"/>
      <c r="N436" s="2"/>
      <c r="O436" s="2"/>
      <c r="P436" s="2"/>
      <c r="Q436" s="2"/>
    </row>
    <row r="437" spans="1:17" s="1" customFormat="1">
      <c r="A437" s="4752"/>
      <c r="B437" s="928" t="s">
        <v>46</v>
      </c>
      <c r="C437" s="626">
        <v>0.06</v>
      </c>
      <c r="D437" s="626">
        <v>0.08</v>
      </c>
      <c r="E437" s="626">
        <v>0.15</v>
      </c>
      <c r="F437" s="626">
        <v>0.2</v>
      </c>
      <c r="G437" s="626">
        <v>0.1</v>
      </c>
      <c r="H437" s="4767" t="s">
        <v>132</v>
      </c>
      <c r="I437" s="4767"/>
      <c r="J437" s="4767"/>
      <c r="K437" s="934">
        <f>(C437*C425)+(D437*D425)+(E437*E425)+(F437*F425)+(G437*G425)</f>
        <v>208.60000000000002</v>
      </c>
      <c r="L437" s="3"/>
      <c r="M437" s="2"/>
      <c r="N437" s="2"/>
      <c r="O437" s="2"/>
      <c r="P437" s="2"/>
      <c r="Q437" s="2"/>
    </row>
    <row r="438" spans="1:17" s="1" customFormat="1" ht="15">
      <c r="A438" s="4752"/>
      <c r="B438" s="129"/>
      <c r="C438" s="625"/>
      <c r="D438" s="625"/>
      <c r="E438" s="625"/>
      <c r="F438" s="625"/>
      <c r="G438" s="625"/>
      <c r="H438" s="924"/>
      <c r="I438" s="925"/>
      <c r="J438" s="926"/>
      <c r="K438" s="931"/>
      <c r="L438" s="3"/>
      <c r="M438" s="2"/>
      <c r="N438" s="2"/>
      <c r="O438" s="2"/>
      <c r="P438" s="2"/>
      <c r="Q438" s="2"/>
    </row>
    <row r="439" spans="1:17" s="1" customFormat="1">
      <c r="A439" s="4752"/>
      <c r="B439" s="928" t="s">
        <v>457</v>
      </c>
      <c r="C439" s="626">
        <v>0.06</v>
      </c>
      <c r="D439" s="626">
        <v>0.1</v>
      </c>
      <c r="E439" s="626">
        <v>0.12</v>
      </c>
      <c r="F439" s="626">
        <v>0.15</v>
      </c>
      <c r="G439" s="626">
        <v>0.12</v>
      </c>
      <c r="H439" s="4767" t="s">
        <v>131</v>
      </c>
      <c r="I439" s="4767"/>
      <c r="J439" s="4767"/>
      <c r="K439" s="934">
        <f>(C439*C425)+(D439*D425)+(E439*E425)+(F439*F425)+(G439*G425)</f>
        <v>213.5</v>
      </c>
      <c r="L439" s="3"/>
      <c r="M439" s="2"/>
      <c r="N439" s="2"/>
      <c r="O439" s="2"/>
      <c r="P439" s="2"/>
      <c r="Q439" s="2"/>
    </row>
    <row r="440" spans="1:17" s="1" customFormat="1" ht="15">
      <c r="A440" s="4752"/>
      <c r="B440" s="129"/>
      <c r="C440" s="625"/>
      <c r="D440" s="625"/>
      <c r="E440" s="625"/>
      <c r="F440" s="625"/>
      <c r="G440" s="625"/>
      <c r="H440" s="924"/>
      <c r="I440" s="925"/>
      <c r="J440" s="926"/>
      <c r="K440" s="931"/>
      <c r="L440" s="3"/>
      <c r="M440" s="2"/>
      <c r="N440" s="2"/>
      <c r="O440" s="2"/>
      <c r="P440" s="2"/>
      <c r="Q440" s="2"/>
    </row>
    <row r="441" spans="1:17" s="1" customFormat="1">
      <c r="A441" s="4752"/>
      <c r="B441" s="928" t="s">
        <v>469</v>
      </c>
      <c r="C441" s="626">
        <v>0.06</v>
      </c>
      <c r="D441" s="626">
        <v>0.1</v>
      </c>
      <c r="E441" s="626">
        <v>0.15</v>
      </c>
      <c r="F441" s="626">
        <v>0.2</v>
      </c>
      <c r="G441" s="626">
        <v>0.15</v>
      </c>
      <c r="H441" s="4767" t="s">
        <v>130</v>
      </c>
      <c r="I441" s="4767"/>
      <c r="J441" s="4767"/>
      <c r="K441" s="934">
        <f>(C441*C425)+(D441*D425)+(E441*E425)+(F441*F425)+(G441*G425)</f>
        <v>237.5</v>
      </c>
      <c r="L441" s="3"/>
      <c r="M441" s="2"/>
      <c r="N441" s="2"/>
      <c r="O441" s="2"/>
      <c r="P441" s="2"/>
      <c r="Q441" s="2"/>
    </row>
    <row r="442" spans="1:17" s="1" customFormat="1" thickBot="1">
      <c r="A442" s="4752"/>
      <c r="B442" s="128"/>
      <c r="C442" s="127"/>
      <c r="D442" s="123"/>
      <c r="E442" s="126"/>
      <c r="F442" s="125"/>
      <c r="G442" s="124"/>
      <c r="H442" s="124"/>
      <c r="I442" s="123"/>
      <c r="J442" s="123"/>
      <c r="K442" s="122"/>
      <c r="L442" s="3"/>
      <c r="M442" s="2"/>
      <c r="N442" s="2"/>
      <c r="O442" s="2"/>
      <c r="P442" s="2"/>
      <c r="Q442" s="2"/>
    </row>
    <row r="443" spans="1:17" s="1" customFormat="1" ht="15">
      <c r="A443" s="2"/>
      <c r="B443" s="3"/>
      <c r="C443" s="3"/>
      <c r="D443" s="3"/>
      <c r="E443" s="3"/>
      <c r="F443" s="3"/>
      <c r="G443" s="3"/>
      <c r="H443" s="3"/>
      <c r="I443" s="3"/>
      <c r="J443" s="3"/>
      <c r="K443" s="3"/>
      <c r="L443" s="3"/>
      <c r="M443" s="2"/>
      <c r="N443" s="2"/>
      <c r="O443" s="2"/>
      <c r="P443" s="2"/>
      <c r="Q443" s="2"/>
    </row>
    <row r="444" spans="1:17" s="1" customFormat="1" ht="15">
      <c r="A444" s="4"/>
      <c r="B444" s="5"/>
      <c r="C444" s="6"/>
      <c r="D444" s="6"/>
      <c r="E444" s="6"/>
      <c r="F444" s="6"/>
      <c r="G444" s="6"/>
      <c r="H444" s="6"/>
      <c r="I444" s="6"/>
      <c r="J444" s="5"/>
      <c r="K444" s="5"/>
      <c r="L444" s="5"/>
      <c r="M444" s="4"/>
      <c r="N444" s="4"/>
      <c r="O444" s="4"/>
      <c r="P444" s="4"/>
      <c r="Q444" s="4"/>
    </row>
    <row r="445" spans="1:17" s="1" customFormat="1" thickBot="1">
      <c r="A445" s="2"/>
      <c r="B445" s="3"/>
      <c r="C445" s="3"/>
      <c r="D445" s="3"/>
      <c r="E445" s="3"/>
      <c r="F445" s="3"/>
      <c r="G445" s="3"/>
      <c r="H445" s="3"/>
      <c r="I445" s="3"/>
      <c r="J445" s="3"/>
      <c r="K445" s="3"/>
      <c r="L445" s="3"/>
      <c r="M445" s="2"/>
      <c r="N445" s="2"/>
      <c r="O445" s="2"/>
      <c r="P445" s="2"/>
      <c r="Q445" s="2"/>
    </row>
    <row r="446" spans="1:17" s="1" customFormat="1" ht="18">
      <c r="A446" s="307" t="s">
        <v>70</v>
      </c>
      <c r="B446" s="4729" t="s">
        <v>129</v>
      </c>
      <c r="C446" s="4730"/>
      <c r="D446" s="4730"/>
      <c r="E446" s="4730"/>
      <c r="F446" s="4730"/>
      <c r="G446" s="4730"/>
      <c r="H446" s="4730"/>
      <c r="I446" s="4730"/>
      <c r="J446" s="4730"/>
      <c r="K446" s="4731"/>
      <c r="L446" s="2"/>
      <c r="M446" s="2"/>
      <c r="N446" s="2"/>
      <c r="O446" s="2"/>
      <c r="P446" s="2"/>
      <c r="Q446" s="2"/>
    </row>
    <row r="447" spans="1:17" s="1" customFormat="1" ht="15.75" customHeight="1">
      <c r="A447" s="4717" t="str">
        <f>B446</f>
        <v>Comment respecter un grammage à servir Exemple N° 1</v>
      </c>
      <c r="B447" s="533" t="str">
        <f>ADDRESS(ROW(),COLUMN(),4)</f>
        <v>B447</v>
      </c>
      <c r="C447" s="534" t="s">
        <v>691</v>
      </c>
      <c r="D447" s="535"/>
      <c r="E447" s="535"/>
      <c r="F447" s="535"/>
      <c r="G447" s="535"/>
      <c r="H447" s="535"/>
      <c r="I447" s="535"/>
      <c r="J447" s="535"/>
      <c r="K447" s="536"/>
      <c r="L447" s="2"/>
      <c r="M447" s="2"/>
      <c r="N447" s="2"/>
      <c r="O447" s="2"/>
      <c r="P447" s="2"/>
      <c r="Q447" s="2"/>
    </row>
    <row r="448" spans="1:17" s="1" customFormat="1" ht="15" customHeight="1">
      <c r="A448" s="4717"/>
      <c r="B448" s="4718" t="s">
        <v>867</v>
      </c>
      <c r="C448" s="4719"/>
      <c r="D448" s="4719"/>
      <c r="E448" s="4719"/>
      <c r="F448" s="4719"/>
      <c r="G448" s="4719"/>
      <c r="H448" s="4719"/>
      <c r="I448" s="4719"/>
      <c r="J448" s="4719"/>
      <c r="K448" s="4720"/>
      <c r="L448" s="2"/>
      <c r="M448" s="2"/>
      <c r="N448" s="2"/>
      <c r="O448" s="2"/>
      <c r="P448" s="2"/>
      <c r="Q448" s="2"/>
    </row>
    <row r="449" spans="1:17" s="1" customFormat="1" ht="15" customHeight="1">
      <c r="A449" s="4717"/>
      <c r="B449" s="4721"/>
      <c r="C449" s="4722"/>
      <c r="D449" s="4722"/>
      <c r="E449" s="4722"/>
      <c r="F449" s="4722"/>
      <c r="G449" s="4722"/>
      <c r="H449" s="4722"/>
      <c r="I449" s="4722"/>
      <c r="J449" s="4722"/>
      <c r="K449" s="4723"/>
      <c r="L449" s="2"/>
      <c r="M449" s="2"/>
      <c r="N449" s="2"/>
      <c r="O449" s="2"/>
      <c r="P449" s="2"/>
      <c r="Q449" s="2"/>
    </row>
    <row r="450" spans="1:17" s="1" customFormat="1" ht="15.75" customHeight="1">
      <c r="A450" s="4717"/>
      <c r="B450" s="4724" t="s">
        <v>126</v>
      </c>
      <c r="C450" s="4725"/>
      <c r="D450" s="4726">
        <v>130</v>
      </c>
      <c r="E450" s="4728" t="s">
        <v>125</v>
      </c>
      <c r="F450" s="4728"/>
      <c r="G450" s="4734">
        <v>70</v>
      </c>
      <c r="H450" s="856"/>
      <c r="I450" s="4736" t="str">
        <f>IF(K450="","produit à servir","produits entiers à couper en ")</f>
        <v xml:space="preserve">produits entiers à couper en </v>
      </c>
      <c r="J450" s="4736"/>
      <c r="K450" s="4699">
        <f>IF(J461=1,"",J461)</f>
        <v>0.5</v>
      </c>
      <c r="L450" s="2"/>
      <c r="M450" s="2"/>
      <c r="N450" s="2"/>
      <c r="O450" s="2"/>
      <c r="P450" s="2"/>
      <c r="Q450" s="2"/>
    </row>
    <row r="451" spans="1:17" s="1" customFormat="1">
      <c r="A451" s="4717"/>
      <c r="B451" s="4724"/>
      <c r="C451" s="4725"/>
      <c r="D451" s="4727"/>
      <c r="E451" s="4728"/>
      <c r="F451" s="4728"/>
      <c r="G451" s="4735"/>
      <c r="H451" s="856"/>
      <c r="I451" s="4736"/>
      <c r="J451" s="4736"/>
      <c r="K451" s="4699"/>
      <c r="L451" s="2"/>
      <c r="M451" s="2"/>
      <c r="N451" s="2"/>
      <c r="O451" s="2"/>
      <c r="P451" s="2"/>
      <c r="Q451" s="2"/>
    </row>
    <row r="452" spans="1:17" s="1" customFormat="1">
      <c r="A452" s="4717"/>
      <c r="B452" s="830"/>
      <c r="C452" s="843"/>
      <c r="D452" s="4700" t="s">
        <v>848</v>
      </c>
      <c r="E452" s="4702">
        <f>LARGE(E462:E466,1)</f>
        <v>5</v>
      </c>
      <c r="F452" s="4700" t="s">
        <v>124</v>
      </c>
      <c r="G452" s="4702" t="s">
        <v>108</v>
      </c>
      <c r="H452" s="4700">
        <f>LARGE(F462:F466,1)</f>
        <v>9</v>
      </c>
      <c r="I452" s="4700" t="s">
        <v>123</v>
      </c>
      <c r="J452" s="831"/>
      <c r="K452" s="832"/>
      <c r="L452" s="2"/>
      <c r="M452" s="2"/>
      <c r="N452" s="2"/>
      <c r="O452" s="2"/>
      <c r="P452" s="2"/>
      <c r="Q452" s="2"/>
    </row>
    <row r="453" spans="1:17" s="1" customFormat="1" ht="15.75" customHeight="1">
      <c r="A453" s="4717"/>
      <c r="B453" s="833"/>
      <c r="C453" s="844"/>
      <c r="D453" s="4701"/>
      <c r="E453" s="4703"/>
      <c r="F453" s="4701"/>
      <c r="G453" s="4703"/>
      <c r="H453" s="4701"/>
      <c r="I453" s="4701"/>
      <c r="J453" s="535"/>
      <c r="K453" s="536"/>
      <c r="L453" s="2"/>
      <c r="M453" s="2"/>
      <c r="N453" s="2"/>
      <c r="O453" s="2"/>
      <c r="P453" s="2"/>
      <c r="Q453" s="2"/>
    </row>
    <row r="454" spans="1:17" s="1" customFormat="1" ht="15" customHeight="1">
      <c r="A454" s="4717"/>
      <c r="B454" s="4737" t="s">
        <v>847</v>
      </c>
      <c r="C454" s="4738"/>
      <c r="D454" s="4738"/>
      <c r="E454" s="4738"/>
      <c r="F454" s="4738"/>
      <c r="G454" s="4738"/>
      <c r="H454" s="4738"/>
      <c r="I454" s="4738"/>
      <c r="J454" s="4738"/>
      <c r="K454" s="4739"/>
      <c r="L454" s="2"/>
      <c r="M454" s="2"/>
      <c r="N454" s="2"/>
      <c r="O454" s="2"/>
      <c r="P454" s="2"/>
      <c r="Q454" s="2"/>
    </row>
    <row r="455" spans="1:17" s="1" customFormat="1" ht="15" customHeight="1">
      <c r="A455" s="4717"/>
      <c r="B455" s="4740"/>
      <c r="C455" s="4741"/>
      <c r="D455" s="4741"/>
      <c r="E455" s="4741"/>
      <c r="F455" s="4741"/>
      <c r="G455" s="4741"/>
      <c r="H455" s="4741"/>
      <c r="I455" s="4741"/>
      <c r="J455" s="4741"/>
      <c r="K455" s="4742"/>
      <c r="L455" s="2"/>
      <c r="M455" s="2"/>
      <c r="N455" s="2"/>
      <c r="O455" s="2"/>
      <c r="P455" s="2"/>
      <c r="Q455" s="2"/>
    </row>
    <row r="456" spans="1:17" s="1" customFormat="1" ht="15" customHeight="1">
      <c r="A456" s="4717"/>
      <c r="B456" s="4712" t="str">
        <f>IF(C456="","MOINS","Servir ")</f>
        <v xml:space="preserve">Servir </v>
      </c>
      <c r="C456" s="4743">
        <f>IF(E452-1=0,"",E452-1)</f>
        <v>4</v>
      </c>
      <c r="D456" s="4710" t="str">
        <f>IF(C456="","",IF(F456=1,"produits entiers de","produits coupés en "))</f>
        <v xml:space="preserve">produits coupés en </v>
      </c>
      <c r="E456" s="4710"/>
      <c r="F456" s="4732">
        <f>IF(C456="","",H452/C456)</f>
        <v>2.25</v>
      </c>
      <c r="G456" s="4715" t="str">
        <f>IF(C456="","","parts")</f>
        <v>parts</v>
      </c>
      <c r="H456" s="4710" t="str">
        <f>IF(C456="","","grammage unitaire")</f>
        <v>grammage unitaire</v>
      </c>
      <c r="I456" s="4710"/>
      <c r="J456" s="4711">
        <f>IF(C456="","",B467/F456)</f>
        <v>5.7777777777777782E-2</v>
      </c>
      <c r="K456" s="854"/>
      <c r="L456" s="2"/>
      <c r="M456" s="2"/>
      <c r="N456" s="2"/>
      <c r="O456" s="2"/>
      <c r="P456" s="2"/>
      <c r="Q456" s="2"/>
    </row>
    <row r="457" spans="1:17" s="1" customFormat="1" ht="15" customHeight="1">
      <c r="A457" s="4717"/>
      <c r="B457" s="4712"/>
      <c r="C457" s="4743"/>
      <c r="D457" s="4710"/>
      <c r="E457" s="4710"/>
      <c r="F457" s="4732"/>
      <c r="G457" s="4715"/>
      <c r="H457" s="4710"/>
      <c r="I457" s="4710"/>
      <c r="J457" s="4711"/>
      <c r="K457" s="855" t="s">
        <v>849</v>
      </c>
      <c r="L457" s="2"/>
      <c r="M457" s="2"/>
      <c r="N457" s="2"/>
      <c r="O457" s="2"/>
      <c r="P457" s="2"/>
      <c r="Q457" s="2"/>
    </row>
    <row r="458" spans="1:17" s="1" customFormat="1" ht="15" customHeight="1">
      <c r="A458" s="4717"/>
      <c r="B458" s="4712" t="str">
        <f>IF(C456="","","plus")</f>
        <v>plus</v>
      </c>
      <c r="C458" s="4713">
        <f>IF(C456="","",E452-C456)</f>
        <v>1</v>
      </c>
      <c r="D458" s="4710" t="str">
        <f>IF(C458="","","produit coupé en ")</f>
        <v xml:space="preserve">produit coupé en </v>
      </c>
      <c r="E458" s="4710"/>
      <c r="F458" s="4714">
        <f>IF(D458="","",H452)</f>
        <v>9</v>
      </c>
      <c r="G458" s="4715" t="str">
        <f>IF(D458="","","parts")</f>
        <v>parts</v>
      </c>
      <c r="H458" s="834"/>
      <c r="I458" s="4716" t="str">
        <f>IF(C458="","moins"," de")</f>
        <v xml:space="preserve"> de</v>
      </c>
      <c r="J458" s="4711">
        <f>IF(D458="",B467-C467,B467/F458)</f>
        <v>1.4444444444444446E-2</v>
      </c>
      <c r="K458" s="4733">
        <f>(D450/H452)*E452</f>
        <v>72.222222222222229</v>
      </c>
      <c r="L458" s="2"/>
      <c r="M458" s="2"/>
      <c r="N458" s="2"/>
      <c r="O458" s="2"/>
      <c r="P458" s="2"/>
      <c r="Q458" s="2"/>
    </row>
    <row r="459" spans="1:17" s="1" customFormat="1" ht="15" customHeight="1">
      <c r="A459" s="4717"/>
      <c r="B459" s="4712"/>
      <c r="C459" s="4713"/>
      <c r="D459" s="4710"/>
      <c r="E459" s="4710"/>
      <c r="F459" s="4714"/>
      <c r="G459" s="4715"/>
      <c r="H459" s="834"/>
      <c r="I459" s="4716"/>
      <c r="J459" s="4711"/>
      <c r="K459" s="4733"/>
      <c r="L459" s="2"/>
      <c r="M459" s="2"/>
      <c r="N459" s="2"/>
      <c r="O459" s="2"/>
      <c r="P459" s="2"/>
      <c r="Q459" s="2"/>
    </row>
    <row r="460" spans="1:17" s="1" customFormat="1" ht="22.5" customHeight="1">
      <c r="A460" s="4717"/>
      <c r="B460" s="1521"/>
      <c r="C460" s="1526"/>
      <c r="D460" s="1522"/>
      <c r="E460" s="1522"/>
      <c r="F460" s="1523"/>
      <c r="G460" s="25"/>
      <c r="H460" s="834"/>
      <c r="I460" s="1524"/>
      <c r="J460" s="1525"/>
      <c r="K460" s="855"/>
      <c r="L460" s="2"/>
      <c r="M460" s="2"/>
      <c r="N460" s="2"/>
      <c r="O460" s="2"/>
      <c r="P460" s="2"/>
      <c r="Q460" s="2"/>
    </row>
    <row r="461" spans="1:17" s="1" customFormat="1" ht="15" customHeight="1">
      <c r="A461" s="4717"/>
      <c r="B461" s="826" t="s">
        <v>122</v>
      </c>
      <c r="C461" s="835" t="s">
        <v>121</v>
      </c>
      <c r="D461" s="835" t="s">
        <v>120</v>
      </c>
      <c r="E461" s="836" t="s">
        <v>119</v>
      </c>
      <c r="F461" s="836"/>
      <c r="G461" s="837" t="s">
        <v>118</v>
      </c>
      <c r="H461" s="838" t="s">
        <v>108</v>
      </c>
      <c r="I461" s="838"/>
      <c r="J461" s="839">
        <f>LARGE(K462:K466,1)</f>
        <v>0.5</v>
      </c>
      <c r="K461" s="827">
        <f>SMALL(D462:D466,COUNTIF(D462:D466,0)+1)</f>
        <v>1.9999999999999907E-2</v>
      </c>
      <c r="L461" s="2"/>
      <c r="M461" s="2"/>
      <c r="N461" s="2"/>
      <c r="O461" s="2"/>
      <c r="P461" s="2"/>
      <c r="Q461" s="2"/>
    </row>
    <row r="462" spans="1:17" s="1" customFormat="1" ht="15">
      <c r="A462" s="4717"/>
      <c r="B462" s="828">
        <f>C467*H462</f>
        <v>7.0000000000000007E-2</v>
      </c>
      <c r="C462" s="840">
        <f>B467*G462</f>
        <v>0.13</v>
      </c>
      <c r="D462" s="840">
        <f>C462-B462</f>
        <v>0.06</v>
      </c>
      <c r="E462" s="841">
        <f>IF(D462=0,0,IF(D462=K461,G462,0))</f>
        <v>0</v>
      </c>
      <c r="F462" s="841">
        <f>IF(E462&gt;0,H462,0)</f>
        <v>0</v>
      </c>
      <c r="G462" s="839">
        <v>1</v>
      </c>
      <c r="H462" s="842">
        <f>INT(I462)</f>
        <v>1</v>
      </c>
      <c r="I462" s="842">
        <f>C462/C467</f>
        <v>1.857142857142857</v>
      </c>
      <c r="J462" s="839">
        <f>IF(E462=0,0,E462/F462)</f>
        <v>0</v>
      </c>
      <c r="K462" s="829">
        <f>ROUNDDOWN(J462,1)</f>
        <v>0</v>
      </c>
      <c r="L462" s="2"/>
      <c r="M462" s="2"/>
      <c r="N462" s="2"/>
      <c r="O462" s="2"/>
      <c r="P462" s="2"/>
      <c r="Q462" s="2"/>
    </row>
    <row r="463" spans="1:17" s="1" customFormat="1" ht="15" customHeight="1">
      <c r="A463" s="4717"/>
      <c r="B463" s="828">
        <f>C467*H463</f>
        <v>0.21000000000000002</v>
      </c>
      <c r="C463" s="840">
        <f>B467*G463</f>
        <v>0.26</v>
      </c>
      <c r="D463" s="840">
        <f>C463-B463</f>
        <v>4.9999999999999989E-2</v>
      </c>
      <c r="E463" s="841">
        <f>IF(D463=0,0,IF(D463=K461,G463,0))</f>
        <v>0</v>
      </c>
      <c r="F463" s="841">
        <f>IF(E463&gt;0,H463,0)</f>
        <v>0</v>
      </c>
      <c r="G463" s="839">
        <v>2</v>
      </c>
      <c r="H463" s="842">
        <f>INT(I463)</f>
        <v>3</v>
      </c>
      <c r="I463" s="842">
        <f>C463/C467</f>
        <v>3.714285714285714</v>
      </c>
      <c r="J463" s="839">
        <f>IF(E463=0,0,E463/F463)</f>
        <v>0</v>
      </c>
      <c r="K463" s="829">
        <f>ROUNDDOWN(J463,1)</f>
        <v>0</v>
      </c>
      <c r="L463" s="2"/>
      <c r="M463" s="2"/>
      <c r="N463" s="2"/>
      <c r="O463" s="2"/>
      <c r="P463" s="2"/>
      <c r="Q463" s="2"/>
    </row>
    <row r="464" spans="1:17" s="1" customFormat="1" ht="15" customHeight="1">
      <c r="A464" s="4717"/>
      <c r="B464" s="828">
        <f>C467*H464</f>
        <v>0.35000000000000003</v>
      </c>
      <c r="C464" s="840">
        <f>B467*G464</f>
        <v>0.39</v>
      </c>
      <c r="D464" s="840">
        <f>C464-B464</f>
        <v>3.999999999999998E-2</v>
      </c>
      <c r="E464" s="841">
        <f>IF(D464=0,0,IF(D464=K461,G464,0))</f>
        <v>0</v>
      </c>
      <c r="F464" s="841">
        <f>IF(E464&gt;0,H464,0)</f>
        <v>0</v>
      </c>
      <c r="G464" s="839">
        <v>3</v>
      </c>
      <c r="H464" s="842">
        <f>INT(I464)</f>
        <v>5</v>
      </c>
      <c r="I464" s="842">
        <f>C464/C467</f>
        <v>5.5714285714285712</v>
      </c>
      <c r="J464" s="839">
        <f>IF(E464=0,0,E464/F464)</f>
        <v>0</v>
      </c>
      <c r="K464" s="829">
        <f>ROUNDDOWN(J464,1)</f>
        <v>0</v>
      </c>
      <c r="L464" s="2"/>
      <c r="M464" s="2"/>
      <c r="N464" s="2"/>
      <c r="O464" s="2"/>
      <c r="P464" s="2"/>
      <c r="Q464" s="2"/>
    </row>
    <row r="465" spans="1:17" s="1" customFormat="1" ht="15" customHeight="1">
      <c r="A465" s="4717"/>
      <c r="B465" s="828">
        <f>C467*H465</f>
        <v>0.49000000000000005</v>
      </c>
      <c r="C465" s="840">
        <f>B467*G465</f>
        <v>0.52</v>
      </c>
      <c r="D465" s="840">
        <f>C465-B465</f>
        <v>2.9999999999999971E-2</v>
      </c>
      <c r="E465" s="841">
        <f>IF(D465=0,0,IF(D465=K461,G465,0))</f>
        <v>0</v>
      </c>
      <c r="F465" s="841">
        <f>IF(E465&gt;0,H465,0)</f>
        <v>0</v>
      </c>
      <c r="G465" s="839">
        <v>4</v>
      </c>
      <c r="H465" s="842">
        <f>INT(I465)</f>
        <v>7</v>
      </c>
      <c r="I465" s="842">
        <f>C465/C467</f>
        <v>7.4285714285714279</v>
      </c>
      <c r="J465" s="839">
        <f>IF(E465=0,0,E465/F465)</f>
        <v>0</v>
      </c>
      <c r="K465" s="829">
        <f>ROUNDDOWN(J465,1)</f>
        <v>0</v>
      </c>
      <c r="L465" s="2"/>
      <c r="M465" s="2"/>
      <c r="N465" s="2"/>
      <c r="O465" s="2"/>
      <c r="P465" s="2"/>
      <c r="Q465" s="2"/>
    </row>
    <row r="466" spans="1:17" s="1" customFormat="1" ht="15.75" customHeight="1">
      <c r="A466" s="4717"/>
      <c r="B466" s="848">
        <f>C467*H466</f>
        <v>0.63000000000000012</v>
      </c>
      <c r="C466" s="849">
        <f>B467*G466</f>
        <v>0.65</v>
      </c>
      <c r="D466" s="849">
        <f>C466-B466</f>
        <v>1.9999999999999907E-2</v>
      </c>
      <c r="E466" s="850">
        <f>IF(D466=0,0,IF(D466=K461,G466,0))</f>
        <v>5</v>
      </c>
      <c r="F466" s="850">
        <f>IF(E466&gt;0,H466,0)</f>
        <v>9</v>
      </c>
      <c r="G466" s="851">
        <v>5</v>
      </c>
      <c r="H466" s="852">
        <f>INT(I466)</f>
        <v>9</v>
      </c>
      <c r="I466" s="852">
        <f>C466/C467</f>
        <v>9.2857142857142847</v>
      </c>
      <c r="J466" s="851">
        <f>IF(E466=0,0,E466/F466)</f>
        <v>0.55555555555555558</v>
      </c>
      <c r="K466" s="853">
        <f>ROUNDDOWN(J466,1)</f>
        <v>0.5</v>
      </c>
      <c r="L466" s="2"/>
      <c r="M466" s="2"/>
      <c r="N466" s="2"/>
      <c r="O466" s="2"/>
      <c r="P466" s="2"/>
      <c r="Q466" s="2"/>
    </row>
    <row r="467" spans="1:17" s="1" customFormat="1" ht="15" customHeight="1">
      <c r="A467" s="4717"/>
      <c r="B467" s="840">
        <f>D450/1000</f>
        <v>0.13</v>
      </c>
      <c r="C467" s="840">
        <f>G450/1000</f>
        <v>7.0000000000000007E-2</v>
      </c>
      <c r="D467" s="840"/>
      <c r="E467" s="841"/>
      <c r="F467" s="841"/>
      <c r="G467" s="839"/>
      <c r="H467" s="842"/>
      <c r="I467" s="842"/>
      <c r="J467" s="839"/>
      <c r="K467" s="829"/>
      <c r="L467" s="2"/>
      <c r="M467" s="2"/>
      <c r="N467" s="2"/>
      <c r="O467" s="2"/>
      <c r="P467" s="2"/>
      <c r="Q467" s="2"/>
    </row>
    <row r="468" spans="1:17" s="1" customFormat="1" ht="15" customHeight="1">
      <c r="A468" s="4717"/>
      <c r="B468" s="4693" t="s">
        <v>687</v>
      </c>
      <c r="C468" s="4694"/>
      <c r="D468" s="4694"/>
      <c r="E468" s="4694"/>
      <c r="F468" s="4694"/>
      <c r="G468" s="4694"/>
      <c r="H468" s="4694"/>
      <c r="I468" s="4694"/>
      <c r="J468" s="4694"/>
      <c r="K468" s="4695"/>
      <c r="L468" s="2"/>
      <c r="M468" s="2"/>
      <c r="N468" s="2"/>
      <c r="O468" s="2"/>
      <c r="P468" s="2"/>
      <c r="Q468" s="2"/>
    </row>
    <row r="469" spans="1:17" s="1" customFormat="1" ht="15" customHeight="1">
      <c r="A469" s="4717"/>
      <c r="B469" s="4696" t="s">
        <v>128</v>
      </c>
      <c r="C469" s="4697"/>
      <c r="D469" s="4697"/>
      <c r="E469" s="4697"/>
      <c r="F469" s="4697"/>
      <c r="G469" s="4697"/>
      <c r="H469" s="4697"/>
      <c r="I469" s="4697"/>
      <c r="J469" s="4697"/>
      <c r="K469" s="4698"/>
      <c r="L469" s="2"/>
      <c r="M469" s="2"/>
      <c r="N469" s="2"/>
      <c r="O469" s="2"/>
      <c r="P469" s="2"/>
      <c r="Q469" s="2"/>
    </row>
    <row r="470" spans="1:17" s="1" customFormat="1" ht="15" customHeight="1">
      <c r="A470" s="4717"/>
      <c r="B470" s="4696"/>
      <c r="C470" s="4697"/>
      <c r="D470" s="4697"/>
      <c r="E470" s="4697"/>
      <c r="F470" s="4697"/>
      <c r="G470" s="4697"/>
      <c r="H470" s="4697"/>
      <c r="I470" s="4697"/>
      <c r="J470" s="4697"/>
      <c r="K470" s="4698"/>
      <c r="L470" s="2"/>
      <c r="M470" s="2"/>
      <c r="N470" s="2"/>
      <c r="O470" s="2"/>
      <c r="P470" s="2"/>
      <c r="Q470" s="2"/>
    </row>
    <row r="471" spans="1:17" s="1" customFormat="1" ht="15" customHeight="1">
      <c r="A471" s="4717"/>
      <c r="B471" s="4696"/>
      <c r="C471" s="4697"/>
      <c r="D471" s="4697"/>
      <c r="E471" s="4697"/>
      <c r="F471" s="4697"/>
      <c r="G471" s="4697"/>
      <c r="H471" s="4697"/>
      <c r="I471" s="4697"/>
      <c r="J471" s="4697"/>
      <c r="K471" s="4698"/>
      <c r="L471" s="2"/>
      <c r="M471" s="2"/>
      <c r="N471" s="2"/>
      <c r="O471" s="2"/>
      <c r="P471" s="2"/>
      <c r="Q471" s="2"/>
    </row>
    <row r="472" spans="1:17" s="1" customFormat="1" ht="15" customHeight="1">
      <c r="A472" s="4717"/>
      <c r="B472" s="4696" t="s">
        <v>127</v>
      </c>
      <c r="C472" s="4697"/>
      <c r="D472" s="4697"/>
      <c r="E472" s="4697"/>
      <c r="F472" s="4697"/>
      <c r="G472" s="4697"/>
      <c r="H472" s="4697"/>
      <c r="I472" s="4697"/>
      <c r="J472" s="4697"/>
      <c r="K472" s="4698"/>
      <c r="L472" s="2"/>
      <c r="M472" s="2"/>
      <c r="N472" s="2"/>
      <c r="O472" s="2"/>
      <c r="P472" s="2"/>
      <c r="Q472" s="2"/>
    </row>
    <row r="473" spans="1:17" s="1" customFormat="1" ht="15">
      <c r="A473" s="4717"/>
      <c r="B473" s="4696"/>
      <c r="C473" s="4697"/>
      <c r="D473" s="4697"/>
      <c r="E473" s="4697"/>
      <c r="F473" s="4697"/>
      <c r="G473" s="4697"/>
      <c r="H473" s="4697"/>
      <c r="I473" s="4697"/>
      <c r="J473" s="4697"/>
      <c r="K473" s="4698"/>
      <c r="L473" s="2"/>
      <c r="M473" s="2"/>
      <c r="N473" s="2"/>
      <c r="O473" s="2"/>
      <c r="P473" s="2"/>
      <c r="Q473" s="2"/>
    </row>
    <row r="474" spans="1:17" s="1" customFormat="1" ht="15">
      <c r="A474" s="4717"/>
      <c r="B474" s="4696"/>
      <c r="C474" s="4697"/>
      <c r="D474" s="4697"/>
      <c r="E474" s="4697"/>
      <c r="F474" s="4697"/>
      <c r="G474" s="4697"/>
      <c r="H474" s="4697"/>
      <c r="I474" s="4697"/>
      <c r="J474" s="4697"/>
      <c r="K474" s="4698"/>
      <c r="L474" s="3"/>
      <c r="M474" s="2"/>
      <c r="N474" s="2"/>
      <c r="O474" s="2"/>
      <c r="P474" s="2"/>
      <c r="Q474" s="2"/>
    </row>
    <row r="475" spans="1:17" s="1" customFormat="1" ht="16.5" thickBot="1">
      <c r="A475" s="4717"/>
      <c r="B475" s="845"/>
      <c r="C475" s="846"/>
      <c r="D475" s="846"/>
      <c r="E475" s="846"/>
      <c r="F475" s="846"/>
      <c r="G475" s="846"/>
      <c r="H475" s="846"/>
      <c r="I475" s="846"/>
      <c r="J475" s="846"/>
      <c r="K475" s="847"/>
      <c r="L475" s="3"/>
      <c r="M475" s="2"/>
      <c r="N475" s="2"/>
      <c r="O475" s="2"/>
      <c r="P475" s="2"/>
      <c r="Q475" s="2"/>
    </row>
    <row r="476" spans="1:17" s="1" customFormat="1" ht="15">
      <c r="A476" s="2"/>
      <c r="B476" s="3"/>
      <c r="C476" s="3"/>
      <c r="D476" s="3"/>
      <c r="E476" s="3"/>
      <c r="F476" s="3"/>
      <c r="G476" s="3"/>
      <c r="H476" s="3"/>
      <c r="I476" s="3"/>
      <c r="J476" s="3"/>
      <c r="K476" s="3"/>
      <c r="L476" s="3"/>
      <c r="M476" s="2"/>
      <c r="N476" s="2"/>
      <c r="O476" s="2"/>
      <c r="P476" s="2"/>
      <c r="Q476" s="2"/>
    </row>
    <row r="477" spans="1:17" s="1" customFormat="1" ht="15">
      <c r="A477" s="4"/>
      <c r="B477" s="5"/>
      <c r="C477" s="6"/>
      <c r="D477" s="6"/>
      <c r="E477" s="6"/>
      <c r="F477" s="6"/>
      <c r="G477" s="6"/>
      <c r="H477" s="6"/>
      <c r="I477" s="6"/>
      <c r="J477" s="5"/>
      <c r="K477" s="5"/>
      <c r="L477" s="5"/>
      <c r="M477" s="4"/>
      <c r="N477" s="4"/>
      <c r="O477" s="4"/>
      <c r="P477" s="4"/>
      <c r="Q477" s="4"/>
    </row>
    <row r="478" spans="1:17" s="1" customFormat="1" ht="15">
      <c r="A478" s="2"/>
      <c r="B478" s="3"/>
      <c r="C478" s="3"/>
      <c r="D478" s="3"/>
      <c r="E478" s="3"/>
      <c r="F478" s="3"/>
      <c r="G478" s="3"/>
      <c r="H478" s="3"/>
      <c r="I478" s="3"/>
      <c r="J478" s="3"/>
      <c r="K478" s="3"/>
      <c r="L478" s="3"/>
      <c r="M478" s="2"/>
      <c r="N478" s="2"/>
      <c r="O478" s="2"/>
      <c r="P478" s="2"/>
      <c r="Q478" s="2"/>
    </row>
    <row r="479" spans="1:17" s="1" customFormat="1" ht="20.25">
      <c r="A479" s="307" t="s">
        <v>70</v>
      </c>
      <c r="B479" s="4704" t="s">
        <v>88</v>
      </c>
      <c r="C479" s="4704"/>
      <c r="D479" s="4704"/>
      <c r="E479" s="4704"/>
      <c r="F479" s="4704"/>
      <c r="G479" s="4704"/>
      <c r="H479" s="4704"/>
      <c r="I479" s="4704"/>
      <c r="J479" s="4704"/>
      <c r="K479" s="4704"/>
      <c r="L479" s="4704"/>
      <c r="M479" s="4704"/>
      <c r="N479" s="4704"/>
      <c r="O479" s="3"/>
      <c r="P479" s="3"/>
      <c r="Q479" s="3"/>
    </row>
    <row r="480" spans="1:17" s="1" customFormat="1" ht="15.75" customHeight="1">
      <c r="A480" s="4705" t="str">
        <f>B479</f>
        <v>Combien faut-il commander pour des effectifs et des grammages différents</v>
      </c>
      <c r="B480" s="551" t="str">
        <f>ADDRESS(ROW(),COLUMN(),4)</f>
        <v>B480</v>
      </c>
      <c r="C480" s="540" t="s">
        <v>691</v>
      </c>
      <c r="D480" s="541"/>
      <c r="E480" s="541"/>
      <c r="F480" s="541"/>
      <c r="G480" s="541"/>
      <c r="H480" s="541"/>
      <c r="I480" s="541"/>
      <c r="J480" s="541"/>
      <c r="K480" s="541"/>
      <c r="L480" s="541"/>
      <c r="M480" s="541"/>
      <c r="N480" s="552"/>
      <c r="O480" s="3"/>
      <c r="P480" s="3"/>
      <c r="Q480" s="3"/>
    </row>
    <row r="481" spans="1:17" s="1" customFormat="1" ht="15">
      <c r="A481" s="4705"/>
      <c r="B481" s="631"/>
      <c r="C481" s="3"/>
      <c r="D481" s="3"/>
      <c r="E481" s="3"/>
      <c r="F481" s="3"/>
      <c r="G481" s="3"/>
      <c r="H481" s="3"/>
      <c r="I481" s="3"/>
      <c r="J481" s="3"/>
      <c r="K481" s="3"/>
      <c r="L481" s="3"/>
      <c r="M481" s="3"/>
      <c r="N481" s="137"/>
      <c r="O481" s="3"/>
      <c r="P481" s="3"/>
      <c r="Q481" s="3"/>
    </row>
    <row r="482" spans="1:17" s="1" customFormat="1" ht="18">
      <c r="A482" s="4705"/>
      <c r="B482" s="4706" t="s">
        <v>87</v>
      </c>
      <c r="C482" s="4707"/>
      <c r="D482" s="4707"/>
      <c r="E482" s="4707"/>
      <c r="F482" s="4707"/>
      <c r="G482" s="4707"/>
      <c r="H482" s="4707"/>
      <c r="I482" s="4707"/>
      <c r="J482" s="4707"/>
      <c r="K482" s="4707"/>
      <c r="L482" s="4707"/>
      <c r="M482" s="4707"/>
      <c r="N482" s="4708"/>
      <c r="O482" s="3"/>
      <c r="P482" s="3"/>
      <c r="Q482" s="3"/>
    </row>
    <row r="483" spans="1:17" s="1" customFormat="1" ht="18">
      <c r="A483" s="4705"/>
      <c r="B483" s="118"/>
      <c r="C483" s="117"/>
      <c r="D483" s="117"/>
      <c r="E483" s="117"/>
      <c r="F483" s="117"/>
      <c r="G483" s="117"/>
      <c r="H483" s="117"/>
      <c r="I483" s="117"/>
      <c r="J483" s="117"/>
      <c r="K483" s="117"/>
      <c r="L483" s="117"/>
      <c r="M483" s="117"/>
      <c r="N483" s="116"/>
      <c r="O483" s="3"/>
      <c r="P483" s="3"/>
      <c r="Q483" s="3"/>
    </row>
    <row r="484" spans="1:17" s="1" customFormat="1">
      <c r="A484" s="4705"/>
      <c r="B484" s="85"/>
      <c r="C484" s="82"/>
      <c r="D484" s="82"/>
      <c r="E484" s="115" t="s">
        <v>51</v>
      </c>
      <c r="F484" s="114">
        <v>250</v>
      </c>
      <c r="G484" s="114">
        <v>620</v>
      </c>
      <c r="H484" s="114">
        <v>37</v>
      </c>
      <c r="I484" s="114">
        <v>14</v>
      </c>
      <c r="J484" s="25">
        <f>SUM(F484:I484)</f>
        <v>921</v>
      </c>
      <c r="K484" s="113" t="s">
        <v>50</v>
      </c>
      <c r="L484" s="112"/>
      <c r="M484" s="2"/>
      <c r="N484" s="81"/>
      <c r="O484" s="3"/>
      <c r="P484" s="3"/>
      <c r="Q484" s="3"/>
    </row>
    <row r="485" spans="1:17" s="1" customFormat="1">
      <c r="A485" s="4705"/>
      <c r="B485" s="85"/>
      <c r="C485" s="82"/>
      <c r="D485" s="82"/>
      <c r="E485" s="111" t="s">
        <v>86</v>
      </c>
      <c r="F485" s="110">
        <v>4.4999999999999998E-2</v>
      </c>
      <c r="G485" s="110">
        <v>7.0000000000000007E-2</v>
      </c>
      <c r="H485" s="110">
        <v>0.11</v>
      </c>
      <c r="I485" s="109">
        <v>0.13</v>
      </c>
      <c r="J485" s="2"/>
      <c r="K485" s="108" t="s">
        <v>48</v>
      </c>
      <c r="L485" s="107">
        <v>25</v>
      </c>
      <c r="M485" s="106" t="s">
        <v>78</v>
      </c>
      <c r="N485" s="81"/>
      <c r="O485" s="3"/>
      <c r="P485" s="3"/>
      <c r="Q485" s="3"/>
    </row>
    <row r="486" spans="1:17" s="1" customFormat="1">
      <c r="A486" s="4705"/>
      <c r="B486" s="85"/>
      <c r="C486" s="82"/>
      <c r="D486" s="82"/>
      <c r="E486" s="105" t="s">
        <v>85</v>
      </c>
      <c r="F486" s="104" t="s">
        <v>64</v>
      </c>
      <c r="G486" s="102" t="s">
        <v>63</v>
      </c>
      <c r="H486" s="103" t="s">
        <v>62</v>
      </c>
      <c r="I486" s="102" t="s">
        <v>61</v>
      </c>
      <c r="J486" s="4709" t="s">
        <v>84</v>
      </c>
      <c r="K486" s="4709"/>
      <c r="L486" s="4709"/>
      <c r="M486" s="2"/>
      <c r="N486" s="81"/>
      <c r="O486" s="3"/>
      <c r="P486" s="3"/>
      <c r="Q486" s="3"/>
    </row>
    <row r="487" spans="1:17" s="1" customFormat="1" ht="15">
      <c r="A487" s="4705"/>
      <c r="B487" s="85"/>
      <c r="C487" s="82"/>
      <c r="D487" s="82"/>
      <c r="E487" s="101" t="s">
        <v>83</v>
      </c>
      <c r="F487" s="100">
        <f>F485*F484</f>
        <v>11.25</v>
      </c>
      <c r="G487" s="100">
        <f>G485*G484</f>
        <v>43.400000000000006</v>
      </c>
      <c r="H487" s="100">
        <f>H485*H484</f>
        <v>4.07</v>
      </c>
      <c r="I487" s="99">
        <f>I485*I484</f>
        <v>1.82</v>
      </c>
      <c r="J487" s="98">
        <f>SUM(F487:I487)</f>
        <v>60.540000000000006</v>
      </c>
      <c r="K487" s="98"/>
      <c r="L487" s="97" t="s">
        <v>82</v>
      </c>
      <c r="M487" s="2"/>
      <c r="N487" s="91"/>
      <c r="O487" s="3"/>
      <c r="P487" s="3"/>
      <c r="Q487" s="3"/>
    </row>
    <row r="488" spans="1:17" s="1" customFormat="1" ht="18">
      <c r="A488" s="4705"/>
      <c r="B488" s="85"/>
      <c r="C488" s="82"/>
      <c r="D488" s="82"/>
      <c r="E488" s="96" t="s">
        <v>47</v>
      </c>
      <c r="F488" s="95">
        <f>F487/(100-L485)*100</f>
        <v>15</v>
      </c>
      <c r="G488" s="95">
        <f>G487/(100-L485)*100</f>
        <v>57.866666666666674</v>
      </c>
      <c r="H488" s="95">
        <f>H487/(100-L485)*100</f>
        <v>5.4266666666666667</v>
      </c>
      <c r="I488" s="94">
        <f>I487/(100-L485)*100</f>
        <v>2.4266666666666667</v>
      </c>
      <c r="J488" s="93">
        <f>SUM(F488:I488)</f>
        <v>80.72</v>
      </c>
      <c r="K488" s="92"/>
      <c r="L488" s="42" t="s">
        <v>81</v>
      </c>
      <c r="M488" s="2"/>
      <c r="N488" s="91"/>
      <c r="O488" s="3"/>
      <c r="P488" s="3"/>
      <c r="Q488" s="3"/>
    </row>
    <row r="489" spans="1:17" s="1" customFormat="1" ht="15">
      <c r="A489" s="4705"/>
      <c r="B489" s="85"/>
      <c r="C489" s="82"/>
      <c r="D489" s="82"/>
      <c r="E489" s="82"/>
      <c r="F489" s="82"/>
      <c r="G489" s="82"/>
      <c r="H489" s="82"/>
      <c r="I489" s="82"/>
      <c r="J489" s="89">
        <f>J488-J487</f>
        <v>20.179999999999993</v>
      </c>
      <c r="K489" s="89"/>
      <c r="L489" s="88" t="s">
        <v>80</v>
      </c>
      <c r="M489" s="87"/>
      <c r="N489" s="81"/>
      <c r="O489" s="3"/>
      <c r="P489" s="3"/>
      <c r="Q489" s="3"/>
    </row>
    <row r="490" spans="1:17" s="1" customFormat="1" ht="15">
      <c r="A490" s="4705"/>
      <c r="B490" s="85"/>
      <c r="C490" s="82"/>
      <c r="D490" s="82"/>
      <c r="E490" s="82"/>
      <c r="F490" s="82"/>
      <c r="G490" s="82"/>
      <c r="H490" s="82"/>
      <c r="I490" s="82"/>
      <c r="J490" s="90">
        <f>(J489/J484)*1000</f>
        <v>21.910966340933761</v>
      </c>
      <c r="K490" s="89"/>
      <c r="L490" s="88" t="s">
        <v>79</v>
      </c>
      <c r="M490" s="87"/>
      <c r="N490" s="81"/>
      <c r="O490" s="3"/>
      <c r="P490" s="3"/>
      <c r="Q490" s="3"/>
    </row>
    <row r="491" spans="1:17" s="1" customFormat="1" ht="15">
      <c r="A491" s="4705"/>
      <c r="B491" s="85"/>
      <c r="C491" s="86" t="s">
        <v>78</v>
      </c>
      <c r="D491" s="83" t="s">
        <v>77</v>
      </c>
      <c r="E491" s="82"/>
      <c r="F491" s="82"/>
      <c r="G491" s="82"/>
      <c r="H491" s="82"/>
      <c r="I491" s="82"/>
      <c r="J491" s="82"/>
      <c r="K491" s="82"/>
      <c r="L491" s="82"/>
      <c r="M491" s="82"/>
      <c r="N491" s="81"/>
      <c r="O491" s="3"/>
      <c r="P491" s="3"/>
      <c r="Q491" s="3"/>
    </row>
    <row r="492" spans="1:17" s="1" customFormat="1" ht="15">
      <c r="A492" s="4705"/>
      <c r="B492" s="85"/>
      <c r="C492" s="84"/>
      <c r="D492" s="83" t="s">
        <v>76</v>
      </c>
      <c r="E492" s="82"/>
      <c r="F492" s="82"/>
      <c r="G492" s="82"/>
      <c r="H492" s="82"/>
      <c r="I492" s="82"/>
      <c r="J492" s="82"/>
      <c r="K492" s="82"/>
      <c r="L492" s="82"/>
      <c r="M492" s="82"/>
      <c r="N492" s="81"/>
      <c r="O492" s="3"/>
      <c r="P492" s="3"/>
      <c r="Q492" s="3"/>
    </row>
    <row r="493" spans="1:17" s="1" customFormat="1" ht="15">
      <c r="A493" s="4705"/>
      <c r="B493" s="80"/>
      <c r="C493" s="79"/>
      <c r="D493" s="79"/>
      <c r="E493" s="79"/>
      <c r="F493" s="79"/>
      <c r="G493" s="79"/>
      <c r="H493" s="79"/>
      <c r="I493" s="79"/>
      <c r="J493" s="79"/>
      <c r="K493" s="79"/>
      <c r="L493" s="79"/>
      <c r="M493" s="79"/>
      <c r="N493" s="78"/>
      <c r="O493" s="3"/>
      <c r="P493" s="3"/>
      <c r="Q493" s="3"/>
    </row>
    <row r="494" spans="1:17" s="1" customFormat="1" ht="15">
      <c r="A494" s="3"/>
      <c r="B494" s="3"/>
      <c r="C494" s="3"/>
      <c r="D494" s="3"/>
      <c r="E494" s="3"/>
      <c r="F494" s="3"/>
      <c r="G494" s="3"/>
      <c r="H494" s="3"/>
      <c r="I494" s="3"/>
      <c r="J494" s="3"/>
      <c r="K494" s="3"/>
      <c r="L494" s="3"/>
      <c r="M494" s="2"/>
      <c r="N494" s="2"/>
      <c r="O494" s="2"/>
      <c r="P494" s="2"/>
      <c r="Q494" s="2"/>
    </row>
    <row r="495" spans="1:17" s="1" customFormat="1" ht="15">
      <c r="A495" s="2"/>
      <c r="B495" s="3"/>
      <c r="C495" s="3"/>
      <c r="D495" s="3"/>
      <c r="E495" s="3"/>
      <c r="F495" s="3"/>
      <c r="G495" s="3"/>
      <c r="H495" s="3"/>
      <c r="I495" s="3"/>
      <c r="J495" s="3"/>
      <c r="K495" s="3"/>
      <c r="L495" s="3"/>
      <c r="M495" s="3"/>
      <c r="N495" s="3"/>
      <c r="O495" s="3"/>
      <c r="P495" s="3"/>
      <c r="Q495" s="3"/>
    </row>
  </sheetData>
  <mergeCells count="426">
    <mergeCell ref="B2:Q2"/>
    <mergeCell ref="B49:Q50"/>
    <mergeCell ref="B52:G53"/>
    <mergeCell ref="J52:O52"/>
    <mergeCell ref="I53:I74"/>
    <mergeCell ref="K53:O53"/>
    <mergeCell ref="B55:G56"/>
    <mergeCell ref="J55:O57"/>
    <mergeCell ref="C57:G57"/>
    <mergeCell ref="A70:A76"/>
    <mergeCell ref="B72:C72"/>
    <mergeCell ref="J72:N74"/>
    <mergeCell ref="B73:C73"/>
    <mergeCell ref="B74:C74"/>
    <mergeCell ref="B75:C75"/>
    <mergeCell ref="B76:C76"/>
    <mergeCell ref="B64:B65"/>
    <mergeCell ref="C64:G65"/>
    <mergeCell ref="B66:B67"/>
    <mergeCell ref="C66:G67"/>
    <mergeCell ref="B69:C70"/>
    <mergeCell ref="D69:E70"/>
    <mergeCell ref="F69:F70"/>
    <mergeCell ref="G69:G70"/>
    <mergeCell ref="A53:A67"/>
    <mergeCell ref="C58:G58"/>
    <mergeCell ref="C59:G59"/>
    <mergeCell ref="C60:G60"/>
    <mergeCell ref="C61:G61"/>
    <mergeCell ref="C62:G62"/>
    <mergeCell ref="C63:G63"/>
    <mergeCell ref="L88:O91"/>
    <mergeCell ref="C89:E89"/>
    <mergeCell ref="C91:E91"/>
    <mergeCell ref="L92:O94"/>
    <mergeCell ref="C93:F93"/>
    <mergeCell ref="L95:O97"/>
    <mergeCell ref="L78:O81"/>
    <mergeCell ref="C82:H82"/>
    <mergeCell ref="L82:O84"/>
    <mergeCell ref="C85:J85"/>
    <mergeCell ref="C87:E87"/>
    <mergeCell ref="L87:O87"/>
    <mergeCell ref="L105:M105"/>
    <mergeCell ref="G106:K106"/>
    <mergeCell ref="L106:M106"/>
    <mergeCell ref="B108:D108"/>
    <mergeCell ref="M108:N108"/>
    <mergeCell ref="B109:D109"/>
    <mergeCell ref="M109:N109"/>
    <mergeCell ref="B100:T100"/>
    <mergeCell ref="A101:A118"/>
    <mergeCell ref="B102:K102"/>
    <mergeCell ref="L102:T102"/>
    <mergeCell ref="B103:D106"/>
    <mergeCell ref="E103:E106"/>
    <mergeCell ref="F103:F106"/>
    <mergeCell ref="G103:K103"/>
    <mergeCell ref="L103:M104"/>
    <mergeCell ref="N103:T106"/>
    <mergeCell ref="B129:D129"/>
    <mergeCell ref="B131:D131"/>
    <mergeCell ref="B114:D114"/>
    <mergeCell ref="M114:N114"/>
    <mergeCell ref="B115:D115"/>
    <mergeCell ref="M115:N115"/>
    <mergeCell ref="G118:K118"/>
    <mergeCell ref="B120:F120"/>
    <mergeCell ref="B110:D110"/>
    <mergeCell ref="M110:N110"/>
    <mergeCell ref="B111:D111"/>
    <mergeCell ref="M111:N111"/>
    <mergeCell ref="B113:D113"/>
    <mergeCell ref="M113:N113"/>
    <mergeCell ref="F139:F140"/>
    <mergeCell ref="C146:E146"/>
    <mergeCell ref="B156:L156"/>
    <mergeCell ref="A157:A167"/>
    <mergeCell ref="B164:K164"/>
    <mergeCell ref="B165:K165"/>
    <mergeCell ref="B132:D132"/>
    <mergeCell ref="B133:D133"/>
    <mergeCell ref="B135:L135"/>
    <mergeCell ref="A136:A154"/>
    <mergeCell ref="C137:D137"/>
    <mergeCell ref="G137:H137"/>
    <mergeCell ref="I137:J137"/>
    <mergeCell ref="C139:C140"/>
    <mergeCell ref="D139:D140"/>
    <mergeCell ref="E139:E140"/>
    <mergeCell ref="A121:A133"/>
    <mergeCell ref="B122:D122"/>
    <mergeCell ref="B123:D123"/>
    <mergeCell ref="B124:D124"/>
    <mergeCell ref="B125:D125"/>
    <mergeCell ref="B126:D126"/>
    <mergeCell ref="B127:D127"/>
    <mergeCell ref="B128:D128"/>
    <mergeCell ref="A185:A197"/>
    <mergeCell ref="G185:G189"/>
    <mergeCell ref="B186:B187"/>
    <mergeCell ref="C186:C187"/>
    <mergeCell ref="D186:D187"/>
    <mergeCell ref="E186:E187"/>
    <mergeCell ref="B189:B190"/>
    <mergeCell ref="B169:K169"/>
    <mergeCell ref="A170:A181"/>
    <mergeCell ref="G174:H174"/>
    <mergeCell ref="B176:J176"/>
    <mergeCell ref="B177:K177"/>
    <mergeCell ref="B184:E184"/>
    <mergeCell ref="H184:S184"/>
    <mergeCell ref="H189:K189"/>
    <mergeCell ref="B191:B192"/>
    <mergeCell ref="B194:E195"/>
    <mergeCell ref="B196:E197"/>
    <mergeCell ref="B199:E199"/>
    <mergeCell ref="H199:S199"/>
    <mergeCell ref="P186:P188"/>
    <mergeCell ref="Q186:Q187"/>
    <mergeCell ref="N187:N188"/>
    <mergeCell ref="O187:O188"/>
    <mergeCell ref="R187:R188"/>
    <mergeCell ref="S187:S188"/>
    <mergeCell ref="H186:H187"/>
    <mergeCell ref="I186:I187"/>
    <mergeCell ref="J186:J187"/>
    <mergeCell ref="K186:K187"/>
    <mergeCell ref="L186:L188"/>
    <mergeCell ref="M186:M187"/>
    <mergeCell ref="P201:P202"/>
    <mergeCell ref="Q201:Q202"/>
    <mergeCell ref="B202:B203"/>
    <mergeCell ref="C202:C203"/>
    <mergeCell ref="D202:D203"/>
    <mergeCell ref="E202:E203"/>
    <mergeCell ref="O202:O203"/>
    <mergeCell ref="A200:A215"/>
    <mergeCell ref="G200:G205"/>
    <mergeCell ref="M200:O200"/>
    <mergeCell ref="C201:E201"/>
    <mergeCell ref="H201:H202"/>
    <mergeCell ref="I201:I202"/>
    <mergeCell ref="J201:J202"/>
    <mergeCell ref="K201:K202"/>
    <mergeCell ref="L201:L203"/>
    <mergeCell ref="M201:M202"/>
    <mergeCell ref="A219:A235"/>
    <mergeCell ref="M219:M228"/>
    <mergeCell ref="B220:F221"/>
    <mergeCell ref="N220:R221"/>
    <mergeCell ref="B222:K222"/>
    <mergeCell ref="N222:W222"/>
    <mergeCell ref="B223:E224"/>
    <mergeCell ref="H204:K204"/>
    <mergeCell ref="B205:B207"/>
    <mergeCell ref="C205:C206"/>
    <mergeCell ref="E206:E207"/>
    <mergeCell ref="B208:B209"/>
    <mergeCell ref="C208:C209"/>
    <mergeCell ref="F223:F224"/>
    <mergeCell ref="G223:G224"/>
    <mergeCell ref="H223:I224"/>
    <mergeCell ref="J223:K224"/>
    <mergeCell ref="N223:Q223"/>
    <mergeCell ref="S223:T223"/>
    <mergeCell ref="N224:Q224"/>
    <mergeCell ref="S224:T224"/>
    <mergeCell ref="B212:E212"/>
    <mergeCell ref="B218:K218"/>
    <mergeCell ref="N218:W218"/>
    <mergeCell ref="B227:K228"/>
    <mergeCell ref="P227:Q227"/>
    <mergeCell ref="N228:W228"/>
    <mergeCell ref="B229:C230"/>
    <mergeCell ref="D229:E230"/>
    <mergeCell ref="F229:K230"/>
    <mergeCell ref="N230:Z230"/>
    <mergeCell ref="B225:E226"/>
    <mergeCell ref="F225:F226"/>
    <mergeCell ref="G225:G226"/>
    <mergeCell ref="H225:I226"/>
    <mergeCell ref="J225:K226"/>
    <mergeCell ref="N225:W225"/>
    <mergeCell ref="O226:Q226"/>
    <mergeCell ref="R226:W226"/>
    <mergeCell ref="T234:W235"/>
    <mergeCell ref="X234:X235"/>
    <mergeCell ref="Y234:Y235"/>
    <mergeCell ref="Z234:Z235"/>
    <mergeCell ref="B235:K235"/>
    <mergeCell ref="U236:Y236"/>
    <mergeCell ref="I231:I232"/>
    <mergeCell ref="J231:J232"/>
    <mergeCell ref="K231:K232"/>
    <mergeCell ref="M231:M240"/>
    <mergeCell ref="N232:S232"/>
    <mergeCell ref="B233:C233"/>
    <mergeCell ref="Q233:R233"/>
    <mergeCell ref="B238:K238"/>
    <mergeCell ref="N238:P239"/>
    <mergeCell ref="Q238:Q239"/>
    <mergeCell ref="B231:C232"/>
    <mergeCell ref="D231:D232"/>
    <mergeCell ref="E231:E232"/>
    <mergeCell ref="F231:F232"/>
    <mergeCell ref="G231:G232"/>
    <mergeCell ref="H231:H232"/>
    <mergeCell ref="A239:A245"/>
    <mergeCell ref="B240:E241"/>
    <mergeCell ref="F240:I241"/>
    <mergeCell ref="J240:K241"/>
    <mergeCell ref="N240:Z240"/>
    <mergeCell ref="B242:B243"/>
    <mergeCell ref="C242:C243"/>
    <mergeCell ref="R238:R239"/>
    <mergeCell ref="S238:S239"/>
    <mergeCell ref="T238:T239"/>
    <mergeCell ref="U238:U239"/>
    <mergeCell ref="V238:V239"/>
    <mergeCell ref="W238:W239"/>
    <mergeCell ref="D242:D243"/>
    <mergeCell ref="E242:F243"/>
    <mergeCell ref="G242:G243"/>
    <mergeCell ref="H242:I243"/>
    <mergeCell ref="J242:K243"/>
    <mergeCell ref="B245:K245"/>
    <mergeCell ref="X238:X239"/>
    <mergeCell ref="Y238:Y239"/>
    <mergeCell ref="Z238:Z239"/>
    <mergeCell ref="M258:M259"/>
    <mergeCell ref="N258:N259"/>
    <mergeCell ref="O258:O259"/>
    <mergeCell ref="P258:P259"/>
    <mergeCell ref="Q258:Q259"/>
    <mergeCell ref="M266:O267"/>
    <mergeCell ref="Q266:Q267"/>
    <mergeCell ref="B247:J247"/>
    <mergeCell ref="M247:Q247"/>
    <mergeCell ref="L248:L272"/>
    <mergeCell ref="B249:B251"/>
    <mergeCell ref="C249:C251"/>
    <mergeCell ref="D249:D251"/>
    <mergeCell ref="M249:M251"/>
    <mergeCell ref="O249:O251"/>
    <mergeCell ref="Q249:Q251"/>
    <mergeCell ref="B269:J271"/>
    <mergeCell ref="A274:A275"/>
    <mergeCell ref="B274:M275"/>
    <mergeCell ref="N274:N275"/>
    <mergeCell ref="A276:A302"/>
    <mergeCell ref="B277:N277"/>
    <mergeCell ref="B278:N281"/>
    <mergeCell ref="B282:N282"/>
    <mergeCell ref="L283:M283"/>
    <mergeCell ref="L284:M284"/>
    <mergeCell ref="B302:N302"/>
    <mergeCell ref="A248:A271"/>
    <mergeCell ref="A304:A305"/>
    <mergeCell ref="B304:M305"/>
    <mergeCell ref="N304:N305"/>
    <mergeCell ref="A306:A339"/>
    <mergeCell ref="B307:N307"/>
    <mergeCell ref="B308:N311"/>
    <mergeCell ref="B312:N312"/>
    <mergeCell ref="L313:M313"/>
    <mergeCell ref="C296:D296"/>
    <mergeCell ref="F296:G296"/>
    <mergeCell ref="I296:J296"/>
    <mergeCell ref="L296:M296"/>
    <mergeCell ref="B298:N299"/>
    <mergeCell ref="C300:N300"/>
    <mergeCell ref="L314:M315"/>
    <mergeCell ref="B321:N321"/>
    <mergeCell ref="L322:M322"/>
    <mergeCell ref="L323:M323"/>
    <mergeCell ref="C333:D333"/>
    <mergeCell ref="F333:G333"/>
    <mergeCell ref="I333:J333"/>
    <mergeCell ref="L333:M333"/>
    <mergeCell ref="C301:N301"/>
    <mergeCell ref="B335:N336"/>
    <mergeCell ref="C337:N337"/>
    <mergeCell ref="C338:N338"/>
    <mergeCell ref="B339:N339"/>
    <mergeCell ref="A343:A353"/>
    <mergeCell ref="G343:G353"/>
    <mergeCell ref="B344:C345"/>
    <mergeCell ref="D344:D345"/>
    <mergeCell ref="E344:E345"/>
    <mergeCell ref="H345:H346"/>
    <mergeCell ref="J347:J348"/>
    <mergeCell ref="K347:K348"/>
    <mergeCell ref="L347:L348"/>
    <mergeCell ref="M347:M348"/>
    <mergeCell ref="N347:N348"/>
    <mergeCell ref="B349:B350"/>
    <mergeCell ref="C349:C350"/>
    <mergeCell ref="D349:D350"/>
    <mergeCell ref="E349:E350"/>
    <mergeCell ref="H349:N349"/>
    <mergeCell ref="B346:B347"/>
    <mergeCell ref="C346:C347"/>
    <mergeCell ref="D346:D347"/>
    <mergeCell ref="E346:E347"/>
    <mergeCell ref="H347:H348"/>
    <mergeCell ref="I347:I348"/>
    <mergeCell ref="I345:I346"/>
    <mergeCell ref="J345:J346"/>
    <mergeCell ref="K345:K346"/>
    <mergeCell ref="L345:L346"/>
    <mergeCell ref="M345:M346"/>
    <mergeCell ref="N345:N346"/>
    <mergeCell ref="N350:N351"/>
    <mergeCell ref="B351:B352"/>
    <mergeCell ref="C351:C352"/>
    <mergeCell ref="D351:D352"/>
    <mergeCell ref="E351:E352"/>
    <mergeCell ref="H352:N352"/>
    <mergeCell ref="H350:H351"/>
    <mergeCell ref="I350:I351"/>
    <mergeCell ref="J350:J351"/>
    <mergeCell ref="K350:K351"/>
    <mergeCell ref="L350:L351"/>
    <mergeCell ref="M350:M351"/>
    <mergeCell ref="B353:E353"/>
    <mergeCell ref="H353:K353"/>
    <mergeCell ref="B355:N355"/>
    <mergeCell ref="A356:A380"/>
    <mergeCell ref="B357:N358"/>
    <mergeCell ref="B359:N360"/>
    <mergeCell ref="C370:M370"/>
    <mergeCell ref="H371:M371"/>
    <mergeCell ref="D372:E372"/>
    <mergeCell ref="B379:N380"/>
    <mergeCell ref="B382:N382"/>
    <mergeCell ref="A383:A400"/>
    <mergeCell ref="B384:N385"/>
    <mergeCell ref="B386:N387"/>
    <mergeCell ref="B388:N388"/>
    <mergeCell ref="B390:C390"/>
    <mergeCell ref="G390:H390"/>
    <mergeCell ref="K390:L390"/>
    <mergeCell ref="B399:N400"/>
    <mergeCell ref="J406:K406"/>
    <mergeCell ref="B407:D407"/>
    <mergeCell ref="G407:H407"/>
    <mergeCell ref="J407:K407"/>
    <mergeCell ref="B408:D408"/>
    <mergeCell ref="G408:H408"/>
    <mergeCell ref="J408:K408"/>
    <mergeCell ref="B402:K402"/>
    <mergeCell ref="A403:A414"/>
    <mergeCell ref="B404:D404"/>
    <mergeCell ref="G404:H404"/>
    <mergeCell ref="J404:K404"/>
    <mergeCell ref="B405:D405"/>
    <mergeCell ref="G405:H405"/>
    <mergeCell ref="J405:K405"/>
    <mergeCell ref="B406:D406"/>
    <mergeCell ref="G406:H406"/>
    <mergeCell ref="B411:D411"/>
    <mergeCell ref="G411:H411"/>
    <mergeCell ref="J411:K411"/>
    <mergeCell ref="B412:D412"/>
    <mergeCell ref="B414:K414"/>
    <mergeCell ref="B416:K416"/>
    <mergeCell ref="B409:D409"/>
    <mergeCell ref="G409:H409"/>
    <mergeCell ref="J409:K409"/>
    <mergeCell ref="B410:D410"/>
    <mergeCell ref="G410:H410"/>
    <mergeCell ref="J410:K410"/>
    <mergeCell ref="A417:A442"/>
    <mergeCell ref="B418:K418"/>
    <mergeCell ref="B419:K419"/>
    <mergeCell ref="B420:K420"/>
    <mergeCell ref="B421:K421"/>
    <mergeCell ref="H424:J424"/>
    <mergeCell ref="H425:J425"/>
    <mergeCell ref="H429:J429"/>
    <mergeCell ref="H430:J430"/>
    <mergeCell ref="H431:J431"/>
    <mergeCell ref="H432:J432"/>
    <mergeCell ref="H433:J433"/>
    <mergeCell ref="H437:J437"/>
    <mergeCell ref="H439:J439"/>
    <mergeCell ref="H441:J441"/>
    <mergeCell ref="B446:K446"/>
    <mergeCell ref="F452:F453"/>
    <mergeCell ref="G452:G453"/>
    <mergeCell ref="H452:H453"/>
    <mergeCell ref="I452:I453"/>
    <mergeCell ref="D456:E457"/>
    <mergeCell ref="F456:F457"/>
    <mergeCell ref="G456:G457"/>
    <mergeCell ref="K458:K459"/>
    <mergeCell ref="G450:G451"/>
    <mergeCell ref="I450:J451"/>
    <mergeCell ref="B454:K455"/>
    <mergeCell ref="B456:B457"/>
    <mergeCell ref="C456:C457"/>
    <mergeCell ref="B468:K468"/>
    <mergeCell ref="B469:K471"/>
    <mergeCell ref="K450:K451"/>
    <mergeCell ref="D452:D453"/>
    <mergeCell ref="E452:E453"/>
    <mergeCell ref="B472:K474"/>
    <mergeCell ref="B479:N479"/>
    <mergeCell ref="A480:A493"/>
    <mergeCell ref="B482:N482"/>
    <mergeCell ref="J486:L486"/>
    <mergeCell ref="H456:I457"/>
    <mergeCell ref="J456:J457"/>
    <mergeCell ref="B458:B459"/>
    <mergeCell ref="C458:C459"/>
    <mergeCell ref="D458:E459"/>
    <mergeCell ref="F458:F459"/>
    <mergeCell ref="G458:G459"/>
    <mergeCell ref="I458:I459"/>
    <mergeCell ref="J458:J459"/>
    <mergeCell ref="A447:A475"/>
    <mergeCell ref="B448:K449"/>
    <mergeCell ref="B450:C451"/>
    <mergeCell ref="D450:D451"/>
    <mergeCell ref="E450:F451"/>
  </mergeCells>
  <conditionalFormatting sqref="I52">
    <cfRule type="expression" dxfId="95" priority="22" stopIfTrue="1">
      <formula>OR(ROW()=CELL("ligne"),COLUMN()=CELL("colonne"))</formula>
    </cfRule>
  </conditionalFormatting>
  <conditionalFormatting sqref="A52">
    <cfRule type="expression" dxfId="94" priority="21" stopIfTrue="1">
      <formula>OR(ROW()=CELL("ligne"),COLUMN()=CELL("colonne"))</formula>
    </cfRule>
  </conditionalFormatting>
  <conditionalFormatting sqref="A69">
    <cfRule type="expression" dxfId="93" priority="20" stopIfTrue="1">
      <formula>OR(ROW()=CELL("ligne"),COLUMN()=CELL("colonne"))</formula>
    </cfRule>
  </conditionalFormatting>
  <conditionalFormatting sqref="G342">
    <cfRule type="expression" dxfId="92" priority="19" stopIfTrue="1">
      <formula>OR(ROW()=CELL("ligne"),COLUMN()=CELL("colonne"))</formula>
    </cfRule>
  </conditionalFormatting>
  <conditionalFormatting sqref="A184:A185">
    <cfRule type="expression" dxfId="91" priority="18" stopIfTrue="1">
      <formula>OR(ROW()=CELL("ligne"),COLUMN()=CELL("colonne"))</formula>
    </cfRule>
  </conditionalFormatting>
  <conditionalFormatting sqref="G185">
    <cfRule type="expression" dxfId="90" priority="17" stopIfTrue="1">
      <formula>OR(ROW()=CELL("ligne"),COLUMN()=CELL("colonne"))</formula>
    </cfRule>
  </conditionalFormatting>
  <conditionalFormatting sqref="G200">
    <cfRule type="expression" dxfId="89" priority="15" stopIfTrue="1">
      <formula>OR(ROW()=CELL("ligne"),COLUMN()=CELL("colonne"))</formula>
    </cfRule>
  </conditionalFormatting>
  <conditionalFormatting sqref="A199:A200">
    <cfRule type="expression" dxfId="88" priority="16" stopIfTrue="1">
      <formula>OR(ROW()=CELL("ligne"),COLUMN()=CELL("colonne"))</formula>
    </cfRule>
  </conditionalFormatting>
  <conditionalFormatting sqref="A135:A136">
    <cfRule type="expression" dxfId="87" priority="14" stopIfTrue="1">
      <formula>OR(ROW()=CELL("ligne"),COLUMN()=CELL("colonne"))</formula>
    </cfRule>
  </conditionalFormatting>
  <conditionalFormatting sqref="M231">
    <cfRule type="expression" dxfId="86" priority="10" stopIfTrue="1">
      <formula>OR(ROW()=CELL("ligne"),COLUMN()=CELL("colonne"))</formula>
    </cfRule>
  </conditionalFormatting>
  <conditionalFormatting sqref="A120:A121">
    <cfRule type="expression" dxfId="85" priority="13" stopIfTrue="1">
      <formula>OR(ROW()=CELL("ligne"),COLUMN()=CELL("colonne"))</formula>
    </cfRule>
  </conditionalFormatting>
  <conditionalFormatting sqref="M219">
    <cfRule type="expression" dxfId="84" priority="12" stopIfTrue="1">
      <formula>OR(ROW()=CELL("ligne"),COLUMN()=CELL("colonne"))</formula>
    </cfRule>
  </conditionalFormatting>
  <conditionalFormatting sqref="A239">
    <cfRule type="expression" dxfId="83" priority="11" stopIfTrue="1">
      <formula>OR(ROW()=CELL("ligne"),COLUMN()=CELL("colonne"))</formula>
    </cfRule>
  </conditionalFormatting>
  <conditionalFormatting sqref="A219">
    <cfRule type="expression" dxfId="82" priority="9" stopIfTrue="1">
      <formula>OR(ROW()=CELL("ligne"),COLUMN()=CELL("colonne"))</formula>
    </cfRule>
  </conditionalFormatting>
  <conditionalFormatting sqref="A342">
    <cfRule type="expression" dxfId="81" priority="4" stopIfTrue="1">
      <formula>OR(ROW()=CELL("ligne"),COLUMN()=CELL("colonne"))</formula>
    </cfRule>
  </conditionalFormatting>
  <conditionalFormatting sqref="A49">
    <cfRule type="expression" dxfId="80" priority="8" stopIfTrue="1">
      <formula>OR(ROW()=CELL("ligne"),COLUMN()=CELL("colonne"))</formula>
    </cfRule>
  </conditionalFormatting>
  <conditionalFormatting sqref="A100">
    <cfRule type="expression" dxfId="79" priority="7" stopIfTrue="1">
      <formula>OR(ROW()=CELL("ligne"),COLUMN()=CELL("colonne"))</formula>
    </cfRule>
  </conditionalFormatting>
  <conditionalFormatting sqref="G184">
    <cfRule type="expression" dxfId="78" priority="6" stopIfTrue="1">
      <formula>OR(ROW()=CELL("ligne"),COLUMN()=CELL("colonne"))</formula>
    </cfRule>
  </conditionalFormatting>
  <conditionalFormatting sqref="G199">
    <cfRule type="expression" dxfId="77" priority="5" stopIfTrue="1">
      <formula>OR(ROW()=CELL("ligne"),COLUMN()=CELL("colonne"))</formula>
    </cfRule>
  </conditionalFormatting>
  <conditionalFormatting sqref="A479">
    <cfRule type="expression" dxfId="76" priority="3" stopIfTrue="1">
      <formula>OR(ROW()=CELL("ligne"),COLUMN()=CELL("colonne"))</formula>
    </cfRule>
  </conditionalFormatting>
  <conditionalFormatting sqref="A156:A157">
    <cfRule type="expression" dxfId="75" priority="2" stopIfTrue="1">
      <formula>OR(ROW()=CELL("ligne"),COLUMN()=CELL("colonne"))</formula>
    </cfRule>
  </conditionalFormatting>
  <conditionalFormatting sqref="A169:A170">
    <cfRule type="expression" dxfId="74" priority="1" stopIfTrue="1">
      <formula>OR(ROW()=CELL("ligne"),COLUMN()=CELL("colonne"))</formula>
    </cfRule>
  </conditionalFormatting>
  <hyperlinks>
    <hyperlink ref="K53" r:id="rId1" xr:uid="{00000000-0004-0000-0300-000000000000}"/>
    <hyperlink ref="H372" r:id="rId2"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300-000001000000}"/>
    <hyperlink ref="H373" r:id="rId3" xr:uid="{00000000-0004-0000-0300-000002000000}"/>
    <hyperlink ref="H374" r:id="rId4" xr:uid="{00000000-0004-0000-0300-000003000000}"/>
    <hyperlink ref="H375" r:id="rId5"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300-000004000000}"/>
    <hyperlink ref="E398" r:id="rId6"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300-000005000000}"/>
    <hyperlink ref="C80" r:id="rId7" xr:uid="{00000000-0004-0000-0300-000006000000}"/>
    <hyperlink ref="C82" r:id="rId8" xr:uid="{00000000-0004-0000-0300-000007000000}"/>
    <hyperlink ref="C85" r:id="rId9" xr:uid="{00000000-0004-0000-0300-000008000000}"/>
    <hyperlink ref="C87" r:id="rId10" display="http://www.uprt.fr/mesimages/fichiers-uprt/ff-fiches-fabrication/ff-fiches-fabrication-maj-02-2015/ff-documents-divers-maj-02-2015/ff-qualiterecettes2007.xls" xr:uid="{00000000-0004-0000-0300-000009000000}"/>
    <hyperlink ref="C89" r:id="rId11" display="http://www.uprt.fr/mesimages/fichiers-uprt/ff-fiches-fabrication/ff-fiches-fabrication-maj-02-2015/ff-documents-divers-maj-02-2015/ff-tableau-cuisson.pdf" xr:uid="{00000000-0004-0000-0300-00000A000000}"/>
    <hyperlink ref="C93" r:id="rId12" xr:uid="{00000000-0004-0000-0300-00000B000000}"/>
    <hyperlink ref="C91" r:id="rId13" display="http://www.uprt.fr/mesimages/fichiers-uprt/pt-procedures-techniques/PT-bonnes-pratiques.doc" xr:uid="{00000000-0004-0000-0300-00000C000000}"/>
    <hyperlink ref="C137" r:id="rId14" xr:uid="{00000000-0004-0000-0300-00000D000000}"/>
    <hyperlink ref="E137" r:id="rId15" xr:uid="{00000000-0004-0000-0300-00000E000000}"/>
    <hyperlink ref="G137" r:id="rId16" xr:uid="{00000000-0004-0000-0300-00000F000000}"/>
    <hyperlink ref="I137" r:id="rId17" xr:uid="{00000000-0004-0000-0300-000010000000}"/>
    <hyperlink ref="K137" r:id="rId18" xr:uid="{00000000-0004-0000-0300-000011000000}"/>
  </hyperlinks>
  <pageMargins left="0.7" right="0.7" top="0.75" bottom="0.75" header="0.3" footer="0.3"/>
  <drawing r:id="rId1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FEF31-2520-44BB-A88D-CA5C2F6F3DC9}">
  <sheetPr>
    <pageSetUpPr fitToPage="1"/>
  </sheetPr>
  <dimension ref="A1:AM54"/>
  <sheetViews>
    <sheetView showZeros="0" zoomScale="75" zoomScaleNormal="75" workbookViewId="0">
      <selection activeCell="G22" sqref="G22"/>
    </sheetView>
  </sheetViews>
  <sheetFormatPr baseColWidth="10" defaultRowHeight="15"/>
  <cols>
    <col min="1" max="1" width="4.25" style="7196" customWidth="1"/>
    <col min="2" max="2" width="48.75" style="7196" customWidth="1"/>
    <col min="3" max="3" width="35.625" style="7196" customWidth="1"/>
    <col min="4" max="4" width="1" style="7196" customWidth="1"/>
    <col min="5" max="5" width="53.125" style="7196" customWidth="1"/>
    <col min="6" max="6" width="11" style="7196"/>
    <col min="7" max="7" width="21.875" style="7196" customWidth="1"/>
    <col min="8" max="8" width="11" style="7196"/>
    <col min="9" max="20" width="13.75" style="7196" customWidth="1"/>
    <col min="21" max="16384" width="11" style="7196"/>
  </cols>
  <sheetData>
    <row r="1" spans="1:39" ht="18" customHeight="1" thickBot="1">
      <c r="A1" s="7193"/>
      <c r="B1" s="7194">
        <v>55</v>
      </c>
      <c r="C1" s="7194">
        <v>40</v>
      </c>
      <c r="D1" s="7194">
        <v>6.5</v>
      </c>
      <c r="E1" s="7194">
        <v>60</v>
      </c>
      <c r="F1" s="7195" t="s">
        <v>7812</v>
      </c>
      <c r="G1" s="7193"/>
      <c r="H1" s="7193"/>
      <c r="U1" s="7193"/>
      <c r="V1" s="7193"/>
      <c r="W1" s="7193"/>
      <c r="X1" s="7193"/>
      <c r="Y1" s="7193">
        <v>12</v>
      </c>
      <c r="Z1" s="7193">
        <v>12</v>
      </c>
      <c r="AA1" s="7193">
        <v>12</v>
      </c>
      <c r="AB1" s="7193">
        <v>12</v>
      </c>
      <c r="AC1" s="7193">
        <v>12</v>
      </c>
      <c r="AD1" s="7193">
        <v>12</v>
      </c>
      <c r="AE1" s="7193">
        <v>12</v>
      </c>
      <c r="AF1" s="7193">
        <v>12</v>
      </c>
      <c r="AG1" s="7193">
        <v>12</v>
      </c>
      <c r="AH1" s="7193">
        <v>12</v>
      </c>
      <c r="AI1" s="7193">
        <v>12</v>
      </c>
      <c r="AJ1" s="7193">
        <v>12</v>
      </c>
      <c r="AK1" s="7196" t="s">
        <v>7813</v>
      </c>
      <c r="AM1" s="7197" t="s">
        <v>7814</v>
      </c>
    </row>
    <row r="2" spans="1:39" ht="20.100000000000001" customHeight="1">
      <c r="A2" s="7198" t="s">
        <v>70</v>
      </c>
      <c r="B2" s="7199" t="s">
        <v>7815</v>
      </c>
      <c r="C2" s="7200"/>
      <c r="D2" s="7200"/>
      <c r="E2" s="7201"/>
      <c r="F2" s="7202">
        <v>20</v>
      </c>
      <c r="G2" s="7195" t="s">
        <v>7816</v>
      </c>
      <c r="H2" s="7203" t="s">
        <v>2115</v>
      </c>
      <c r="I2" s="7203"/>
      <c r="J2" s="7203"/>
      <c r="K2" s="7203"/>
      <c r="L2" s="7203"/>
      <c r="M2" s="7203"/>
      <c r="N2" s="7203"/>
      <c r="O2" s="7203"/>
      <c r="P2" s="7203"/>
      <c r="Q2" s="7203"/>
      <c r="R2" s="7203"/>
      <c r="S2" s="7203"/>
      <c r="U2" s="7193"/>
      <c r="V2" s="7193"/>
      <c r="W2" s="7193"/>
      <c r="X2" s="7193"/>
      <c r="Y2" s="7193"/>
      <c r="Z2" s="7193"/>
      <c r="AA2" s="7193"/>
      <c r="AB2" s="7193"/>
      <c r="AC2" s="7193"/>
      <c r="AD2" s="7193"/>
      <c r="AE2" s="7193"/>
      <c r="AF2" s="7193"/>
      <c r="AG2" s="7193"/>
      <c r="AH2" s="7193"/>
      <c r="AI2" s="7193"/>
      <c r="AJ2" s="7193"/>
      <c r="AM2" s="7197"/>
    </row>
    <row r="3" spans="1:39" ht="20.100000000000001" customHeight="1">
      <c r="A3" s="7204"/>
      <c r="B3" s="7205"/>
      <c r="C3" s="7206"/>
      <c r="D3" s="7206"/>
      <c r="E3" s="7207"/>
      <c r="F3" s="7202">
        <v>20</v>
      </c>
      <c r="H3" s="7203"/>
      <c r="I3" s="7203"/>
      <c r="J3" s="7203"/>
      <c r="K3" s="7203"/>
      <c r="L3" s="7203"/>
      <c r="M3" s="7203"/>
      <c r="N3" s="7203"/>
      <c r="O3" s="7203"/>
      <c r="P3" s="7203"/>
      <c r="Q3" s="7203"/>
      <c r="R3" s="7203"/>
      <c r="S3" s="7203"/>
      <c r="U3" s="7193"/>
      <c r="V3" s="7193"/>
      <c r="W3" s="7193"/>
      <c r="X3" s="7193"/>
      <c r="Y3" s="7193"/>
      <c r="Z3" s="7193"/>
      <c r="AA3" s="7193"/>
      <c r="AB3" s="7193"/>
      <c r="AC3" s="7193"/>
      <c r="AD3" s="7193"/>
      <c r="AE3" s="7193"/>
      <c r="AF3" s="7193"/>
      <c r="AG3" s="7193"/>
      <c r="AH3" s="7193"/>
      <c r="AI3" s="7193"/>
      <c r="AJ3" s="7193"/>
      <c r="AM3" s="7197"/>
    </row>
    <row r="4" spans="1:39" ht="20.100000000000001" customHeight="1">
      <c r="A4" s="7208" t="str">
        <f>+B2</f>
        <v>TABLEAU POUR ÉPURER DU TEXTE</v>
      </c>
      <c r="B4" s="7209" t="s">
        <v>7817</v>
      </c>
      <c r="C4" s="7210"/>
      <c r="D4" s="7210"/>
      <c r="E4" s="7211"/>
      <c r="F4" s="7202">
        <v>20</v>
      </c>
      <c r="H4" s="7203" t="s">
        <v>7818</v>
      </c>
      <c r="I4" s="7203"/>
      <c r="J4" s="7203"/>
      <c r="K4" s="7203"/>
      <c r="L4" s="7203"/>
      <c r="M4" s="7203"/>
      <c r="N4" s="7203"/>
      <c r="O4" s="7203"/>
      <c r="P4" s="7203"/>
      <c r="Q4" s="7203"/>
      <c r="R4" s="7203"/>
      <c r="S4" s="7203"/>
      <c r="U4" s="7193"/>
      <c r="V4" s="7193"/>
      <c r="W4" s="7193"/>
      <c r="X4" s="7193"/>
      <c r="Y4" s="7193"/>
      <c r="Z4" s="7193"/>
      <c r="AA4" s="7193"/>
      <c r="AB4" s="7193"/>
      <c r="AC4" s="7193"/>
      <c r="AD4" s="7193"/>
      <c r="AE4" s="7193"/>
      <c r="AF4" s="7193"/>
      <c r="AG4" s="7193"/>
      <c r="AH4" s="7193"/>
      <c r="AI4" s="7193"/>
      <c r="AJ4" s="7193"/>
      <c r="AM4" s="7197"/>
    </row>
    <row r="5" spans="1:39" ht="20.100000000000001" customHeight="1">
      <c r="A5" s="7208"/>
      <c r="B5" s="7209" t="s">
        <v>7819</v>
      </c>
      <c r="C5" s="7210"/>
      <c r="D5" s="7210"/>
      <c r="E5" s="7211"/>
      <c r="F5" s="7202">
        <v>20</v>
      </c>
      <c r="H5" s="7212" t="s">
        <v>2119</v>
      </c>
      <c r="I5" s="7212"/>
      <c r="J5" s="7212"/>
      <c r="K5" s="7212"/>
      <c r="L5" s="7212"/>
      <c r="M5" s="7212"/>
      <c r="N5" s="7212"/>
      <c r="O5" s="7212"/>
      <c r="P5" s="7212"/>
      <c r="Q5" s="7212"/>
      <c r="R5" s="7212"/>
      <c r="S5" s="7212"/>
      <c r="U5" s="7193"/>
      <c r="V5" s="7193"/>
      <c r="W5" s="7193"/>
      <c r="X5" s="7193"/>
      <c r="Y5" s="7193"/>
      <c r="Z5" s="7193"/>
      <c r="AA5" s="7193"/>
      <c r="AB5" s="7193"/>
      <c r="AC5" s="7193"/>
      <c r="AD5" s="7193"/>
      <c r="AE5" s="7193"/>
      <c r="AF5" s="7193"/>
      <c r="AG5" s="7193"/>
      <c r="AH5" s="7193"/>
      <c r="AI5" s="7193"/>
      <c r="AJ5" s="7193"/>
      <c r="AM5" s="7197"/>
    </row>
    <row r="6" spans="1:39" ht="20.100000000000001" customHeight="1">
      <c r="A6" s="7208"/>
      <c r="B6" s="7213" t="s">
        <v>7820</v>
      </c>
      <c r="C6" s="7214"/>
      <c r="D6" s="7214"/>
      <c r="E6" s="7215"/>
      <c r="F6" s="7202">
        <v>20</v>
      </c>
      <c r="H6" s="7212"/>
      <c r="I6" s="7212"/>
      <c r="J6" s="7212"/>
      <c r="K6" s="7212"/>
      <c r="L6" s="7212"/>
      <c r="M6" s="7212"/>
      <c r="N6" s="7212"/>
      <c r="O6" s="7212"/>
      <c r="P6" s="7212"/>
      <c r="Q6" s="7212"/>
      <c r="R6" s="7212"/>
      <c r="S6" s="7212"/>
    </row>
    <row r="7" spans="1:39" ht="20.100000000000001" customHeight="1">
      <c r="A7" s="7208"/>
      <c r="B7" s="7213"/>
      <c r="C7" s="7214"/>
      <c r="D7" s="7214"/>
      <c r="E7" s="7215"/>
      <c r="F7" s="7202">
        <v>20</v>
      </c>
      <c r="H7" s="7212" t="s">
        <v>7821</v>
      </c>
      <c r="I7" s="7212"/>
      <c r="J7" s="7212"/>
      <c r="K7" s="7212"/>
      <c r="L7" s="7212"/>
      <c r="M7" s="7212"/>
      <c r="N7" s="7212"/>
      <c r="O7" s="7212"/>
      <c r="P7" s="7212"/>
      <c r="Q7" s="7212"/>
      <c r="R7" s="7212"/>
      <c r="S7" s="7212"/>
    </row>
    <row r="8" spans="1:39" ht="20.100000000000001" customHeight="1">
      <c r="A8" s="7208"/>
      <c r="B8" s="7216" t="s">
        <v>2167</v>
      </c>
      <c r="C8" s="7217"/>
      <c r="D8" s="7217"/>
      <c r="E8" s="7218"/>
      <c r="F8" s="7202">
        <v>20</v>
      </c>
      <c r="H8" s="7212"/>
      <c r="I8" s="7212"/>
      <c r="J8" s="7212"/>
      <c r="K8" s="7212"/>
      <c r="L8" s="7212"/>
      <c r="M8" s="7212"/>
      <c r="N8" s="7212"/>
      <c r="O8" s="7212"/>
      <c r="P8" s="7212"/>
      <c r="Q8" s="7212"/>
      <c r="R8" s="7212"/>
      <c r="S8" s="7212"/>
    </row>
    <row r="9" spans="1:39" ht="20.100000000000001" customHeight="1">
      <c r="A9" s="7208"/>
      <c r="B9" s="7216"/>
      <c r="C9" s="7217"/>
      <c r="D9" s="7217"/>
      <c r="E9" s="7218"/>
      <c r="F9" s="7202">
        <v>20</v>
      </c>
      <c r="H9" s="7212"/>
      <c r="I9" s="7212"/>
      <c r="J9" s="7212"/>
      <c r="K9" s="7212"/>
      <c r="L9" s="7212"/>
      <c r="M9" s="7212"/>
      <c r="N9" s="7212"/>
      <c r="O9" s="7212"/>
      <c r="P9" s="7212"/>
      <c r="Q9" s="7212"/>
      <c r="R9" s="7212"/>
      <c r="S9" s="7212"/>
    </row>
    <row r="10" spans="1:39" ht="20.100000000000001" customHeight="1">
      <c r="A10" s="7208"/>
      <c r="B10" s="7219" t="s">
        <v>7822</v>
      </c>
      <c r="C10" s="7220" t="s">
        <v>2168</v>
      </c>
      <c r="D10" s="7221"/>
      <c r="E10" s="7222" t="s">
        <v>7823</v>
      </c>
      <c r="F10" s="7202">
        <v>20</v>
      </c>
      <c r="H10" s="7223" t="s">
        <v>7824</v>
      </c>
      <c r="I10" s="7223"/>
      <c r="J10" s="7223"/>
      <c r="K10" s="7223"/>
      <c r="L10" s="7223"/>
      <c r="M10" s="7223"/>
      <c r="N10" s="7223"/>
      <c r="O10" s="7223"/>
      <c r="P10" s="7223"/>
      <c r="Q10" s="7223"/>
      <c r="R10" s="7223"/>
      <c r="S10" s="7223"/>
    </row>
    <row r="11" spans="1:39" ht="20.100000000000001" customHeight="1">
      <c r="A11" s="7208"/>
      <c r="B11" s="7224" t="s">
        <v>7825</v>
      </c>
      <c r="C11" s="7225" t="s">
        <v>7826</v>
      </c>
      <c r="D11" s="7226" t="s">
        <v>7827</v>
      </c>
      <c r="E11" s="7227" t="s">
        <v>7828</v>
      </c>
      <c r="F11" s="7202">
        <v>20</v>
      </c>
      <c r="H11" s="7223"/>
      <c r="I11" s="7223"/>
      <c r="J11" s="7223"/>
      <c r="K11" s="7223"/>
      <c r="L11" s="7223"/>
      <c r="M11" s="7223"/>
      <c r="N11" s="7223"/>
      <c r="O11" s="7223"/>
      <c r="P11" s="7223"/>
      <c r="Q11" s="7223"/>
      <c r="R11" s="7223"/>
      <c r="S11" s="7223"/>
    </row>
    <row r="12" spans="1:39" ht="20.100000000000001" customHeight="1">
      <c r="A12" s="7208"/>
      <c r="B12" s="7224"/>
      <c r="C12" s="7225"/>
      <c r="D12" s="7226" t="s">
        <v>7829</v>
      </c>
      <c r="E12" s="7227"/>
      <c r="F12" s="7202">
        <v>20</v>
      </c>
      <c r="H12" s="7228" t="s">
        <v>7830</v>
      </c>
      <c r="I12" s="7228"/>
      <c r="J12" s="7228"/>
      <c r="K12" s="7228"/>
      <c r="L12" s="7228"/>
      <c r="M12" s="7228"/>
      <c r="N12" s="7228"/>
      <c r="O12" s="7228"/>
      <c r="P12" s="7228"/>
      <c r="Q12" s="7228"/>
      <c r="R12" s="7228"/>
      <c r="S12" s="7228"/>
    </row>
    <row r="13" spans="1:39" ht="20.100000000000001" customHeight="1">
      <c r="A13" s="7208"/>
      <c r="B13" s="7229"/>
      <c r="C13" s="7230"/>
      <c r="D13" s="7226" t="s">
        <v>7831</v>
      </c>
      <c r="E13" s="7231"/>
      <c r="F13" s="7202">
        <v>20</v>
      </c>
      <c r="H13" s="7228"/>
      <c r="I13" s="7228"/>
      <c r="J13" s="7228"/>
      <c r="K13" s="7228"/>
      <c r="L13" s="7228"/>
      <c r="M13" s="7228"/>
      <c r="N13" s="7228"/>
      <c r="O13" s="7228"/>
      <c r="P13" s="7228"/>
      <c r="Q13" s="7228"/>
      <c r="R13" s="7228"/>
      <c r="S13" s="7228"/>
    </row>
    <row r="14" spans="1:39" ht="20.100000000000001" customHeight="1">
      <c r="A14" s="7208"/>
      <c r="B14" s="7232"/>
      <c r="C14" s="7233"/>
      <c r="D14" s="7234" t="str">
        <f>SUBSTITUTE(B14,B14,C14)</f>
        <v/>
      </c>
      <c r="E14" s="7235">
        <f t="shared" ref="E14:E33" si="0">IF(C14="",B14,UPPER(LEFT(D14,1))&amp;RIGHT(D14,LEN(D14)-1))</f>
        <v>0</v>
      </c>
      <c r="F14" s="7202">
        <v>20</v>
      </c>
      <c r="H14" s="7228" t="s">
        <v>7832</v>
      </c>
      <c r="I14" s="7228"/>
      <c r="J14" s="7228"/>
      <c r="K14" s="7228"/>
      <c r="L14" s="7228"/>
      <c r="M14" s="7228"/>
      <c r="N14" s="7228"/>
      <c r="O14" s="7228"/>
      <c r="P14" s="7228"/>
      <c r="Q14" s="7228"/>
      <c r="R14" s="7228"/>
      <c r="S14" s="7228"/>
    </row>
    <row r="15" spans="1:39" ht="20.100000000000001" customHeight="1">
      <c r="A15" s="7208"/>
      <c r="B15" s="7232" t="s">
        <v>7833</v>
      </c>
      <c r="C15" s="7233" t="s">
        <v>6316</v>
      </c>
      <c r="D15" s="7234" t="str">
        <f>SUBSTITUTE(B15,B15,C15)</f>
        <v>os</v>
      </c>
      <c r="E15" s="7236" t="str">
        <f t="shared" si="0"/>
        <v>Os</v>
      </c>
      <c r="F15" s="7202">
        <v>20</v>
      </c>
      <c r="H15" s="7228"/>
      <c r="I15" s="7228"/>
      <c r="J15" s="7228"/>
      <c r="K15" s="7228"/>
      <c r="L15" s="7228"/>
      <c r="M15" s="7228"/>
      <c r="N15" s="7228"/>
      <c r="O15" s="7228"/>
      <c r="P15" s="7228"/>
      <c r="Q15" s="7228"/>
      <c r="R15" s="7228"/>
      <c r="S15" s="7228"/>
    </row>
    <row r="16" spans="1:39" ht="20.100000000000001" customHeight="1">
      <c r="A16" s="7208"/>
      <c r="B16" s="7232" t="s">
        <v>7834</v>
      </c>
      <c r="C16" s="7233" t="s">
        <v>73</v>
      </c>
      <c r="D16" s="7234" t="str">
        <f t="shared" ref="D16:D33" si="1">SUBSTITUTE(B16,B16,C16)</f>
        <v>pommes</v>
      </c>
      <c r="E16" s="7236" t="str">
        <f t="shared" si="0"/>
        <v>Pommes</v>
      </c>
      <c r="F16" s="7202">
        <v>20</v>
      </c>
      <c r="H16" s="7203" t="s">
        <v>7835</v>
      </c>
      <c r="I16" s="7203"/>
      <c r="J16" s="7203"/>
      <c r="K16" s="7203"/>
      <c r="L16" s="7203"/>
      <c r="M16" s="7203"/>
      <c r="N16" s="7203"/>
      <c r="O16" s="7203"/>
      <c r="P16" s="7203"/>
      <c r="Q16" s="7203"/>
      <c r="R16" s="7203"/>
      <c r="S16" s="7203"/>
    </row>
    <row r="17" spans="1:19" ht="20.100000000000001" customHeight="1">
      <c r="A17" s="7208"/>
      <c r="B17" s="7232" t="s">
        <v>7836</v>
      </c>
      <c r="C17" s="7233" t="s">
        <v>7837</v>
      </c>
      <c r="D17" s="7234" t="str">
        <f t="shared" si="1"/>
        <v>oignons bio</v>
      </c>
      <c r="E17" s="7236" t="str">
        <f t="shared" si="0"/>
        <v>Oignons bio</v>
      </c>
      <c r="F17" s="7202">
        <v>20</v>
      </c>
      <c r="H17" s="7203"/>
      <c r="I17" s="7203"/>
      <c r="J17" s="7203"/>
      <c r="K17" s="7203"/>
      <c r="L17" s="7203"/>
      <c r="M17" s="7203"/>
      <c r="N17" s="7203"/>
      <c r="O17" s="7203"/>
      <c r="P17" s="7203"/>
      <c r="Q17" s="7203"/>
      <c r="R17" s="7203"/>
      <c r="S17" s="7203"/>
    </row>
    <row r="18" spans="1:19" ht="20.100000000000001" customHeight="1">
      <c r="A18" s="7208"/>
      <c r="B18" s="7232" t="s">
        <v>7838</v>
      </c>
      <c r="C18" s="7233"/>
      <c r="D18" s="7234" t="str">
        <f t="shared" si="1"/>
        <v/>
      </c>
      <c r="E18" s="7236" t="str">
        <f t="shared" si="0"/>
        <v>3 kg de carottes bio</v>
      </c>
      <c r="F18" s="7202">
        <v>20</v>
      </c>
      <c r="H18" s="7228" t="s">
        <v>7839</v>
      </c>
      <c r="I18" s="7228"/>
      <c r="J18" s="7228"/>
      <c r="K18" s="7228"/>
      <c r="L18" s="7228"/>
      <c r="M18" s="7228"/>
      <c r="N18" s="7228"/>
      <c r="O18" s="7228"/>
      <c r="P18" s="7228"/>
      <c r="Q18" s="7228"/>
      <c r="R18" s="7228"/>
      <c r="S18" s="7228"/>
    </row>
    <row r="19" spans="1:19" ht="20.100000000000001" customHeight="1">
      <c r="A19" s="7208"/>
      <c r="B19" s="7232" t="s">
        <v>7840</v>
      </c>
      <c r="C19" s="7233" t="s">
        <v>7841</v>
      </c>
      <c r="D19" s="7234" t="str">
        <f t="shared" si="1"/>
        <v>concentré</v>
      </c>
      <c r="E19" s="7236" t="str">
        <f t="shared" si="0"/>
        <v>Concentré</v>
      </c>
      <c r="F19" s="7202">
        <v>20</v>
      </c>
      <c r="H19" s="7228"/>
      <c r="I19" s="7228"/>
      <c r="J19" s="7228"/>
      <c r="K19" s="7228"/>
      <c r="L19" s="7228"/>
      <c r="M19" s="7228"/>
      <c r="N19" s="7228"/>
      <c r="O19" s="7228"/>
      <c r="P19" s="7228"/>
      <c r="Q19" s="7228"/>
      <c r="R19" s="7228"/>
      <c r="S19" s="7228"/>
    </row>
    <row r="20" spans="1:19" ht="20.100000000000001" customHeight="1">
      <c r="A20" s="7208"/>
      <c r="B20" s="7232" t="s">
        <v>7842</v>
      </c>
      <c r="C20" s="7237"/>
      <c r="D20" s="7234" t="str">
        <f t="shared" si="1"/>
        <v/>
      </c>
      <c r="E20" s="7236" t="str">
        <f t="shared" si="0"/>
        <v>ail surgelé</v>
      </c>
      <c r="F20" s="7202">
        <v>20</v>
      </c>
      <c r="H20" s="7212" t="s">
        <v>7843</v>
      </c>
      <c r="I20" s="7212"/>
      <c r="J20" s="7212"/>
      <c r="K20" s="7212"/>
      <c r="L20" s="7212"/>
      <c r="M20" s="7212"/>
      <c r="N20" s="7212"/>
      <c r="O20" s="7212"/>
      <c r="P20" s="7212"/>
      <c r="Q20" s="7212"/>
      <c r="R20" s="7212"/>
      <c r="S20" s="7212"/>
    </row>
    <row r="21" spans="1:19" ht="20.100000000000001" customHeight="1">
      <c r="A21" s="7208"/>
      <c r="B21" s="7232" t="s">
        <v>7844</v>
      </c>
      <c r="C21" s="7237"/>
      <c r="D21" s="7234" t="str">
        <f t="shared" si="1"/>
        <v/>
      </c>
      <c r="E21" s="7236" t="str">
        <f t="shared" si="0"/>
        <v>branches de persil bio</v>
      </c>
      <c r="F21" s="7202">
        <v>20</v>
      </c>
      <c r="H21" s="7212"/>
      <c r="I21" s="7212"/>
      <c r="J21" s="7212"/>
      <c r="K21" s="7212"/>
      <c r="L21" s="7212"/>
      <c r="M21" s="7212"/>
      <c r="N21" s="7212"/>
      <c r="O21" s="7212"/>
      <c r="P21" s="7212"/>
      <c r="Q21" s="7212"/>
      <c r="R21" s="7212"/>
      <c r="S21" s="7212"/>
    </row>
    <row r="22" spans="1:19" ht="20.100000000000001" customHeight="1" thickBot="1">
      <c r="A22" s="7208"/>
      <c r="B22" s="7232"/>
      <c r="C22" s="7237"/>
      <c r="D22" s="7234" t="str">
        <f t="shared" si="1"/>
        <v/>
      </c>
      <c r="E22" s="7236">
        <f t="shared" si="0"/>
        <v>0</v>
      </c>
      <c r="F22" s="7202">
        <v>20</v>
      </c>
    </row>
    <row r="23" spans="1:19" ht="20.100000000000001" customHeight="1">
      <c r="A23" s="7208"/>
      <c r="B23" s="7232"/>
      <c r="C23" s="7237"/>
      <c r="D23" s="7234" t="str">
        <f t="shared" si="1"/>
        <v/>
      </c>
      <c r="E23" s="7236">
        <f t="shared" si="0"/>
        <v>0</v>
      </c>
      <c r="F23" s="7202">
        <v>20</v>
      </c>
      <c r="H23" s="7238" t="s">
        <v>7845</v>
      </c>
      <c r="I23" s="7239"/>
      <c r="J23" s="7239"/>
      <c r="K23" s="7239"/>
      <c r="L23" s="7240"/>
      <c r="N23" s="7241" t="s">
        <v>7846</v>
      </c>
      <c r="O23" s="7242"/>
      <c r="P23" s="7242"/>
      <c r="Q23" s="7242"/>
      <c r="R23" s="7242"/>
      <c r="S23" s="7243"/>
    </row>
    <row r="24" spans="1:19" ht="20.100000000000001" customHeight="1">
      <c r="A24" s="7208"/>
      <c r="B24" s="7232"/>
      <c r="C24" s="7237"/>
      <c r="D24" s="7234" t="str">
        <f t="shared" si="1"/>
        <v/>
      </c>
      <c r="E24" s="7236">
        <f t="shared" si="0"/>
        <v>0</v>
      </c>
      <c r="F24" s="7202">
        <v>20</v>
      </c>
      <c r="H24" s="7244" t="s">
        <v>7847</v>
      </c>
      <c r="I24" s="7245"/>
      <c r="J24" s="7245"/>
      <c r="K24" s="7245"/>
      <c r="L24" s="7246"/>
      <c r="N24" s="7247" t="s">
        <v>7848</v>
      </c>
      <c r="O24" s="7248"/>
      <c r="P24" s="7248"/>
      <c r="Q24" s="7248"/>
      <c r="R24" s="7248"/>
      <c r="S24" s="7249"/>
    </row>
    <row r="25" spans="1:19" ht="20.100000000000001" customHeight="1">
      <c r="A25" s="7208"/>
      <c r="B25" s="7232"/>
      <c r="C25" s="7237"/>
      <c r="D25" s="7234" t="str">
        <f t="shared" si="1"/>
        <v/>
      </c>
      <c r="E25" s="7236">
        <f t="shared" si="0"/>
        <v>0</v>
      </c>
      <c r="F25" s="7202">
        <v>20</v>
      </c>
      <c r="H25" s="7244"/>
      <c r="I25" s="7245"/>
      <c r="J25" s="7245"/>
      <c r="K25" s="7245"/>
      <c r="L25" s="7246"/>
      <c r="N25" s="7247"/>
      <c r="O25" s="7248"/>
      <c r="P25" s="7248"/>
      <c r="Q25" s="7248"/>
      <c r="R25" s="7248"/>
      <c r="S25" s="7249"/>
    </row>
    <row r="26" spans="1:19" ht="20.100000000000001" customHeight="1">
      <c r="A26" s="7208"/>
      <c r="B26" s="7232"/>
      <c r="C26" s="7237"/>
      <c r="D26" s="7234" t="str">
        <f t="shared" si="1"/>
        <v/>
      </c>
      <c r="E26" s="7236">
        <f t="shared" si="0"/>
        <v>0</v>
      </c>
      <c r="F26" s="7202">
        <v>20</v>
      </c>
      <c r="H26" s="7250" t="s">
        <v>7849</v>
      </c>
      <c r="I26" s="7251"/>
      <c r="J26" s="7251"/>
      <c r="K26" s="7251"/>
      <c r="L26" s="7252"/>
      <c r="N26" s="7253" t="s">
        <v>7850</v>
      </c>
      <c r="O26" s="7254"/>
      <c r="P26" s="7254"/>
      <c r="Q26" s="7254"/>
      <c r="R26" s="7254"/>
      <c r="S26" s="7255"/>
    </row>
    <row r="27" spans="1:19" ht="20.100000000000001" customHeight="1">
      <c r="A27" s="7208"/>
      <c r="B27" s="7232"/>
      <c r="C27" s="7237"/>
      <c r="D27" s="7234" t="str">
        <f t="shared" si="1"/>
        <v/>
      </c>
      <c r="E27" s="7236">
        <f t="shared" si="0"/>
        <v>0</v>
      </c>
      <c r="F27" s="7202">
        <v>20</v>
      </c>
      <c r="H27" s="7256"/>
      <c r="I27" s="7257"/>
      <c r="J27" s="7257"/>
      <c r="K27" s="7257"/>
      <c r="L27" s="7258"/>
      <c r="N27" s="7259"/>
      <c r="O27" s="7260"/>
      <c r="P27" s="7260"/>
      <c r="Q27" s="7260"/>
      <c r="R27" s="7260"/>
      <c r="S27" s="7258"/>
    </row>
    <row r="28" spans="1:19" ht="20.100000000000001" customHeight="1">
      <c r="A28" s="7208"/>
      <c r="B28" s="7232"/>
      <c r="C28" s="7237"/>
      <c r="D28" s="7234" t="str">
        <f t="shared" si="1"/>
        <v/>
      </c>
      <c r="E28" s="7236">
        <f t="shared" si="0"/>
        <v>0</v>
      </c>
      <c r="F28" s="7202">
        <v>20</v>
      </c>
      <c r="H28" s="7256"/>
      <c r="I28" s="7257"/>
      <c r="J28" s="7257"/>
      <c r="K28" s="7257"/>
      <c r="L28" s="7258"/>
      <c r="N28" s="7259"/>
      <c r="O28" s="7260"/>
      <c r="P28" s="7260"/>
      <c r="Q28" s="7260"/>
      <c r="R28" s="7260"/>
      <c r="S28" s="7258"/>
    </row>
    <row r="29" spans="1:19" ht="20.100000000000001" customHeight="1">
      <c r="A29" s="7208"/>
      <c r="B29" s="7232"/>
      <c r="C29" s="7237"/>
      <c r="D29" s="7234" t="str">
        <f t="shared" si="1"/>
        <v/>
      </c>
      <c r="E29" s="7236">
        <f t="shared" si="0"/>
        <v>0</v>
      </c>
      <c r="F29" s="7202">
        <v>20</v>
      </c>
      <c r="H29" s="7256"/>
      <c r="I29" s="7257"/>
      <c r="J29" s="7257"/>
      <c r="K29" s="7257"/>
      <c r="L29" s="7258"/>
      <c r="N29" s="7259"/>
      <c r="O29" s="7260"/>
      <c r="P29" s="7260"/>
      <c r="Q29" s="7260"/>
      <c r="R29" s="7260"/>
      <c r="S29" s="7258"/>
    </row>
    <row r="30" spans="1:19" ht="20.100000000000001" customHeight="1">
      <c r="A30" s="7208"/>
      <c r="B30" s="7232"/>
      <c r="C30" s="7237"/>
      <c r="D30" s="7234" t="str">
        <f t="shared" si="1"/>
        <v/>
      </c>
      <c r="E30" s="7236">
        <f t="shared" si="0"/>
        <v>0</v>
      </c>
      <c r="F30" s="7202">
        <v>20</v>
      </c>
      <c r="H30" s="7256"/>
      <c r="I30" s="7257"/>
      <c r="J30" s="7257"/>
      <c r="K30" s="7257"/>
      <c r="L30" s="7258"/>
      <c r="N30" s="7259"/>
      <c r="O30" s="7260"/>
      <c r="P30" s="7260"/>
      <c r="Q30" s="7260"/>
      <c r="R30" s="7260"/>
      <c r="S30" s="7258"/>
    </row>
    <row r="31" spans="1:19" ht="20.100000000000001" customHeight="1">
      <c r="A31" s="7208"/>
      <c r="B31" s="7232"/>
      <c r="C31" s="7237"/>
      <c r="D31" s="7234" t="str">
        <f t="shared" si="1"/>
        <v/>
      </c>
      <c r="E31" s="7236">
        <f t="shared" si="0"/>
        <v>0</v>
      </c>
      <c r="F31" s="7202">
        <v>20</v>
      </c>
      <c r="H31" s="7256"/>
      <c r="I31" s="7257"/>
      <c r="J31" s="7257"/>
      <c r="K31" s="7257"/>
      <c r="L31" s="7258"/>
      <c r="N31" s="7259"/>
      <c r="O31" s="7260"/>
      <c r="P31" s="7260"/>
      <c r="Q31" s="7260"/>
      <c r="R31" s="7260"/>
      <c r="S31" s="7258"/>
    </row>
    <row r="32" spans="1:19" ht="20.100000000000001" customHeight="1">
      <c r="A32" s="7208"/>
      <c r="B32" s="7232"/>
      <c r="C32" s="7237"/>
      <c r="D32" s="7234" t="str">
        <f t="shared" si="1"/>
        <v/>
      </c>
      <c r="E32" s="7236">
        <f t="shared" si="0"/>
        <v>0</v>
      </c>
      <c r="F32" s="7202">
        <v>20</v>
      </c>
      <c r="H32" s="7256"/>
      <c r="I32" s="7257"/>
      <c r="J32" s="7257"/>
      <c r="K32" s="7257"/>
      <c r="L32" s="7258"/>
      <c r="N32" s="7259"/>
      <c r="O32" s="7260"/>
      <c r="P32" s="7260"/>
      <c r="Q32" s="7260"/>
      <c r="R32" s="7260"/>
      <c r="S32" s="7258"/>
    </row>
    <row r="33" spans="1:19" ht="20.100000000000001" customHeight="1">
      <c r="A33" s="7208"/>
      <c r="B33" s="7232"/>
      <c r="C33" s="7237"/>
      <c r="D33" s="7234" t="str">
        <f t="shared" si="1"/>
        <v/>
      </c>
      <c r="E33" s="7261">
        <f t="shared" si="0"/>
        <v>0</v>
      </c>
      <c r="F33" s="7202">
        <v>20</v>
      </c>
      <c r="H33" s="7262" t="s">
        <v>7851</v>
      </c>
      <c r="I33" s="7263"/>
      <c r="J33" s="7263"/>
      <c r="K33" s="7263"/>
      <c r="L33" s="7264"/>
      <c r="N33" s="7259"/>
      <c r="O33" s="7260"/>
      <c r="P33" s="7260"/>
      <c r="Q33" s="7260"/>
      <c r="R33" s="7260"/>
      <c r="S33" s="7258"/>
    </row>
    <row r="34" spans="1:19" ht="18" customHeight="1" thickBot="1">
      <c r="A34" s="7265"/>
      <c r="B34" s="7266">
        <v>55</v>
      </c>
      <c r="C34" s="7266">
        <v>40</v>
      </c>
      <c r="D34" s="7266">
        <v>6.5</v>
      </c>
      <c r="E34" s="7267">
        <v>60</v>
      </c>
      <c r="F34" s="7195" t="s">
        <v>7812</v>
      </c>
      <c r="H34" s="7262"/>
      <c r="I34" s="7263"/>
      <c r="J34" s="7263"/>
      <c r="K34" s="7263"/>
      <c r="L34" s="7264"/>
      <c r="N34" s="7259"/>
      <c r="O34" s="7260"/>
      <c r="P34" s="7260"/>
      <c r="Q34" s="7260"/>
      <c r="R34" s="7260"/>
      <c r="S34" s="7258"/>
    </row>
    <row r="35" spans="1:19" ht="18" customHeight="1" thickBot="1">
      <c r="H35" s="7268"/>
      <c r="I35" s="7269"/>
      <c r="J35" s="7269"/>
      <c r="K35" s="7269"/>
      <c r="L35" s="7270"/>
      <c r="N35" s="7271"/>
      <c r="O35" s="7269"/>
      <c r="P35" s="7269"/>
      <c r="Q35" s="7269"/>
      <c r="R35" s="7269"/>
      <c r="S35" s="7270"/>
    </row>
    <row r="36" spans="1:19" ht="18" customHeight="1"/>
    <row r="37" spans="1:19" ht="18" customHeight="1"/>
    <row r="38" spans="1:19" ht="18" customHeight="1"/>
    <row r="39" spans="1:19" ht="15" customHeight="1"/>
    <row r="40" spans="1:19" ht="15" customHeight="1"/>
    <row r="41" spans="1:19" ht="15" customHeight="1"/>
    <row r="42" spans="1:19" ht="15" customHeight="1"/>
    <row r="43" spans="1:19" ht="15" customHeight="1"/>
    <row r="44" spans="1:19" ht="15" customHeight="1"/>
    <row r="45" spans="1:19" ht="15" customHeight="1"/>
    <row r="46" spans="1:19" ht="15.75" customHeight="1"/>
    <row r="50" ht="15" customHeight="1"/>
    <row r="51" ht="15" customHeight="1"/>
    <row r="52" ht="15" customHeight="1"/>
    <row r="53" ht="15" customHeight="1"/>
    <row r="54" ht="15.75" customHeight="1"/>
  </sheetData>
  <mergeCells count="27">
    <mergeCell ref="H24:L25"/>
    <mergeCell ref="N24:S25"/>
    <mergeCell ref="H26:L26"/>
    <mergeCell ref="N26:S26"/>
    <mergeCell ref="H33:L34"/>
    <mergeCell ref="H14:S15"/>
    <mergeCell ref="H16:S17"/>
    <mergeCell ref="H18:S19"/>
    <mergeCell ref="H20:S21"/>
    <mergeCell ref="H23:L23"/>
    <mergeCell ref="N23:S23"/>
    <mergeCell ref="B8:E9"/>
    <mergeCell ref="H10:S11"/>
    <mergeCell ref="B11:B13"/>
    <mergeCell ref="C11:C13"/>
    <mergeCell ref="E11:E13"/>
    <mergeCell ref="H12:S13"/>
    <mergeCell ref="A2:A3"/>
    <mergeCell ref="B2:E3"/>
    <mergeCell ref="H2:S3"/>
    <mergeCell ref="A4:A34"/>
    <mergeCell ref="B4:E4"/>
    <mergeCell ref="H4:S4"/>
    <mergeCell ref="B5:E5"/>
    <mergeCell ref="H5:S6"/>
    <mergeCell ref="B6:E7"/>
    <mergeCell ref="H7:S9"/>
  </mergeCells>
  <printOptions horizontalCentered="1"/>
  <pageMargins left="0.25" right="0.25" top="0.75" bottom="0.75" header="0.3" footer="0.3"/>
  <pageSetup paperSize="9" scale="1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F4DA-42C8-48E0-B9E0-538E5C810A73}">
  <dimension ref="A1:U102"/>
  <sheetViews>
    <sheetView showZeros="0" zoomScale="75" zoomScaleNormal="75" workbookViewId="0">
      <selection activeCell="K28" sqref="K28"/>
    </sheetView>
  </sheetViews>
  <sheetFormatPr baseColWidth="10" defaultRowHeight="21"/>
  <cols>
    <col min="1" max="1" width="3.5" style="2244" customWidth="1"/>
    <col min="2" max="2" width="118.875" style="2244" customWidth="1"/>
    <col min="3" max="4" width="21.5" style="2244" customWidth="1"/>
    <col min="5" max="5" width="15.375" style="2273" customWidth="1"/>
    <col min="6" max="7" width="14.5" style="2244" customWidth="1"/>
    <col min="8" max="8" width="13.625" style="2244" customWidth="1"/>
    <col min="9" max="9" width="3.5" style="2244" customWidth="1"/>
    <col min="10" max="10" width="4.625" style="4533" customWidth="1"/>
    <col min="11" max="11" width="91.5" style="2244" customWidth="1"/>
    <col min="12" max="12" width="6.375" style="2244" customWidth="1"/>
    <col min="13" max="13" width="8.625" style="2244" customWidth="1"/>
    <col min="14" max="14" width="16.5" style="2244" customWidth="1"/>
    <col min="15" max="15" width="11" style="2244"/>
    <col min="16" max="16" width="12.875" style="2244" customWidth="1"/>
    <col min="17" max="17" width="16.875" style="2244" customWidth="1"/>
    <col min="18" max="18" width="47.125" style="2244" customWidth="1"/>
    <col min="19" max="19" width="27.5" style="2244" customWidth="1"/>
    <col min="20" max="21" width="19.75" style="2244" customWidth="1"/>
    <col min="22" max="16384" width="11" style="2244"/>
  </cols>
  <sheetData>
    <row r="1" spans="2:20" ht="21.75" thickBot="1">
      <c r="B1" s="2242"/>
      <c r="C1" s="2242"/>
      <c r="D1" s="2242"/>
      <c r="E1" s="2243"/>
      <c r="F1" s="2242"/>
      <c r="G1" s="2242"/>
      <c r="H1" s="2242"/>
      <c r="I1" s="2242"/>
    </row>
    <row r="2" spans="2:20" ht="21" customHeight="1">
      <c r="B2" s="6533" t="s">
        <v>2147</v>
      </c>
      <c r="C2" s="6534"/>
      <c r="D2" s="6534"/>
      <c r="E2" s="6534"/>
      <c r="F2" s="6534"/>
      <c r="G2" s="6534"/>
      <c r="H2" s="6534"/>
      <c r="I2" s="6534"/>
      <c r="J2" s="6534"/>
      <c r="K2" s="6534"/>
      <c r="L2" s="6534"/>
      <c r="M2" s="6534"/>
      <c r="N2" s="6534"/>
      <c r="O2" s="6534"/>
      <c r="P2" s="6534"/>
      <c r="Q2" s="6534"/>
      <c r="R2" s="6534"/>
      <c r="S2" s="6534"/>
      <c r="T2" s="6535"/>
    </row>
    <row r="3" spans="2:20" ht="21.75" customHeight="1">
      <c r="B3" s="6536"/>
      <c r="C3" s="6537"/>
      <c r="D3" s="6537"/>
      <c r="E3" s="6537"/>
      <c r="F3" s="6537"/>
      <c r="G3" s="6537"/>
      <c r="H3" s="6537"/>
      <c r="I3" s="6537"/>
      <c r="J3" s="6537"/>
      <c r="K3" s="6537"/>
      <c r="L3" s="6537"/>
      <c r="M3" s="6537"/>
      <c r="N3" s="6537"/>
      <c r="O3" s="6537"/>
      <c r="P3" s="6537"/>
      <c r="Q3" s="6537"/>
      <c r="R3" s="6537"/>
      <c r="S3" s="6537"/>
      <c r="T3" s="6538"/>
    </row>
    <row r="4" spans="2:20" ht="21" customHeight="1">
      <c r="B4" s="6539" t="s">
        <v>2148</v>
      </c>
      <c r="C4" s="6541" t="s">
        <v>2149</v>
      </c>
      <c r="D4" s="6542"/>
      <c r="E4" s="6542"/>
      <c r="F4" s="6542"/>
      <c r="G4" s="6542"/>
      <c r="H4" s="6542"/>
      <c r="I4" s="6542"/>
      <c r="J4" s="4534"/>
      <c r="K4" s="2245"/>
      <c r="L4" s="2245"/>
      <c r="M4" s="2245"/>
      <c r="N4" s="2245"/>
      <c r="O4" s="2245"/>
      <c r="P4" s="2245"/>
      <c r="Q4" s="2245"/>
      <c r="R4" s="2245"/>
      <c r="S4" s="2245"/>
      <c r="T4" s="4535"/>
    </row>
    <row r="5" spans="2:20" ht="21.75" customHeight="1" thickBot="1">
      <c r="B5" s="6540"/>
      <c r="C5" s="6543"/>
      <c r="D5" s="6544"/>
      <c r="E5" s="6544"/>
      <c r="F5" s="6544"/>
      <c r="G5" s="6544"/>
      <c r="H5" s="6544"/>
      <c r="I5" s="6544"/>
      <c r="J5" s="4534"/>
      <c r="K5" s="2245"/>
      <c r="L5" s="2245"/>
      <c r="M5" s="2245"/>
      <c r="N5" s="2246" t="s">
        <v>2150</v>
      </c>
      <c r="O5" s="2245"/>
      <c r="P5" s="2245"/>
      <c r="Q5" s="2245"/>
      <c r="R5" s="2245"/>
      <c r="S5" s="2245"/>
      <c r="T5" s="4535"/>
    </row>
    <row r="6" spans="2:20" ht="21" customHeight="1">
      <c r="B6" s="6540"/>
      <c r="C6" s="4536"/>
      <c r="D6" s="4537"/>
      <c r="E6" s="4537"/>
      <c r="F6" s="4537"/>
      <c r="G6" s="4537"/>
      <c r="H6" s="4537"/>
      <c r="I6" s="4538"/>
      <c r="J6" s="4537"/>
      <c r="K6" s="6545" t="s">
        <v>2151</v>
      </c>
      <c r="L6" s="2247"/>
      <c r="M6" s="2245"/>
      <c r="N6" s="2246" t="s">
        <v>2152</v>
      </c>
      <c r="O6" s="2245"/>
      <c r="P6" s="2245"/>
      <c r="Q6" s="2245"/>
      <c r="R6" s="2245"/>
      <c r="S6" s="2245"/>
      <c r="T6" s="4535"/>
    </row>
    <row r="7" spans="2:20" ht="21.75" customHeight="1" thickBot="1">
      <c r="B7" s="6547" t="s">
        <v>2153</v>
      </c>
      <c r="C7" s="4539"/>
      <c r="D7" s="2248"/>
      <c r="E7" s="2248"/>
      <c r="F7" s="2248"/>
      <c r="G7" s="2248"/>
      <c r="H7" s="2248"/>
      <c r="I7" s="4540"/>
      <c r="J7" s="2248"/>
      <c r="K7" s="6546"/>
      <c r="L7" s="2247"/>
      <c r="M7" s="2245"/>
      <c r="N7" s="2245"/>
      <c r="O7" s="2245"/>
      <c r="P7" s="2245"/>
      <c r="Q7" s="2245"/>
      <c r="R7" s="2245"/>
      <c r="S7" s="2245"/>
      <c r="T7" s="4535"/>
    </row>
    <row r="8" spans="2:20" ht="21.75" customHeight="1">
      <c r="B8" s="6547"/>
      <c r="C8" s="4539"/>
      <c r="D8" s="2248"/>
      <c r="E8" s="6548" t="s">
        <v>7772</v>
      </c>
      <c r="F8" s="6548"/>
      <c r="G8" s="6548"/>
      <c r="H8" s="6548"/>
      <c r="I8" s="6549"/>
      <c r="J8" s="4534"/>
      <c r="K8" s="2250"/>
      <c r="L8" s="2247"/>
      <c r="M8" s="2245"/>
      <c r="N8" s="2245"/>
      <c r="O8" s="2245"/>
      <c r="P8" s="2245"/>
      <c r="Q8" s="2245"/>
      <c r="R8" s="2245"/>
      <c r="S8" s="2245"/>
      <c r="T8" s="4535"/>
    </row>
    <row r="9" spans="2:20" ht="29.25" thickBot="1">
      <c r="B9" s="4541" t="str">
        <f>LEFT(ADDRESS(1,COLUMN(),4),LEN(ADDRESS(1,COLUMN(),4))-1)</f>
        <v>B</v>
      </c>
      <c r="C9" s="4542" t="str">
        <f>LEFT(ADDRESS(1,COLUMN(),4),LEN(ADDRESS(1,COLUMN(),4))-1)</f>
        <v>C</v>
      </c>
      <c r="D9" s="2251" t="str">
        <f>LEFT(ADDRESS(1,COLUMN(),4),LEN(ADDRESS(1,COLUMN(),4))-1)</f>
        <v>D</v>
      </c>
      <c r="E9" s="6548"/>
      <c r="F9" s="6548"/>
      <c r="G9" s="6548"/>
      <c r="H9" s="6548"/>
      <c r="I9" s="6549"/>
      <c r="J9" s="4534"/>
      <c r="K9" s="2253" t="str">
        <f>LEFT(ADDRESS(1,COLUMN(),4),LEN(ADDRESS(1,COLUMN(),4))-1)</f>
        <v>K</v>
      </c>
      <c r="L9" s="2251"/>
      <c r="M9" s="2251" t="str">
        <f>LEFT(ADDRESS(1,COLUMN(),4),LEN(ADDRESS(1,COLUMN(),4))-1)</f>
        <v>M</v>
      </c>
      <c r="N9" s="2254"/>
      <c r="O9" s="2251" t="str">
        <f>LEFT(ADDRESS(1,COLUMN(),4),LEN(ADDRESS(1,COLUMN(),4))-1)</f>
        <v>O</v>
      </c>
      <c r="P9" s="2254"/>
      <c r="Q9" s="2251" t="str">
        <f>LEFT(ADDRESS(1,COLUMN(),4),LEN(ADDRESS(1,COLUMN(),4))-1)</f>
        <v>Q</v>
      </c>
      <c r="R9" s="2251" t="str">
        <f>LEFT(ADDRESS(1,COLUMN(),4),LEN(ADDRESS(1,COLUMN(),4))-1)</f>
        <v>R</v>
      </c>
      <c r="S9" s="2245"/>
      <c r="T9" s="4543" t="str">
        <f>LEFT(ADDRESS(1,COLUMN(),4),LEN(ADDRESS(1,COLUMN(),4))-1)</f>
        <v>T</v>
      </c>
    </row>
    <row r="10" spans="2:20" ht="30" customHeight="1" thickBot="1">
      <c r="B10" s="4544" t="s">
        <v>2157</v>
      </c>
      <c r="C10" s="6515" t="s">
        <v>2158</v>
      </c>
      <c r="D10" s="6516"/>
      <c r="E10" s="2249">
        <v>1</v>
      </c>
      <c r="F10" s="2249">
        <v>2</v>
      </c>
      <c r="G10" s="2249">
        <v>3</v>
      </c>
      <c r="H10" s="2248"/>
      <c r="I10" s="4545"/>
      <c r="J10" s="4534"/>
      <c r="K10" s="6517" t="s">
        <v>2163</v>
      </c>
      <c r="L10" s="2255"/>
      <c r="M10" s="2256"/>
      <c r="N10" s="2256"/>
      <c r="O10" s="6518" t="s">
        <v>2164</v>
      </c>
      <c r="P10" s="6518"/>
      <c r="Q10" s="6519" t="s">
        <v>2165</v>
      </c>
      <c r="R10" s="6521" t="s">
        <v>2166</v>
      </c>
      <c r="S10" s="6521"/>
      <c r="T10" s="6522"/>
    </row>
    <row r="11" spans="2:20" ht="27.75" customHeight="1" thickBot="1">
      <c r="B11" s="4546" t="str">
        <f ca="1">_xlfn.FORMULATEXT(B14)</f>
        <v>=SI(K14="";"";MAJUSCULE(GAUCHE(H14;1))&amp;DROITE(H14;NBCAR(H14)-1))</v>
      </c>
      <c r="C11" s="6523" t="s">
        <v>2167</v>
      </c>
      <c r="D11" s="6525" t="s">
        <v>2168</v>
      </c>
      <c r="E11" s="4547" t="s">
        <v>2154</v>
      </c>
      <c r="F11" s="2252" t="s">
        <v>2155</v>
      </c>
      <c r="G11" s="2252" t="s">
        <v>2156</v>
      </c>
      <c r="H11" s="4548"/>
      <c r="I11" s="4549"/>
      <c r="J11" s="4534"/>
      <c r="K11" s="6517"/>
      <c r="L11" s="2255"/>
      <c r="M11" s="2256"/>
      <c r="N11" s="2256"/>
      <c r="O11" s="6518"/>
      <c r="P11" s="6518"/>
      <c r="Q11" s="6520"/>
      <c r="R11" s="6521"/>
      <c r="S11" s="6521"/>
      <c r="T11" s="6522"/>
    </row>
    <row r="12" spans="2:20" ht="49.5" customHeight="1">
      <c r="B12" s="4546" t="str">
        <f>CONCATENATE(UPPER(LEFT(H14,1)),RIGHT(H14,(LEN(H14))-1))</f>
        <v>Exemple équeuter, laver, cuire 100 Gr de haricots à l'anglaise les égoutter</v>
      </c>
      <c r="C12" s="6523"/>
      <c r="D12" s="6525"/>
      <c r="E12" s="2257" t="s">
        <v>2159</v>
      </c>
      <c r="F12" s="2275" t="s">
        <v>2160</v>
      </c>
      <c r="G12" s="2275" t="s">
        <v>2161</v>
      </c>
      <c r="H12" s="4550" t="s">
        <v>2162</v>
      </c>
      <c r="I12" s="4551"/>
      <c r="J12" s="4534"/>
      <c r="K12" s="6517"/>
      <c r="L12" s="2255"/>
      <c r="M12" s="2256"/>
      <c r="N12" s="2256"/>
      <c r="O12" s="6518"/>
      <c r="P12" s="6518"/>
      <c r="Q12" s="6520"/>
      <c r="R12" s="6521"/>
      <c r="S12" s="6521"/>
      <c r="T12" s="6522"/>
    </row>
    <row r="13" spans="2:20" ht="64.5" customHeight="1">
      <c r="B13" s="4552" t="s">
        <v>2169</v>
      </c>
      <c r="C13" s="6524"/>
      <c r="D13" s="6526"/>
      <c r="E13" s="6527" t="s">
        <v>2170</v>
      </c>
      <c r="F13" s="6528"/>
      <c r="G13" s="6528"/>
      <c r="H13" s="6528"/>
      <c r="I13" s="6529"/>
      <c r="J13" s="4534"/>
      <c r="K13" s="2258" t="s">
        <v>2171</v>
      </c>
      <c r="L13" s="2259"/>
      <c r="M13" s="6530" t="s">
        <v>2172</v>
      </c>
      <c r="N13" s="6531"/>
      <c r="O13" s="6518"/>
      <c r="P13" s="6518"/>
      <c r="Q13" s="6520"/>
      <c r="R13" s="6532" t="s">
        <v>2173</v>
      </c>
      <c r="S13" s="6532"/>
      <c r="T13" s="4553"/>
    </row>
    <row r="14" spans="2:20" ht="26.25">
      <c r="B14" s="2260" t="str">
        <f>IF(K14="","",UPPER(LEFT(H14,1))&amp;RIGHT(H14,LEN(H14)-1))</f>
        <v>Exemple équeuter, laver, cuire 100 Gr de haricots à l'anglaise les égoutter</v>
      </c>
      <c r="C14" s="2261" t="s">
        <v>2174</v>
      </c>
      <c r="D14" s="2262" t="s">
        <v>2175</v>
      </c>
      <c r="E14" s="2263" t="str">
        <f t="shared" ref="E14:E36" si="0">SUBSTITUTE(K14,E$11,"")</f>
        <v>exemple /  équeuter, laver,      cuire 300g de haricots   ...  à l'anglaise les égoutter</v>
      </c>
      <c r="F14" s="2264" t="str">
        <f t="shared" ref="F14:G36" si="1">SUBSTITUTE(E14,F$11,"")</f>
        <v>exemple /  équeuter, laver,      cuire 300g de haricots     à l'anglaise les égoutter</v>
      </c>
      <c r="G14" s="2264" t="str">
        <f t="shared" si="1"/>
        <v>exemple   équeuter, laver,      cuire 300g de haricots     à l'anglaise les égoutter</v>
      </c>
      <c r="H14" s="2265" t="str">
        <f t="shared" ref="H14:H36" si="2">TRIM(I14)</f>
        <v>exemple équeuter, laver, cuire 100 Gr de haricots à l'anglaise les égoutter</v>
      </c>
      <c r="I14" s="4554" t="str">
        <f t="shared" ref="I14:I36" si="3">SUBSTITUTE(G14,C14,D14)</f>
        <v>exemple   équeuter, laver,      cuire 100 Gr de haricots     à l'anglaise les égoutter</v>
      </c>
      <c r="J14" s="4534" t="s">
        <v>230</v>
      </c>
      <c r="K14" s="4555" t="s">
        <v>2176</v>
      </c>
      <c r="L14" s="4556"/>
      <c r="M14" s="4557">
        <f>LEN(K14)</f>
        <v>89</v>
      </c>
      <c r="N14" s="4558" t="str">
        <f>IF(ISBLANK(K14),"","Caractères")</f>
        <v>Caractères</v>
      </c>
      <c r="O14" s="4559">
        <f t="shared" ref="O14:O36" si="4">LEN(B14)</f>
        <v>75</v>
      </c>
      <c r="P14" s="4560" t="str">
        <f>IF(ISBLANK(K14),"","Caractères")</f>
        <v>Caractères</v>
      </c>
      <c r="Q14" s="4561">
        <v>50</v>
      </c>
      <c r="R14" s="4562" t="str">
        <f>IF(ISBLANK(K14),"",IF(O14&gt;Q14,(O14-Q14&amp;" caractères de trop."),"Ok moins de "&amp;Q14))</f>
        <v>25 caractères de trop.</v>
      </c>
      <c r="S14" s="4563" t="str">
        <f>IF(ISBLANK(K14),"",IF(O14=Q14,"Ok",IF(O14&lt;Q14,"Ok","répartissez votre texte sur")))</f>
        <v>répartissez votre texte sur</v>
      </c>
      <c r="T14" s="4564">
        <f>IF(ISBLANK(K14),"",IF(O14&gt;Q14,INT(O14/Q14+1),"OK "))</f>
        <v>2</v>
      </c>
    </row>
    <row r="15" spans="2:20" ht="26.25">
      <c r="B15" s="2260" t="str">
        <f t="shared" ref="B15:B36" si="5">IF(H15="","",UPPER(LEFT(H15,1))&amp;RIGHT(H15,LEN(H15)-1))</f>
        <v/>
      </c>
      <c r="C15" s="2261"/>
      <c r="D15" s="2262"/>
      <c r="E15" s="2263" t="str">
        <f t="shared" si="0"/>
        <v/>
      </c>
      <c r="F15" s="2264" t="str">
        <f t="shared" si="1"/>
        <v/>
      </c>
      <c r="G15" s="2264" t="str">
        <f t="shared" si="1"/>
        <v/>
      </c>
      <c r="H15" s="2265" t="str">
        <f t="shared" si="2"/>
        <v/>
      </c>
      <c r="I15" s="4554" t="str">
        <f t="shared" si="3"/>
        <v/>
      </c>
      <c r="J15" s="4534" t="s">
        <v>230</v>
      </c>
      <c r="K15" s="4555"/>
      <c r="L15" s="4556"/>
      <c r="M15" s="4557">
        <f t="shared" ref="M15" si="6">LEN(K15)</f>
        <v>0</v>
      </c>
      <c r="N15" s="4558" t="str">
        <f t="shared" ref="N15:N36" si="7">IF(ISBLANK(K15),"","Caractères")</f>
        <v/>
      </c>
      <c r="O15" s="4559">
        <f t="shared" si="4"/>
        <v>0</v>
      </c>
      <c r="P15" s="4560" t="str">
        <f>IF(ISBLANK(K15),"","Caractères")</f>
        <v/>
      </c>
      <c r="Q15" s="4561"/>
      <c r="R15" s="4562" t="str">
        <f>IF(ISBLANK(K15),"",IF(O15&gt;Q15,(O15-Q15&amp;" caractères de trop."),"Ok moins de "&amp;Q15))</f>
        <v/>
      </c>
      <c r="S15" s="4563" t="str">
        <f>IF(ISBLANK(K15),"",IF(O15=Q15,"Ok",IF(O15&lt;Q15,"Ok","répartissez votre texte sur")))</f>
        <v/>
      </c>
      <c r="T15" s="4564" t="str">
        <f>IF(ISBLANK(K15),"",IF(O15&gt;Q15,INT(O15/Q15+1),"OK "))</f>
        <v/>
      </c>
    </row>
    <row r="16" spans="2:20" ht="26.25">
      <c r="B16" s="2260" t="str">
        <f t="shared" si="5"/>
        <v>Laver, parer les aubergines, les couper en 2 et en six dans la longueur</v>
      </c>
      <c r="C16" s="2261" t="s">
        <v>2177</v>
      </c>
      <c r="D16" s="2262" t="s">
        <v>2178</v>
      </c>
      <c r="E16" s="2263" t="str">
        <f t="shared" si="0"/>
        <v>... laver, parer les aubergines,    les couper en quatre dans la longueur /</v>
      </c>
      <c r="F16" s="2264" t="str">
        <f t="shared" si="1"/>
        <v xml:space="preserve"> laver, parer les aubergines,    les couper en quatre dans la longueur /</v>
      </c>
      <c r="G16" s="2264" t="str">
        <f t="shared" si="1"/>
        <v xml:space="preserve"> laver, parer les aubergines,    les couper en quatre dans la longueur </v>
      </c>
      <c r="H16" s="2265" t="str">
        <f t="shared" si="2"/>
        <v>laver, parer les aubergines, les couper en 2 et en six dans la longueur</v>
      </c>
      <c r="I16" s="4554" t="str">
        <f t="shared" si="3"/>
        <v xml:space="preserve"> laver, parer les aubergines,    les couper en 2 et en six dans la longueur </v>
      </c>
      <c r="J16" s="4534" t="s">
        <v>230</v>
      </c>
      <c r="K16" s="4555" t="s">
        <v>2179</v>
      </c>
      <c r="L16" s="4556"/>
      <c r="M16" s="4557">
        <f>LEN(K16)</f>
        <v>75</v>
      </c>
      <c r="N16" s="4558" t="str">
        <f t="shared" si="7"/>
        <v>Caractères</v>
      </c>
      <c r="O16" s="4559">
        <f t="shared" si="4"/>
        <v>71</v>
      </c>
      <c r="P16" s="4560" t="str">
        <f t="shared" ref="P16:P36" si="8">IF(ISBLANK(K16),"","Caractères")</f>
        <v>Caractères</v>
      </c>
      <c r="Q16" s="4561">
        <v>40</v>
      </c>
      <c r="R16" s="4562" t="str">
        <f t="shared" ref="R16:R36" si="9">IF(ISBLANK(K16),"",IF(O16&gt;Q16,(O16-Q16&amp;" caractères de trop."),"Ok moins de "&amp;Q16))</f>
        <v>31 caractères de trop.</v>
      </c>
      <c r="S16" s="4563" t="str">
        <f t="shared" ref="S16:S36" si="10">IF(ISBLANK(K16),"",IF(O16=Q16,"Ok",IF(O16&lt;Q16,"Ok","répartissez votre texte sur")))</f>
        <v>répartissez votre texte sur</v>
      </c>
      <c r="T16" s="4564">
        <f t="shared" ref="T16:T36" si="11">IF(ISBLANK(K16),"",IF(O16&gt;Q16,INT(O16/Q16+1),"OK "))</f>
        <v>2</v>
      </c>
    </row>
    <row r="17" spans="2:20" ht="26.25">
      <c r="B17" s="2260" t="str">
        <f t="shared" si="5"/>
        <v/>
      </c>
      <c r="C17" s="2261"/>
      <c r="D17" s="2262"/>
      <c r="E17" s="2263" t="str">
        <f t="shared" si="0"/>
        <v/>
      </c>
      <c r="F17" s="2264" t="str">
        <f t="shared" si="1"/>
        <v/>
      </c>
      <c r="G17" s="2264" t="str">
        <f t="shared" si="1"/>
        <v/>
      </c>
      <c r="H17" s="2265" t="str">
        <f t="shared" si="2"/>
        <v/>
      </c>
      <c r="I17" s="4554" t="str">
        <f t="shared" si="3"/>
        <v/>
      </c>
      <c r="J17" s="4534" t="s">
        <v>230</v>
      </c>
      <c r="K17" s="4555"/>
      <c r="L17" s="4556"/>
      <c r="M17" s="4557">
        <f t="shared" ref="M17:M36" si="12">LEN(K17)</f>
        <v>0</v>
      </c>
      <c r="N17" s="4558" t="str">
        <f t="shared" si="7"/>
        <v/>
      </c>
      <c r="O17" s="4559">
        <f t="shared" si="4"/>
        <v>0</v>
      </c>
      <c r="P17" s="4560" t="str">
        <f t="shared" si="8"/>
        <v/>
      </c>
      <c r="Q17" s="4561"/>
      <c r="R17" s="4562" t="str">
        <f t="shared" si="9"/>
        <v/>
      </c>
      <c r="S17" s="4563" t="str">
        <f t="shared" si="10"/>
        <v/>
      </c>
      <c r="T17" s="4564" t="str">
        <f t="shared" si="11"/>
        <v/>
      </c>
    </row>
    <row r="18" spans="2:20" ht="26.25">
      <c r="B18" s="2260" t="str">
        <f t="shared" si="5"/>
        <v>Cuire les fèves à l'anglaise les égoutter EXEMPLE équeuter, laver, cuire les fèves à l'anglaise les égoutter EXEMPLE équeuter, laver, cuire les fèves à l'anglaise les égoutterEXEMPLE équeuter, laver, cuire les fèves à l'anglaise les égoutter</v>
      </c>
      <c r="C18" s="2261" t="s">
        <v>2180</v>
      </c>
      <c r="D18" s="2262" t="s">
        <v>2181</v>
      </c>
      <c r="E18" s="2263" t="str">
        <f t="shared" si="0"/>
        <v xml:space="preserve">      cuire les haricots   ...  à l'anglaise les égoutter EXEMPLE /  équeuter, laver,      cuire les haricots   ...  à l'anglaise les égoutter EXEMPLE /  équeuter, laver,                    cuire les haricots   ...  à l'anglaise les égoutterEXEMPLE /  équeuter, laver,      cuire les haricots   ...  à l'anglaise les égoutter</v>
      </c>
      <c r="F18" s="2264" t="str">
        <f t="shared" si="1"/>
        <v xml:space="preserve">      cuire les haricots     à l'anglaise les égoutter EXEMPLE /  équeuter, laver,      cuire les haricots     à l'anglaise les égoutter EXEMPLE /  équeuter, laver,                    cuire les haricots     à l'anglaise les égoutterEXEMPLE /  équeuter, laver,      cuire les haricots     à l'anglaise les égoutter</v>
      </c>
      <c r="G18" s="2264" t="str">
        <f t="shared" si="1"/>
        <v xml:space="preserve">      cuire les haricots     à l'anglaise les égoutter EXEMPLE   équeuter, laver,      cuire les haricots     à l'anglaise les égoutter EXEMPLE   équeuter, laver,                    cuire les haricots     à l'anglaise les égoutterEXEMPLE   équeuter, laver,      cuire les haricots     à l'anglaise les égoutter</v>
      </c>
      <c r="H18" s="2265" t="str">
        <f t="shared" si="2"/>
        <v>cuire les fèves à l'anglaise les égoutter EXEMPLE équeuter, laver, cuire les fèves à l'anglaise les égoutter EXEMPLE équeuter, laver, cuire les fèves à l'anglaise les égoutterEXEMPLE équeuter, laver, cuire les fèves à l'anglaise les égoutter</v>
      </c>
      <c r="I18" s="4554" t="str">
        <f t="shared" si="3"/>
        <v xml:space="preserve">      cuire les fèves     à l'anglaise les égoutter EXEMPLE   équeuter, laver,      cuire les fèves     à l'anglaise les égoutter EXEMPLE   équeuter, laver,                    cuire les fèves     à l'anglaise les égoutterEXEMPLE   équeuter, laver,      cuire les fèves     à l'anglaise les égoutter</v>
      </c>
      <c r="J18" s="4534" t="s">
        <v>230</v>
      </c>
      <c r="K18" s="4555" t="s">
        <v>2182</v>
      </c>
      <c r="L18" s="4556"/>
      <c r="M18" s="4557">
        <f t="shared" si="12"/>
        <v>328</v>
      </c>
      <c r="N18" s="4558" t="str">
        <f t="shared" si="7"/>
        <v>Caractères</v>
      </c>
      <c r="O18" s="4559">
        <f t="shared" si="4"/>
        <v>241</v>
      </c>
      <c r="P18" s="4560" t="str">
        <f t="shared" si="8"/>
        <v>Caractères</v>
      </c>
      <c r="Q18" s="4561">
        <v>113</v>
      </c>
      <c r="R18" s="4562" t="str">
        <f t="shared" si="9"/>
        <v>128 caractères de trop.</v>
      </c>
      <c r="S18" s="4563" t="str">
        <f t="shared" si="10"/>
        <v>répartissez votre texte sur</v>
      </c>
      <c r="T18" s="4564">
        <f t="shared" si="11"/>
        <v>3</v>
      </c>
    </row>
    <row r="19" spans="2:20" ht="26.25">
      <c r="B19" s="2260" t="str">
        <f t="shared" si="5"/>
        <v/>
      </c>
      <c r="C19" s="2261"/>
      <c r="D19" s="2262"/>
      <c r="E19" s="2263" t="str">
        <f t="shared" si="0"/>
        <v/>
      </c>
      <c r="F19" s="2264" t="str">
        <f t="shared" si="1"/>
        <v/>
      </c>
      <c r="G19" s="2264" t="str">
        <f t="shared" si="1"/>
        <v/>
      </c>
      <c r="H19" s="2265" t="str">
        <f t="shared" si="2"/>
        <v/>
      </c>
      <c r="I19" s="4554" t="str">
        <f t="shared" si="3"/>
        <v/>
      </c>
      <c r="J19" s="4534" t="s">
        <v>230</v>
      </c>
      <c r="K19" s="4555"/>
      <c r="L19" s="4556"/>
      <c r="M19" s="4557">
        <f t="shared" si="12"/>
        <v>0</v>
      </c>
      <c r="N19" s="4558" t="str">
        <f t="shared" si="7"/>
        <v/>
      </c>
      <c r="O19" s="4559">
        <f t="shared" si="4"/>
        <v>0</v>
      </c>
      <c r="P19" s="4560" t="str">
        <f t="shared" si="8"/>
        <v/>
      </c>
      <c r="Q19" s="4561"/>
      <c r="R19" s="4562" t="str">
        <f t="shared" si="9"/>
        <v/>
      </c>
      <c r="S19" s="4563" t="str">
        <f t="shared" si="10"/>
        <v/>
      </c>
      <c r="T19" s="4564" t="str">
        <f t="shared" si="11"/>
        <v/>
      </c>
    </row>
    <row r="20" spans="2:20" ht="26.25">
      <c r="B20" s="2260" t="str">
        <f t="shared" si="5"/>
        <v>Lait</v>
      </c>
      <c r="C20" s="2261" t="s">
        <v>2183</v>
      </c>
      <c r="D20" s="2262"/>
      <c r="E20" s="2263" t="str">
        <f t="shared" si="0"/>
        <v>1. litre de lait</v>
      </c>
      <c r="F20" s="2264" t="str">
        <f t="shared" si="1"/>
        <v>1. litre de lait</v>
      </c>
      <c r="G20" s="2264" t="str">
        <f t="shared" si="1"/>
        <v>1. litre de lait</v>
      </c>
      <c r="H20" s="2265" t="str">
        <f t="shared" si="2"/>
        <v>lait</v>
      </c>
      <c r="I20" s="4554" t="str">
        <f t="shared" si="3"/>
        <v xml:space="preserve"> lait</v>
      </c>
      <c r="J20" s="4534" t="s">
        <v>230</v>
      </c>
      <c r="K20" s="4555" t="s">
        <v>2184</v>
      </c>
      <c r="L20" s="4556"/>
      <c r="M20" s="4557">
        <f t="shared" si="12"/>
        <v>16</v>
      </c>
      <c r="N20" s="4558" t="str">
        <f t="shared" si="7"/>
        <v>Caractères</v>
      </c>
      <c r="O20" s="4559">
        <f t="shared" si="4"/>
        <v>4</v>
      </c>
      <c r="P20" s="4560" t="str">
        <f t="shared" si="8"/>
        <v>Caractères</v>
      </c>
      <c r="Q20" s="4561">
        <v>255</v>
      </c>
      <c r="R20" s="4562" t="str">
        <f t="shared" si="9"/>
        <v>Ok moins de 255</v>
      </c>
      <c r="S20" s="4563" t="str">
        <f t="shared" si="10"/>
        <v>Ok</v>
      </c>
      <c r="T20" s="4564" t="str">
        <f t="shared" si="11"/>
        <v xml:space="preserve">OK </v>
      </c>
    </row>
    <row r="21" spans="2:20" ht="26.25">
      <c r="B21" s="2260" t="str">
        <f t="shared" si="5"/>
        <v>Pain sec (avec le moins de croute colorée possible)</v>
      </c>
      <c r="C21" s="2261" t="s">
        <v>2185</v>
      </c>
      <c r="D21" s="2262"/>
      <c r="E21" s="2263" t="str">
        <f t="shared" si="0"/>
        <v>0.500 kg de pain sec (avec le moins de croute colorée possible)</v>
      </c>
      <c r="F21" s="2264" t="str">
        <f t="shared" si="1"/>
        <v>0.500 kg de pain sec (avec le moins de croute colorée possible)</v>
      </c>
      <c r="G21" s="2264" t="str">
        <f t="shared" si="1"/>
        <v>0.500 kg de pain sec (avec le moins de croute colorée possible)</v>
      </c>
      <c r="H21" s="2265" t="str">
        <f t="shared" si="2"/>
        <v>pain sec (avec le moins de croute colorée possible)</v>
      </c>
      <c r="I21" s="4554" t="str">
        <f t="shared" si="3"/>
        <v xml:space="preserve"> pain sec (avec le moins de croute colorée possible)</v>
      </c>
      <c r="J21" s="4534" t="s">
        <v>230</v>
      </c>
      <c r="K21" s="4555" t="s">
        <v>2186</v>
      </c>
      <c r="L21" s="4556"/>
      <c r="M21" s="4557">
        <f t="shared" si="12"/>
        <v>63</v>
      </c>
      <c r="N21" s="4558" t="str">
        <f t="shared" si="7"/>
        <v>Caractères</v>
      </c>
      <c r="O21" s="4559">
        <f t="shared" si="4"/>
        <v>51</v>
      </c>
      <c r="P21" s="4560" t="str">
        <f t="shared" si="8"/>
        <v>Caractères</v>
      </c>
      <c r="Q21" s="4561">
        <v>255</v>
      </c>
      <c r="R21" s="4562" t="str">
        <f t="shared" si="9"/>
        <v>Ok moins de 255</v>
      </c>
      <c r="S21" s="4563" t="str">
        <f t="shared" si="10"/>
        <v>Ok</v>
      </c>
      <c r="T21" s="4564" t="str">
        <f t="shared" si="11"/>
        <v xml:space="preserve">OK </v>
      </c>
    </row>
    <row r="22" spans="2:20" ht="26.25">
      <c r="B22" s="2260" t="str">
        <f t="shared" si="5"/>
        <v>Œufs</v>
      </c>
      <c r="C22" s="2261">
        <v>2</v>
      </c>
      <c r="D22" s="2262"/>
      <c r="E22" s="2263" t="str">
        <f t="shared" si="0"/>
        <v>2 œufs</v>
      </c>
      <c r="F22" s="2264" t="str">
        <f t="shared" si="1"/>
        <v>2 œufs</v>
      </c>
      <c r="G22" s="2264" t="str">
        <f t="shared" si="1"/>
        <v>2 œufs</v>
      </c>
      <c r="H22" s="2265" t="str">
        <f t="shared" si="2"/>
        <v>œufs</v>
      </c>
      <c r="I22" s="4554" t="str">
        <f t="shared" si="3"/>
        <v xml:space="preserve"> œufs</v>
      </c>
      <c r="J22" s="4534" t="s">
        <v>230</v>
      </c>
      <c r="K22" s="4555" t="s">
        <v>2187</v>
      </c>
      <c r="L22" s="4556"/>
      <c r="M22" s="4557">
        <f t="shared" si="12"/>
        <v>6</v>
      </c>
      <c r="N22" s="4558" t="str">
        <f t="shared" si="7"/>
        <v>Caractères</v>
      </c>
      <c r="O22" s="4559">
        <f t="shared" si="4"/>
        <v>4</v>
      </c>
      <c r="P22" s="4560" t="str">
        <f t="shared" si="8"/>
        <v>Caractères</v>
      </c>
      <c r="Q22" s="4561">
        <v>255</v>
      </c>
      <c r="R22" s="4562" t="str">
        <f t="shared" si="9"/>
        <v>Ok moins de 255</v>
      </c>
      <c r="S22" s="4563" t="str">
        <f t="shared" si="10"/>
        <v>Ok</v>
      </c>
      <c r="T22" s="4564" t="str">
        <f t="shared" si="11"/>
        <v xml:space="preserve">OK </v>
      </c>
    </row>
    <row r="23" spans="2:20" ht="26.25">
      <c r="B23" s="2260" t="str">
        <f t="shared" si="5"/>
        <v>Noisette en poudre</v>
      </c>
      <c r="C23" s="2261" t="s">
        <v>2188</v>
      </c>
      <c r="D23" s="2262"/>
      <c r="E23" s="2263" t="str">
        <f t="shared" si="0"/>
        <v>100 g Noisette en poudre</v>
      </c>
      <c r="F23" s="2264" t="str">
        <f t="shared" si="1"/>
        <v>100 g Noisette en poudre</v>
      </c>
      <c r="G23" s="2264" t="str">
        <f t="shared" si="1"/>
        <v>100 g Noisette en poudre</v>
      </c>
      <c r="H23" s="2265" t="str">
        <f t="shared" si="2"/>
        <v>Noisette en poudre</v>
      </c>
      <c r="I23" s="4554" t="str">
        <f t="shared" si="3"/>
        <v>Noisette en poudre</v>
      </c>
      <c r="J23" s="4534" t="s">
        <v>230</v>
      </c>
      <c r="K23" s="4555" t="s">
        <v>2189</v>
      </c>
      <c r="L23" s="4556"/>
      <c r="M23" s="4557">
        <f t="shared" si="12"/>
        <v>24</v>
      </c>
      <c r="N23" s="4558" t="str">
        <f t="shared" si="7"/>
        <v>Caractères</v>
      </c>
      <c r="O23" s="4559">
        <f t="shared" si="4"/>
        <v>18</v>
      </c>
      <c r="P23" s="4560" t="str">
        <f t="shared" si="8"/>
        <v>Caractères</v>
      </c>
      <c r="Q23" s="4561">
        <v>255</v>
      </c>
      <c r="R23" s="4562" t="str">
        <f t="shared" si="9"/>
        <v>Ok moins de 255</v>
      </c>
      <c r="S23" s="4563" t="str">
        <f t="shared" si="10"/>
        <v>Ok</v>
      </c>
      <c r="T23" s="4564" t="str">
        <f t="shared" si="11"/>
        <v xml:space="preserve">OK </v>
      </c>
    </row>
    <row r="24" spans="2:20" ht="26.25">
      <c r="B24" s="2260" t="str">
        <f t="shared" si="5"/>
        <v>1 banane</v>
      </c>
      <c r="C24" s="2261" t="s">
        <v>2190</v>
      </c>
      <c r="D24" s="2262"/>
      <c r="E24" s="2263" t="str">
        <f t="shared" si="0"/>
        <v>1  banane et demi</v>
      </c>
      <c r="F24" s="2264" t="str">
        <f t="shared" si="1"/>
        <v>1  banane et demi</v>
      </c>
      <c r="G24" s="2264" t="str">
        <f t="shared" si="1"/>
        <v>1  banane et demi</v>
      </c>
      <c r="H24" s="2265" t="str">
        <f t="shared" si="2"/>
        <v>1 banane</v>
      </c>
      <c r="I24" s="4554" t="str">
        <f t="shared" si="3"/>
        <v xml:space="preserve">1  banane </v>
      </c>
      <c r="J24" s="4534" t="s">
        <v>230</v>
      </c>
      <c r="K24" s="4555" t="s">
        <v>2191</v>
      </c>
      <c r="L24" s="4556"/>
      <c r="M24" s="4557">
        <f t="shared" si="12"/>
        <v>17</v>
      </c>
      <c r="N24" s="4558" t="str">
        <f t="shared" si="7"/>
        <v>Caractères</v>
      </c>
      <c r="O24" s="4559">
        <f t="shared" si="4"/>
        <v>8</v>
      </c>
      <c r="P24" s="4560" t="str">
        <f t="shared" si="8"/>
        <v>Caractères</v>
      </c>
      <c r="Q24" s="4561">
        <v>255</v>
      </c>
      <c r="R24" s="4562" t="str">
        <f t="shared" si="9"/>
        <v>Ok moins de 255</v>
      </c>
      <c r="S24" s="4563" t="str">
        <f t="shared" si="10"/>
        <v>Ok</v>
      </c>
      <c r="T24" s="4564" t="str">
        <f t="shared" si="11"/>
        <v xml:space="preserve">OK </v>
      </c>
    </row>
    <row r="25" spans="2:20" ht="26.25">
      <c r="B25" s="2260" t="str">
        <f t="shared" si="5"/>
        <v/>
      </c>
      <c r="C25" s="2261"/>
      <c r="D25" s="2262"/>
      <c r="E25" s="2263" t="str">
        <f t="shared" si="0"/>
        <v/>
      </c>
      <c r="F25" s="2264" t="str">
        <f t="shared" si="1"/>
        <v/>
      </c>
      <c r="G25" s="2264" t="str">
        <f t="shared" si="1"/>
        <v/>
      </c>
      <c r="H25" s="2265" t="str">
        <f t="shared" si="2"/>
        <v/>
      </c>
      <c r="I25" s="4554" t="str">
        <f t="shared" si="3"/>
        <v/>
      </c>
      <c r="J25" s="4534" t="s">
        <v>230</v>
      </c>
      <c r="K25" s="4555"/>
      <c r="L25" s="4556"/>
      <c r="M25" s="4557">
        <f t="shared" si="12"/>
        <v>0</v>
      </c>
      <c r="N25" s="4558" t="str">
        <f t="shared" si="7"/>
        <v/>
      </c>
      <c r="O25" s="4559">
        <f t="shared" si="4"/>
        <v>0</v>
      </c>
      <c r="P25" s="4560" t="str">
        <f t="shared" si="8"/>
        <v/>
      </c>
      <c r="Q25" s="4561">
        <v>255</v>
      </c>
      <c r="R25" s="4562" t="str">
        <f t="shared" si="9"/>
        <v/>
      </c>
      <c r="S25" s="4563" t="str">
        <f t="shared" si="10"/>
        <v/>
      </c>
      <c r="T25" s="4564" t="str">
        <f t="shared" si="11"/>
        <v/>
      </c>
    </row>
    <row r="26" spans="2:20" ht="26.25">
      <c r="B26" s="2260" t="str">
        <f t="shared" si="5"/>
        <v/>
      </c>
      <c r="C26" s="2261"/>
      <c r="D26" s="2262"/>
      <c r="E26" s="2263" t="str">
        <f t="shared" si="0"/>
        <v/>
      </c>
      <c r="F26" s="2264" t="str">
        <f t="shared" si="1"/>
        <v/>
      </c>
      <c r="G26" s="2264" t="str">
        <f t="shared" si="1"/>
        <v/>
      </c>
      <c r="H26" s="2265" t="str">
        <f t="shared" si="2"/>
        <v/>
      </c>
      <c r="I26" s="4554" t="str">
        <f t="shared" si="3"/>
        <v/>
      </c>
      <c r="J26" s="4534" t="s">
        <v>230</v>
      </c>
      <c r="K26" s="4555"/>
      <c r="L26" s="4556"/>
      <c r="M26" s="4557">
        <f t="shared" si="12"/>
        <v>0</v>
      </c>
      <c r="N26" s="4558" t="str">
        <f t="shared" si="7"/>
        <v/>
      </c>
      <c r="O26" s="4559">
        <f t="shared" si="4"/>
        <v>0</v>
      </c>
      <c r="P26" s="4560" t="str">
        <f t="shared" si="8"/>
        <v/>
      </c>
      <c r="Q26" s="4561">
        <v>255</v>
      </c>
      <c r="R26" s="4562" t="str">
        <f t="shared" si="9"/>
        <v/>
      </c>
      <c r="S26" s="4563" t="str">
        <f t="shared" si="10"/>
        <v/>
      </c>
      <c r="T26" s="4564" t="str">
        <f t="shared" si="11"/>
        <v/>
      </c>
    </row>
    <row r="27" spans="2:20" ht="26.25">
      <c r="B27" s="2260" t="str">
        <f t="shared" si="5"/>
        <v/>
      </c>
      <c r="C27" s="2261"/>
      <c r="D27" s="2262"/>
      <c r="E27" s="2263" t="str">
        <f t="shared" si="0"/>
        <v/>
      </c>
      <c r="F27" s="2264" t="str">
        <f t="shared" si="1"/>
        <v/>
      </c>
      <c r="G27" s="2264" t="str">
        <f t="shared" si="1"/>
        <v/>
      </c>
      <c r="H27" s="2265" t="str">
        <f t="shared" si="2"/>
        <v/>
      </c>
      <c r="I27" s="4554" t="str">
        <f t="shared" si="3"/>
        <v/>
      </c>
      <c r="J27" s="4534" t="s">
        <v>230</v>
      </c>
      <c r="K27" s="4555"/>
      <c r="L27" s="4556"/>
      <c r="M27" s="4557">
        <f t="shared" si="12"/>
        <v>0</v>
      </c>
      <c r="N27" s="4558" t="str">
        <f t="shared" si="7"/>
        <v/>
      </c>
      <c r="O27" s="4559">
        <f t="shared" si="4"/>
        <v>0</v>
      </c>
      <c r="P27" s="4560" t="str">
        <f t="shared" si="8"/>
        <v/>
      </c>
      <c r="Q27" s="4561">
        <v>255</v>
      </c>
      <c r="R27" s="4562" t="str">
        <f t="shared" si="9"/>
        <v/>
      </c>
      <c r="S27" s="4563" t="str">
        <f t="shared" si="10"/>
        <v/>
      </c>
      <c r="T27" s="4564" t="str">
        <f t="shared" si="11"/>
        <v/>
      </c>
    </row>
    <row r="28" spans="2:20" ht="26.25">
      <c r="B28" s="2260" t="str">
        <f t="shared" si="5"/>
        <v/>
      </c>
      <c r="C28" s="2261"/>
      <c r="D28" s="2262"/>
      <c r="E28" s="2263" t="str">
        <f t="shared" si="0"/>
        <v/>
      </c>
      <c r="F28" s="2264" t="str">
        <f t="shared" si="1"/>
        <v/>
      </c>
      <c r="G28" s="2264" t="str">
        <f t="shared" si="1"/>
        <v/>
      </c>
      <c r="H28" s="2265" t="str">
        <f t="shared" si="2"/>
        <v/>
      </c>
      <c r="I28" s="4554" t="str">
        <f t="shared" si="3"/>
        <v/>
      </c>
      <c r="J28" s="4534" t="s">
        <v>230</v>
      </c>
      <c r="K28" s="4555"/>
      <c r="L28" s="4556"/>
      <c r="M28" s="4557">
        <f t="shared" si="12"/>
        <v>0</v>
      </c>
      <c r="N28" s="4558" t="str">
        <f t="shared" si="7"/>
        <v/>
      </c>
      <c r="O28" s="4559">
        <f t="shared" si="4"/>
        <v>0</v>
      </c>
      <c r="P28" s="4560" t="str">
        <f t="shared" si="8"/>
        <v/>
      </c>
      <c r="Q28" s="4561">
        <v>255</v>
      </c>
      <c r="R28" s="4562" t="str">
        <f t="shared" si="9"/>
        <v/>
      </c>
      <c r="S28" s="4563" t="str">
        <f t="shared" si="10"/>
        <v/>
      </c>
      <c r="T28" s="4564" t="str">
        <f t="shared" si="11"/>
        <v/>
      </c>
    </row>
    <row r="29" spans="2:20" ht="26.25">
      <c r="B29" s="2260" t="str">
        <f t="shared" si="5"/>
        <v/>
      </c>
      <c r="C29" s="2261"/>
      <c r="D29" s="2262"/>
      <c r="E29" s="2263" t="str">
        <f t="shared" si="0"/>
        <v/>
      </c>
      <c r="F29" s="2264" t="str">
        <f t="shared" si="1"/>
        <v/>
      </c>
      <c r="G29" s="2264" t="str">
        <f t="shared" si="1"/>
        <v/>
      </c>
      <c r="H29" s="2265" t="str">
        <f t="shared" si="2"/>
        <v/>
      </c>
      <c r="I29" s="4554" t="str">
        <f t="shared" si="3"/>
        <v/>
      </c>
      <c r="J29" s="4534" t="s">
        <v>230</v>
      </c>
      <c r="K29" s="4555"/>
      <c r="L29" s="4556"/>
      <c r="M29" s="4557">
        <f t="shared" si="12"/>
        <v>0</v>
      </c>
      <c r="N29" s="4558" t="str">
        <f t="shared" si="7"/>
        <v/>
      </c>
      <c r="O29" s="4559">
        <f t="shared" si="4"/>
        <v>0</v>
      </c>
      <c r="P29" s="4560" t="str">
        <f t="shared" si="8"/>
        <v/>
      </c>
      <c r="Q29" s="4561">
        <v>255</v>
      </c>
      <c r="R29" s="4562" t="str">
        <f t="shared" si="9"/>
        <v/>
      </c>
      <c r="S29" s="4563" t="str">
        <f t="shared" si="10"/>
        <v/>
      </c>
      <c r="T29" s="4564" t="str">
        <f t="shared" si="11"/>
        <v/>
      </c>
    </row>
    <row r="30" spans="2:20" ht="26.25">
      <c r="B30" s="2260" t="str">
        <f t="shared" si="5"/>
        <v/>
      </c>
      <c r="C30" s="2261"/>
      <c r="D30" s="2262"/>
      <c r="E30" s="2263" t="str">
        <f t="shared" si="0"/>
        <v/>
      </c>
      <c r="F30" s="2264" t="str">
        <f t="shared" si="1"/>
        <v/>
      </c>
      <c r="G30" s="2264" t="str">
        <f t="shared" si="1"/>
        <v/>
      </c>
      <c r="H30" s="2265" t="str">
        <f t="shared" si="2"/>
        <v/>
      </c>
      <c r="I30" s="4554" t="str">
        <f t="shared" si="3"/>
        <v/>
      </c>
      <c r="J30" s="4534" t="s">
        <v>230</v>
      </c>
      <c r="K30" s="4555"/>
      <c r="L30" s="4556"/>
      <c r="M30" s="4557">
        <f t="shared" si="12"/>
        <v>0</v>
      </c>
      <c r="N30" s="4558" t="str">
        <f t="shared" si="7"/>
        <v/>
      </c>
      <c r="O30" s="4559">
        <f t="shared" si="4"/>
        <v>0</v>
      </c>
      <c r="P30" s="4560" t="str">
        <f t="shared" si="8"/>
        <v/>
      </c>
      <c r="Q30" s="4561">
        <v>255</v>
      </c>
      <c r="R30" s="4562" t="str">
        <f t="shared" si="9"/>
        <v/>
      </c>
      <c r="S30" s="4563" t="str">
        <f t="shared" si="10"/>
        <v/>
      </c>
      <c r="T30" s="4564" t="str">
        <f t="shared" si="11"/>
        <v/>
      </c>
    </row>
    <row r="31" spans="2:20" ht="26.25">
      <c r="B31" s="2260" t="str">
        <f t="shared" si="5"/>
        <v/>
      </c>
      <c r="C31" s="2261"/>
      <c r="D31" s="2262"/>
      <c r="E31" s="2263" t="str">
        <f t="shared" si="0"/>
        <v/>
      </c>
      <c r="F31" s="2264" t="str">
        <f t="shared" si="1"/>
        <v/>
      </c>
      <c r="G31" s="2264" t="str">
        <f t="shared" si="1"/>
        <v/>
      </c>
      <c r="H31" s="2265" t="str">
        <f t="shared" si="2"/>
        <v/>
      </c>
      <c r="I31" s="4554" t="str">
        <f t="shared" si="3"/>
        <v/>
      </c>
      <c r="J31" s="4534" t="s">
        <v>230</v>
      </c>
      <c r="K31" s="4555"/>
      <c r="L31" s="4556"/>
      <c r="M31" s="4557">
        <f t="shared" si="12"/>
        <v>0</v>
      </c>
      <c r="N31" s="4558" t="str">
        <f t="shared" si="7"/>
        <v/>
      </c>
      <c r="O31" s="4559">
        <f t="shared" si="4"/>
        <v>0</v>
      </c>
      <c r="P31" s="4560" t="str">
        <f t="shared" si="8"/>
        <v/>
      </c>
      <c r="Q31" s="4561">
        <v>255</v>
      </c>
      <c r="R31" s="4562" t="str">
        <f t="shared" si="9"/>
        <v/>
      </c>
      <c r="S31" s="4563" t="str">
        <f t="shared" si="10"/>
        <v/>
      </c>
      <c r="T31" s="4564" t="str">
        <f t="shared" si="11"/>
        <v/>
      </c>
    </row>
    <row r="32" spans="2:20" ht="26.25">
      <c r="B32" s="2260" t="str">
        <f t="shared" si="5"/>
        <v/>
      </c>
      <c r="C32" s="2261"/>
      <c r="D32" s="2262"/>
      <c r="E32" s="2263" t="str">
        <f t="shared" si="0"/>
        <v/>
      </c>
      <c r="F32" s="2264" t="str">
        <f t="shared" si="1"/>
        <v/>
      </c>
      <c r="G32" s="2264" t="str">
        <f t="shared" si="1"/>
        <v/>
      </c>
      <c r="H32" s="2265" t="str">
        <f t="shared" si="2"/>
        <v/>
      </c>
      <c r="I32" s="4554" t="str">
        <f t="shared" si="3"/>
        <v/>
      </c>
      <c r="J32" s="4534" t="s">
        <v>230</v>
      </c>
      <c r="K32" s="4555"/>
      <c r="L32" s="4556"/>
      <c r="M32" s="4557">
        <f t="shared" si="12"/>
        <v>0</v>
      </c>
      <c r="N32" s="4558" t="str">
        <f t="shared" si="7"/>
        <v/>
      </c>
      <c r="O32" s="4559">
        <f t="shared" si="4"/>
        <v>0</v>
      </c>
      <c r="P32" s="4560" t="str">
        <f t="shared" si="8"/>
        <v/>
      </c>
      <c r="Q32" s="4561">
        <v>255</v>
      </c>
      <c r="R32" s="4562" t="str">
        <f t="shared" si="9"/>
        <v/>
      </c>
      <c r="S32" s="4563" t="str">
        <f t="shared" si="10"/>
        <v/>
      </c>
      <c r="T32" s="4564" t="str">
        <f t="shared" si="11"/>
        <v/>
      </c>
    </row>
    <row r="33" spans="1:21" ht="26.25">
      <c r="B33" s="2260" t="str">
        <f t="shared" si="5"/>
        <v/>
      </c>
      <c r="C33" s="2261"/>
      <c r="D33" s="2262"/>
      <c r="E33" s="2263" t="str">
        <f t="shared" si="0"/>
        <v/>
      </c>
      <c r="F33" s="2264" t="str">
        <f t="shared" si="1"/>
        <v/>
      </c>
      <c r="G33" s="2264" t="str">
        <f t="shared" si="1"/>
        <v/>
      </c>
      <c r="H33" s="2265" t="str">
        <f t="shared" si="2"/>
        <v/>
      </c>
      <c r="I33" s="4554" t="str">
        <f t="shared" si="3"/>
        <v/>
      </c>
      <c r="J33" s="4534" t="s">
        <v>230</v>
      </c>
      <c r="K33" s="4555"/>
      <c r="L33" s="4556"/>
      <c r="M33" s="4557">
        <f t="shared" si="12"/>
        <v>0</v>
      </c>
      <c r="N33" s="4558" t="str">
        <f t="shared" si="7"/>
        <v/>
      </c>
      <c r="O33" s="4559">
        <f t="shared" si="4"/>
        <v>0</v>
      </c>
      <c r="P33" s="4560" t="str">
        <f t="shared" si="8"/>
        <v/>
      </c>
      <c r="Q33" s="4561">
        <v>255</v>
      </c>
      <c r="R33" s="4562" t="str">
        <f t="shared" si="9"/>
        <v/>
      </c>
      <c r="S33" s="4563" t="str">
        <f t="shared" si="10"/>
        <v/>
      </c>
      <c r="T33" s="4564" t="str">
        <f t="shared" si="11"/>
        <v/>
      </c>
    </row>
    <row r="34" spans="1:21" ht="26.25">
      <c r="B34" s="2260" t="str">
        <f t="shared" si="5"/>
        <v/>
      </c>
      <c r="C34" s="2261"/>
      <c r="D34" s="2262"/>
      <c r="E34" s="2263" t="str">
        <f t="shared" si="0"/>
        <v/>
      </c>
      <c r="F34" s="2264" t="str">
        <f t="shared" si="1"/>
        <v/>
      </c>
      <c r="G34" s="2264" t="str">
        <f t="shared" si="1"/>
        <v/>
      </c>
      <c r="H34" s="2265" t="str">
        <f t="shared" si="2"/>
        <v/>
      </c>
      <c r="I34" s="4554" t="str">
        <f t="shared" si="3"/>
        <v/>
      </c>
      <c r="J34" s="4534" t="s">
        <v>230</v>
      </c>
      <c r="K34" s="4555"/>
      <c r="L34" s="4556"/>
      <c r="M34" s="4557">
        <f t="shared" si="12"/>
        <v>0</v>
      </c>
      <c r="N34" s="4558" t="str">
        <f t="shared" si="7"/>
        <v/>
      </c>
      <c r="O34" s="4559">
        <f t="shared" si="4"/>
        <v>0</v>
      </c>
      <c r="P34" s="4560" t="str">
        <f t="shared" si="8"/>
        <v/>
      </c>
      <c r="Q34" s="4561">
        <v>255</v>
      </c>
      <c r="R34" s="4562" t="str">
        <f t="shared" si="9"/>
        <v/>
      </c>
      <c r="S34" s="4563" t="str">
        <f t="shared" si="10"/>
        <v/>
      </c>
      <c r="T34" s="4564" t="str">
        <f t="shared" si="11"/>
        <v/>
      </c>
    </row>
    <row r="35" spans="1:21" ht="26.25">
      <c r="B35" s="2260" t="str">
        <f t="shared" si="5"/>
        <v/>
      </c>
      <c r="C35" s="2261"/>
      <c r="D35" s="2262"/>
      <c r="E35" s="2263" t="str">
        <f t="shared" si="0"/>
        <v/>
      </c>
      <c r="F35" s="2264" t="str">
        <f t="shared" si="1"/>
        <v/>
      </c>
      <c r="G35" s="2264" t="str">
        <f t="shared" si="1"/>
        <v/>
      </c>
      <c r="H35" s="2265" t="str">
        <f t="shared" si="2"/>
        <v/>
      </c>
      <c r="I35" s="4554" t="str">
        <f t="shared" si="3"/>
        <v/>
      </c>
      <c r="J35" s="4534" t="s">
        <v>230</v>
      </c>
      <c r="K35" s="4555"/>
      <c r="L35" s="4556"/>
      <c r="M35" s="4557">
        <f t="shared" si="12"/>
        <v>0</v>
      </c>
      <c r="N35" s="4558" t="str">
        <f t="shared" si="7"/>
        <v/>
      </c>
      <c r="O35" s="4559">
        <f t="shared" si="4"/>
        <v>0</v>
      </c>
      <c r="P35" s="4560" t="str">
        <f t="shared" si="8"/>
        <v/>
      </c>
      <c r="Q35" s="4561">
        <v>255</v>
      </c>
      <c r="R35" s="4562" t="str">
        <f t="shared" si="9"/>
        <v/>
      </c>
      <c r="S35" s="4563" t="str">
        <f t="shared" si="10"/>
        <v/>
      </c>
      <c r="T35" s="4564" t="str">
        <f t="shared" si="11"/>
        <v/>
      </c>
    </row>
    <row r="36" spans="1:21" ht="26.25">
      <c r="B36" s="2260" t="str">
        <f t="shared" si="5"/>
        <v/>
      </c>
      <c r="C36" s="2261"/>
      <c r="D36" s="2262"/>
      <c r="E36" s="2263" t="str">
        <f t="shared" si="0"/>
        <v/>
      </c>
      <c r="F36" s="2264" t="str">
        <f t="shared" si="1"/>
        <v/>
      </c>
      <c r="G36" s="2264" t="str">
        <f t="shared" si="1"/>
        <v/>
      </c>
      <c r="H36" s="2265" t="str">
        <f t="shared" si="2"/>
        <v/>
      </c>
      <c r="I36" s="4554" t="str">
        <f t="shared" si="3"/>
        <v/>
      </c>
      <c r="J36" s="4534" t="s">
        <v>230</v>
      </c>
      <c r="K36" s="4555"/>
      <c r="L36" s="4556"/>
      <c r="M36" s="4557">
        <f t="shared" si="12"/>
        <v>0</v>
      </c>
      <c r="N36" s="4558" t="str">
        <f t="shared" si="7"/>
        <v/>
      </c>
      <c r="O36" s="4559">
        <f t="shared" si="4"/>
        <v>0</v>
      </c>
      <c r="P36" s="4560" t="str">
        <f t="shared" si="8"/>
        <v/>
      </c>
      <c r="Q36" s="4561">
        <v>255</v>
      </c>
      <c r="R36" s="4562" t="str">
        <f t="shared" si="9"/>
        <v/>
      </c>
      <c r="S36" s="4563" t="str">
        <f t="shared" si="10"/>
        <v/>
      </c>
      <c r="T36" s="4564" t="str">
        <f t="shared" si="11"/>
        <v/>
      </c>
    </row>
    <row r="37" spans="1:21">
      <c r="A37" s="2266"/>
      <c r="B37" s="2267"/>
      <c r="C37" s="2267"/>
      <c r="D37" s="2267"/>
      <c r="E37" s="2268" t="str">
        <f>SUBSTITUTE(K37,"—","",1)</f>
        <v/>
      </c>
      <c r="F37" s="2267" t="str">
        <f t="shared" ref="F37" si="13">TRIM(E37)</f>
        <v/>
      </c>
      <c r="G37" s="2267"/>
      <c r="H37" s="2267"/>
      <c r="I37" s="2267"/>
      <c r="K37" s="2266"/>
      <c r="L37" s="2266"/>
      <c r="M37" s="2266"/>
      <c r="N37" s="2266"/>
      <c r="O37" s="2266"/>
      <c r="P37" s="2266"/>
      <c r="Q37" s="2266"/>
      <c r="R37" s="2266"/>
      <c r="S37" s="2266"/>
      <c r="T37" s="2266"/>
    </row>
    <row r="38" spans="1:21" ht="21.75" thickBot="1">
      <c r="B38" s="2242"/>
      <c r="C38" s="2242"/>
      <c r="D38" s="2242"/>
      <c r="E38" s="2243"/>
      <c r="F38" s="2242"/>
      <c r="G38" s="2242"/>
      <c r="H38" s="2242"/>
      <c r="I38" s="2242"/>
    </row>
    <row r="39" spans="1:21">
      <c r="B39" s="2269" t="s">
        <v>2129</v>
      </c>
      <c r="C39" s="2242"/>
      <c r="D39" s="2242"/>
      <c r="E39" s="2243"/>
      <c r="F39" s="2242"/>
      <c r="G39" s="2242"/>
      <c r="H39" s="2242"/>
      <c r="I39" s="2242"/>
      <c r="K39" s="2270" t="s">
        <v>2130</v>
      </c>
    </row>
    <row r="40" spans="1:21">
      <c r="B40" s="2271" t="s">
        <v>2131</v>
      </c>
      <c r="C40" s="2242"/>
      <c r="D40" s="2242"/>
      <c r="E40" s="2243"/>
      <c r="F40" s="2242"/>
      <c r="G40" s="2242"/>
      <c r="H40" s="2242"/>
      <c r="I40" s="2242"/>
      <c r="K40" s="2272" t="s">
        <v>2132</v>
      </c>
    </row>
    <row r="41" spans="1:21">
      <c r="B41" s="2271" t="s">
        <v>2133</v>
      </c>
      <c r="C41" s="2242"/>
      <c r="D41" s="2242"/>
      <c r="E41" s="2243"/>
      <c r="F41" s="2242"/>
      <c r="G41" s="2242"/>
      <c r="H41" s="2242"/>
      <c r="I41" s="2242"/>
      <c r="K41" s="2272" t="s">
        <v>2192</v>
      </c>
    </row>
    <row r="42" spans="1:21">
      <c r="B42" s="2271" t="s">
        <v>2134</v>
      </c>
      <c r="C42" s="2242"/>
      <c r="D42" s="2242"/>
      <c r="E42" s="2243"/>
      <c r="F42" s="2242"/>
      <c r="G42" s="2242"/>
      <c r="H42" s="2242"/>
      <c r="I42" s="2242"/>
      <c r="K42" s="2272" t="s">
        <v>2193</v>
      </c>
    </row>
    <row r="43" spans="1:21" ht="21" customHeight="1">
      <c r="B43" s="2271" t="s">
        <v>2135</v>
      </c>
      <c r="C43" s="2242"/>
      <c r="D43" s="2242"/>
      <c r="E43" s="2243"/>
      <c r="F43" s="2242"/>
      <c r="G43" s="2242"/>
      <c r="H43" s="2242"/>
      <c r="I43" s="2242"/>
      <c r="K43" s="2272" t="s">
        <v>2136</v>
      </c>
    </row>
    <row r="44" spans="1:21" ht="21.75" thickBot="1">
      <c r="B44" s="4565"/>
      <c r="C44" s="2242"/>
      <c r="D44" s="2242"/>
      <c r="E44" s="2243"/>
      <c r="F44" s="2242"/>
      <c r="G44" s="2242"/>
      <c r="H44" s="2242"/>
      <c r="I44" s="2242"/>
      <c r="K44" s="4566" t="s">
        <v>2137</v>
      </c>
    </row>
    <row r="45" spans="1:21">
      <c r="B45" s="2242"/>
      <c r="C45" s="2242"/>
      <c r="D45" s="2242"/>
      <c r="E45" s="2243"/>
      <c r="F45" s="2242"/>
      <c r="G45" s="2242"/>
      <c r="H45" s="2242"/>
      <c r="I45" s="2242"/>
    </row>
    <row r="47" spans="1:21" s="2127" customFormat="1" ht="30" customHeight="1">
      <c r="A47" s="4567"/>
      <c r="B47" s="4567"/>
      <c r="C47" s="4567"/>
      <c r="D47" s="4567"/>
      <c r="E47" s="4568"/>
      <c r="F47" s="4568"/>
      <c r="G47" s="4567"/>
      <c r="H47" s="4567"/>
      <c r="I47" s="4567"/>
      <c r="L47" s="4569"/>
      <c r="M47" s="4569"/>
      <c r="N47" s="4569"/>
      <c r="O47" s="4569"/>
      <c r="P47" s="4569"/>
      <c r="Q47" s="2128"/>
      <c r="R47" s="2128"/>
      <c r="S47" s="2128"/>
      <c r="T47" s="2128"/>
      <c r="U47" s="2128"/>
    </row>
    <row r="48" spans="1:21" s="2127" customFormat="1" ht="30" customHeight="1">
      <c r="A48" s="4567"/>
      <c r="B48" s="2306"/>
      <c r="C48" s="4567"/>
      <c r="D48" s="4570" t="s">
        <v>2115</v>
      </c>
      <c r="E48" s="4570"/>
      <c r="F48" s="4570"/>
      <c r="G48" s="4567"/>
      <c r="H48" s="4567"/>
      <c r="I48" s="4571"/>
      <c r="L48" s="4572"/>
      <c r="M48" s="4572"/>
      <c r="N48" s="4572"/>
      <c r="O48" s="4572"/>
      <c r="P48" s="4572"/>
      <c r="Q48" s="4572"/>
      <c r="R48" s="4572"/>
      <c r="S48" s="4572"/>
      <c r="T48" s="4572"/>
      <c r="U48" s="4572"/>
    </row>
    <row r="49" spans="1:21" s="2127" customFormat="1" ht="30" customHeight="1">
      <c r="A49" s="4567"/>
      <c r="B49" s="2306"/>
      <c r="C49" s="4567"/>
      <c r="D49" s="4570"/>
      <c r="E49" s="4570"/>
      <c r="F49" s="4570"/>
      <c r="G49" s="4567"/>
      <c r="H49" s="4567"/>
      <c r="I49" s="4571"/>
      <c r="L49" s="4572"/>
      <c r="M49" s="4572"/>
      <c r="N49" s="4572"/>
      <c r="O49" s="4572"/>
      <c r="P49" s="4572"/>
      <c r="Q49" s="4572"/>
      <c r="R49" s="4572"/>
      <c r="S49" s="4572"/>
      <c r="T49" s="4572"/>
      <c r="U49" s="4572"/>
    </row>
    <row r="50" spans="1:21" s="2127" customFormat="1" ht="30" customHeight="1">
      <c r="A50" s="4567"/>
      <c r="B50" s="4573"/>
      <c r="C50" s="4567"/>
      <c r="D50" s="4574" t="s">
        <v>2219</v>
      </c>
      <c r="E50" s="4574"/>
      <c r="F50" s="4568"/>
      <c r="G50" s="4567"/>
      <c r="H50" s="4567"/>
      <c r="I50" s="4571"/>
      <c r="L50" s="4572"/>
      <c r="M50" s="4572"/>
      <c r="N50" s="4572"/>
      <c r="O50" s="4572"/>
      <c r="P50" s="4572"/>
      <c r="Q50" s="4572"/>
      <c r="R50" s="4572"/>
      <c r="S50" s="4572"/>
      <c r="T50" s="4572"/>
      <c r="U50" s="4572"/>
    </row>
    <row r="51" spans="1:21" s="2127" customFormat="1" ht="30" customHeight="1">
      <c r="A51" s="4567"/>
      <c r="B51" s="4573"/>
      <c r="C51" s="4567"/>
      <c r="D51" s="4574" t="s">
        <v>2116</v>
      </c>
      <c r="E51" s="4574"/>
      <c r="F51" s="4568"/>
      <c r="G51" s="4567"/>
      <c r="H51" s="4567"/>
      <c r="I51" s="4571"/>
      <c r="L51" s="4572"/>
      <c r="M51" s="4572"/>
      <c r="N51" s="4572"/>
      <c r="O51" s="4572"/>
      <c r="P51" s="4572"/>
      <c r="Q51" s="4572"/>
      <c r="R51" s="4572"/>
      <c r="S51" s="4572"/>
      <c r="T51" s="4572"/>
      <c r="U51" s="4572"/>
    </row>
    <row r="52" spans="1:21" s="2127" customFormat="1" ht="30" customHeight="1">
      <c r="A52" s="4567"/>
      <c r="B52" s="4573"/>
      <c r="C52" s="4567"/>
      <c r="D52" s="4574" t="s">
        <v>2117</v>
      </c>
      <c r="E52" s="4574"/>
      <c r="F52" s="4568"/>
      <c r="G52" s="4567"/>
      <c r="H52" s="4567"/>
      <c r="I52" s="4571"/>
      <c r="L52" s="4572"/>
      <c r="M52" s="4572"/>
      <c r="N52" s="4572"/>
      <c r="O52" s="4572"/>
      <c r="P52" s="4572"/>
      <c r="Q52" s="4572"/>
      <c r="R52" s="4572"/>
      <c r="S52" s="4572"/>
      <c r="T52" s="4572"/>
      <c r="U52" s="4572"/>
    </row>
    <row r="53" spans="1:21" s="2127" customFormat="1" ht="30" customHeight="1">
      <c r="A53" s="4567"/>
      <c r="B53" s="4575"/>
      <c r="C53" s="4567"/>
      <c r="D53" s="4567"/>
      <c r="E53" s="4567"/>
      <c r="F53" s="4567"/>
      <c r="G53" s="4567"/>
      <c r="H53" s="4567"/>
      <c r="I53" s="4571"/>
      <c r="L53" s="4572"/>
      <c r="M53" s="4572"/>
      <c r="N53" s="4572"/>
      <c r="O53" s="4572"/>
      <c r="P53" s="4572"/>
      <c r="Q53" s="4572"/>
      <c r="R53" s="4572"/>
      <c r="S53" s="4572"/>
      <c r="T53" s="4572"/>
      <c r="U53" s="4572"/>
    </row>
    <row r="54" spans="1:21" s="2127" customFormat="1" ht="30" customHeight="1">
      <c r="A54" s="4567"/>
      <c r="B54" s="4576" t="s">
        <v>2118</v>
      </c>
      <c r="C54" s="4567"/>
      <c r="D54" s="4567"/>
      <c r="E54" s="4567"/>
      <c r="F54" s="4567"/>
      <c r="G54" s="4567"/>
      <c r="H54" s="4567"/>
      <c r="I54" s="4571"/>
      <c r="L54" s="4572"/>
      <c r="M54" s="4572"/>
      <c r="N54" s="4572"/>
      <c r="O54" s="4572"/>
      <c r="P54" s="4572"/>
      <c r="Q54" s="4572"/>
      <c r="R54" s="4572"/>
      <c r="S54" s="4572"/>
      <c r="T54" s="4572"/>
      <c r="U54" s="4572"/>
    </row>
    <row r="55" spans="1:21" s="2127" customFormat="1" ht="30" customHeight="1">
      <c r="A55" s="4567"/>
      <c r="B55" s="2306"/>
      <c r="C55" s="4567"/>
      <c r="D55" s="4567"/>
      <c r="E55" s="4567"/>
      <c r="F55" s="4567"/>
      <c r="G55" s="4567"/>
      <c r="H55" s="4567"/>
      <c r="I55" s="4571"/>
      <c r="L55" s="4572"/>
      <c r="M55" s="4572"/>
      <c r="N55" s="4572"/>
      <c r="O55" s="4572"/>
      <c r="P55" s="4572"/>
      <c r="Q55" s="4572"/>
      <c r="R55" s="4572"/>
      <c r="S55" s="4572"/>
      <c r="T55" s="4572"/>
      <c r="U55" s="4572"/>
    </row>
    <row r="56" spans="1:21" s="2127" customFormat="1" ht="30" customHeight="1">
      <c r="A56" s="4567"/>
      <c r="B56" s="4573" t="s">
        <v>2119</v>
      </c>
      <c r="C56" s="4567"/>
      <c r="D56" s="4567"/>
      <c r="E56" s="4567"/>
      <c r="F56" s="4567"/>
      <c r="G56" s="4567"/>
      <c r="H56" s="4567"/>
      <c r="I56" s="4571"/>
      <c r="L56" s="4572"/>
      <c r="M56" s="4572"/>
      <c r="N56" s="4572"/>
      <c r="O56" s="4572"/>
      <c r="P56" s="4572"/>
      <c r="Q56" s="4572"/>
      <c r="R56" s="4572"/>
      <c r="S56" s="4572"/>
      <c r="T56" s="4572"/>
      <c r="U56" s="4572"/>
    </row>
    <row r="57" spans="1:21" s="2127" customFormat="1" ht="30" customHeight="1">
      <c r="A57" s="4567"/>
      <c r="B57" s="4573" t="s">
        <v>2120</v>
      </c>
      <c r="C57" s="4567"/>
      <c r="D57" s="4567"/>
      <c r="E57" s="4567"/>
      <c r="F57" s="4567"/>
      <c r="G57" s="4567"/>
      <c r="H57" s="4567"/>
      <c r="I57" s="4571"/>
      <c r="L57" s="4572"/>
      <c r="M57" s="4572"/>
      <c r="N57" s="4572"/>
      <c r="O57" s="4572"/>
      <c r="P57" s="4572"/>
      <c r="Q57" s="4572"/>
      <c r="R57" s="4572"/>
      <c r="S57" s="4572"/>
      <c r="T57" s="4572"/>
      <c r="U57" s="4572"/>
    </row>
    <row r="58" spans="1:21" s="2127" customFormat="1" ht="30" customHeight="1">
      <c r="A58" s="4567"/>
      <c r="B58" s="4573" t="s">
        <v>2121</v>
      </c>
      <c r="C58" s="4567"/>
      <c r="D58" s="4567"/>
      <c r="E58" s="4567"/>
      <c r="F58" s="4567"/>
      <c r="G58" s="4567"/>
      <c r="H58" s="4567"/>
      <c r="I58" s="4571"/>
      <c r="L58" s="4572"/>
      <c r="M58" s="4572"/>
      <c r="N58" s="4572"/>
      <c r="O58" s="4572"/>
      <c r="P58" s="4572"/>
      <c r="Q58" s="4572"/>
      <c r="R58" s="4572"/>
      <c r="S58" s="4572"/>
      <c r="T58" s="4572"/>
      <c r="U58" s="4572"/>
    </row>
    <row r="59" spans="1:21" s="2127" customFormat="1" ht="30" customHeight="1">
      <c r="A59" s="4567"/>
      <c r="B59" s="4575"/>
      <c r="C59" s="4567"/>
      <c r="D59" s="4567"/>
      <c r="E59" s="4567"/>
      <c r="F59" s="4567"/>
      <c r="G59" s="4567"/>
      <c r="H59" s="4567"/>
      <c r="I59" s="4571"/>
      <c r="L59" s="4572"/>
      <c r="M59" s="4572"/>
      <c r="N59" s="4572"/>
      <c r="O59" s="4572"/>
      <c r="P59" s="4572"/>
      <c r="Q59" s="4572"/>
      <c r="R59" s="4572"/>
      <c r="S59" s="4572"/>
      <c r="T59" s="4572"/>
      <c r="U59" s="4572"/>
    </row>
    <row r="60" spans="1:21" s="2127" customFormat="1" ht="30" customHeight="1">
      <c r="A60" s="4567"/>
      <c r="B60" s="4577" t="s">
        <v>2122</v>
      </c>
      <c r="C60" s="4567"/>
      <c r="D60" s="4567"/>
      <c r="E60" s="4567"/>
      <c r="F60" s="4567"/>
      <c r="G60" s="4567"/>
      <c r="H60" s="4567"/>
      <c r="I60" s="4571"/>
      <c r="L60" s="4572"/>
      <c r="M60" s="4572"/>
      <c r="N60" s="4572"/>
      <c r="O60" s="4572"/>
      <c r="P60" s="4572"/>
      <c r="Q60" s="4572"/>
      <c r="R60" s="4572"/>
      <c r="S60" s="4572"/>
      <c r="T60" s="4572"/>
      <c r="U60" s="4572"/>
    </row>
    <row r="61" spans="1:21" s="2127" customFormat="1" ht="30" customHeight="1">
      <c r="A61" s="4567"/>
      <c r="B61" s="4575"/>
      <c r="C61" s="4567"/>
      <c r="D61" s="4567"/>
      <c r="E61" s="4567"/>
      <c r="F61" s="4567"/>
      <c r="G61" s="4567"/>
      <c r="H61" s="4567"/>
      <c r="I61" s="4571"/>
      <c r="L61" s="4572"/>
      <c r="M61" s="4572"/>
      <c r="N61" s="4572"/>
      <c r="O61" s="4572"/>
      <c r="P61" s="4572"/>
      <c r="Q61" s="4572"/>
      <c r="R61" s="4572"/>
      <c r="S61" s="4572"/>
      <c r="T61" s="4572"/>
      <c r="U61" s="4572"/>
    </row>
    <row r="62" spans="1:21" s="2127" customFormat="1" ht="30" customHeight="1">
      <c r="A62" s="4567"/>
      <c r="B62" s="4573" t="s">
        <v>2123</v>
      </c>
      <c r="C62" s="4567"/>
      <c r="D62" s="4567"/>
      <c r="E62" s="4567"/>
      <c r="F62" s="4567"/>
      <c r="G62" s="4567"/>
      <c r="H62" s="4567"/>
      <c r="I62" s="4571"/>
      <c r="L62" s="4572"/>
      <c r="M62" s="4572"/>
      <c r="N62" s="4572"/>
      <c r="O62" s="4572"/>
      <c r="P62" s="4572"/>
      <c r="Q62" s="4572"/>
      <c r="R62" s="4572"/>
      <c r="S62" s="4572"/>
      <c r="T62" s="4572"/>
      <c r="U62" s="4572"/>
    </row>
    <row r="63" spans="1:21" s="2127" customFormat="1" ht="30" customHeight="1">
      <c r="A63" s="4567"/>
      <c r="B63" s="4575"/>
      <c r="C63" s="4567"/>
      <c r="D63" s="4567"/>
      <c r="E63" s="4567"/>
      <c r="F63" s="4567"/>
      <c r="G63" s="4567"/>
      <c r="H63" s="4567"/>
      <c r="I63" s="4571"/>
      <c r="L63" s="4572"/>
      <c r="M63" s="4572"/>
      <c r="N63" s="4572"/>
      <c r="O63" s="4572"/>
      <c r="P63" s="4572"/>
      <c r="Q63" s="4572"/>
      <c r="R63" s="4572"/>
      <c r="S63" s="4572"/>
      <c r="T63" s="4572"/>
      <c r="U63" s="4572"/>
    </row>
    <row r="64" spans="1:21" s="2127" customFormat="1" ht="30" customHeight="1">
      <c r="A64" s="4567"/>
      <c r="B64" s="4578" t="s">
        <v>2124</v>
      </c>
      <c r="C64" s="4567"/>
      <c r="D64" s="4567"/>
      <c r="E64" s="4567"/>
      <c r="F64" s="4567"/>
      <c r="G64" s="4567"/>
      <c r="H64" s="4567"/>
      <c r="I64" s="4571"/>
      <c r="L64" s="4572"/>
      <c r="M64" s="4572"/>
      <c r="N64" s="4572"/>
      <c r="O64" s="4572"/>
      <c r="P64" s="4572"/>
      <c r="Q64" s="4572"/>
      <c r="R64" s="4572"/>
      <c r="S64" s="4572"/>
      <c r="T64" s="4572"/>
      <c r="U64" s="4572"/>
    </row>
    <row r="65" spans="1:21" s="2127" customFormat="1" ht="30" customHeight="1">
      <c r="A65" s="4567"/>
      <c r="B65" s="2126"/>
      <c r="C65" s="2126"/>
      <c r="D65" s="2126"/>
      <c r="E65" s="2126"/>
      <c r="F65" s="2126"/>
      <c r="G65" s="2126"/>
      <c r="H65" s="2126"/>
      <c r="I65" s="2126"/>
      <c r="L65" s="4572"/>
      <c r="M65" s="4572"/>
      <c r="N65" s="4572"/>
      <c r="O65" s="4572"/>
      <c r="P65" s="4572"/>
      <c r="Q65" s="4572"/>
      <c r="R65" s="4572"/>
      <c r="S65" s="4572"/>
      <c r="T65" s="4572"/>
      <c r="U65" s="4572"/>
    </row>
    <row r="66" spans="1:21" s="2127" customFormat="1" ht="30" customHeight="1">
      <c r="A66" s="4567"/>
      <c r="B66" s="4573" t="s">
        <v>2125</v>
      </c>
      <c r="C66" s="2126"/>
      <c r="D66" s="2126"/>
      <c r="E66" s="2126"/>
      <c r="F66" s="2126"/>
      <c r="G66" s="2126"/>
      <c r="H66" s="2126"/>
      <c r="I66" s="2126"/>
      <c r="L66" s="4572"/>
      <c r="M66" s="4572"/>
      <c r="N66" s="4572"/>
      <c r="O66" s="4572"/>
      <c r="P66" s="4572"/>
      <c r="Q66" s="4572"/>
      <c r="R66" s="4572"/>
      <c r="S66" s="4572"/>
      <c r="T66" s="4572"/>
      <c r="U66" s="4572"/>
    </row>
    <row r="67" spans="1:21" s="2127" customFormat="1" ht="30" customHeight="1">
      <c r="A67" s="4567"/>
      <c r="B67" s="2126"/>
      <c r="C67" s="2126"/>
      <c r="D67" s="2126"/>
      <c r="E67" s="2126"/>
      <c r="F67" s="2126"/>
      <c r="G67" s="2126"/>
      <c r="H67" s="2126"/>
      <c r="I67" s="2126"/>
      <c r="L67" s="4572"/>
      <c r="M67" s="4572"/>
      <c r="N67" s="4572"/>
      <c r="O67" s="4572"/>
      <c r="P67" s="4572"/>
      <c r="Q67" s="4572"/>
      <c r="R67" s="4572"/>
      <c r="S67" s="4572"/>
      <c r="T67" s="4572"/>
      <c r="U67" s="4572"/>
    </row>
    <row r="68" spans="1:21" s="2127" customFormat="1" ht="30" customHeight="1">
      <c r="A68" s="4567"/>
      <c r="B68" s="4573" t="s">
        <v>2126</v>
      </c>
      <c r="C68" s="2126"/>
      <c r="D68" s="2126"/>
      <c r="E68" s="2126"/>
      <c r="F68" s="2126"/>
      <c r="G68" s="2126"/>
      <c r="H68" s="2126"/>
      <c r="I68" s="2126"/>
      <c r="L68" s="4572"/>
      <c r="M68" s="4572"/>
      <c r="N68" s="4572"/>
      <c r="O68" s="4572"/>
      <c r="P68" s="4572"/>
      <c r="Q68" s="4572"/>
      <c r="R68" s="4572"/>
      <c r="S68" s="4572"/>
      <c r="T68" s="4572"/>
      <c r="U68" s="4572"/>
    </row>
    <row r="69" spans="1:21" s="2127" customFormat="1" ht="30" customHeight="1">
      <c r="A69" s="4567"/>
      <c r="B69" s="2126"/>
      <c r="C69" s="2126"/>
      <c r="D69" s="2126"/>
      <c r="E69" s="2126"/>
      <c r="F69" s="2126"/>
      <c r="G69" s="2126"/>
      <c r="H69" s="2126"/>
      <c r="I69" s="2126"/>
      <c r="L69" s="4572"/>
      <c r="M69" s="4572"/>
      <c r="N69" s="4572"/>
      <c r="O69" s="4572"/>
      <c r="P69" s="4572"/>
      <c r="Q69" s="4572"/>
      <c r="R69" s="4572"/>
      <c r="S69" s="4572"/>
      <c r="T69" s="4572"/>
      <c r="U69" s="4572"/>
    </row>
    <row r="70" spans="1:21" s="2127" customFormat="1" ht="30" customHeight="1">
      <c r="A70" s="4567"/>
      <c r="B70" s="4573" t="s">
        <v>2127</v>
      </c>
      <c r="C70" s="2126"/>
      <c r="D70" s="2126"/>
      <c r="E70" s="2126"/>
      <c r="F70" s="2126"/>
      <c r="G70" s="2126"/>
      <c r="H70" s="2126"/>
      <c r="I70" s="2126"/>
      <c r="L70" s="4572"/>
      <c r="M70" s="4572"/>
      <c r="N70" s="4572"/>
      <c r="O70" s="4572"/>
      <c r="P70" s="4572"/>
      <c r="Q70" s="4572"/>
      <c r="R70" s="4572"/>
      <c r="S70" s="4572"/>
      <c r="T70" s="4572"/>
      <c r="U70" s="4572"/>
    </row>
    <row r="71" spans="1:21" s="2127" customFormat="1" ht="30" customHeight="1">
      <c r="A71" s="4567"/>
      <c r="B71" s="2126"/>
      <c r="C71" s="2126"/>
      <c r="D71" s="2126"/>
      <c r="E71" s="2126"/>
      <c r="F71" s="2126"/>
      <c r="G71" s="2126"/>
      <c r="H71" s="2126"/>
      <c r="I71" s="2126"/>
      <c r="L71" s="4572"/>
      <c r="M71" s="4572"/>
      <c r="N71" s="4572"/>
      <c r="O71" s="4572"/>
      <c r="P71" s="4572"/>
      <c r="Q71" s="4572"/>
      <c r="R71" s="4572"/>
      <c r="S71" s="4572"/>
      <c r="T71" s="4572"/>
      <c r="U71" s="4572"/>
    </row>
    <row r="72" spans="1:21" s="2127" customFormat="1" ht="30" customHeight="1">
      <c r="A72" s="4567"/>
      <c r="B72" s="4573" t="s">
        <v>2128</v>
      </c>
      <c r="C72" s="2126"/>
      <c r="D72" s="2126"/>
      <c r="E72" s="2126"/>
      <c r="F72" s="2126"/>
      <c r="G72" s="2126"/>
      <c r="H72" s="2126"/>
      <c r="I72" s="2126"/>
      <c r="L72" s="4572"/>
      <c r="M72" s="4572"/>
      <c r="N72" s="4572"/>
      <c r="O72" s="4572"/>
      <c r="P72" s="4572"/>
      <c r="Q72" s="4572"/>
      <c r="R72" s="4572"/>
      <c r="S72" s="4572"/>
      <c r="T72" s="4572"/>
      <c r="U72" s="4572"/>
    </row>
    <row r="73" spans="1:21" s="2127" customFormat="1" ht="30" customHeight="1">
      <c r="A73" s="4567"/>
      <c r="B73" s="4573"/>
      <c r="C73" s="2126"/>
      <c r="D73" s="2126"/>
      <c r="E73" s="2126"/>
      <c r="F73" s="2126"/>
      <c r="G73" s="2126"/>
      <c r="H73" s="2126"/>
      <c r="I73" s="2126"/>
      <c r="L73" s="4572"/>
      <c r="M73" s="4572"/>
      <c r="N73" s="4572"/>
      <c r="O73" s="4572"/>
      <c r="P73" s="4572"/>
      <c r="Q73" s="4572"/>
      <c r="R73" s="4572"/>
      <c r="S73" s="4572"/>
      <c r="T73" s="4572"/>
      <c r="U73" s="4572"/>
    </row>
    <row r="74" spans="1:21" s="2127" customFormat="1" ht="30" customHeight="1">
      <c r="A74" s="4567"/>
      <c r="B74" s="2276" t="s">
        <v>2138</v>
      </c>
      <c r="C74" s="2126"/>
      <c r="D74" s="2126"/>
      <c r="E74" s="2126"/>
      <c r="F74" s="2126"/>
      <c r="G74" s="2126"/>
      <c r="H74" s="2126"/>
      <c r="I74" s="2126"/>
      <c r="L74" s="4572"/>
      <c r="M74" s="4572"/>
      <c r="N74" s="4572"/>
      <c r="O74" s="4572"/>
      <c r="P74" s="4572"/>
      <c r="Q74" s="4572"/>
      <c r="R74" s="4572"/>
      <c r="S74" s="4572"/>
      <c r="T74" s="4572"/>
      <c r="U74" s="4572"/>
    </row>
    <row r="75" spans="1:21" s="2127" customFormat="1" ht="30" customHeight="1">
      <c r="A75" s="4567"/>
      <c r="B75" s="4579"/>
      <c r="C75" s="2126"/>
      <c r="D75" s="2126"/>
      <c r="E75" s="2126"/>
      <c r="F75" s="2126"/>
      <c r="G75" s="2126"/>
      <c r="H75" s="2126"/>
      <c r="I75" s="2126"/>
      <c r="L75" s="4572"/>
      <c r="M75" s="4572"/>
      <c r="N75" s="4572"/>
      <c r="O75" s="4572"/>
      <c r="P75" s="4572"/>
      <c r="Q75" s="4572"/>
      <c r="R75" s="4572"/>
      <c r="S75" s="4572"/>
      <c r="T75" s="4572"/>
      <c r="U75" s="4572"/>
    </row>
    <row r="76" spans="1:21" s="2127" customFormat="1" ht="30" customHeight="1">
      <c r="A76" s="4568"/>
      <c r="B76" s="4580" t="s">
        <v>2139</v>
      </c>
      <c r="C76" s="4581"/>
      <c r="D76" s="4581"/>
      <c r="E76" s="4581"/>
      <c r="F76" s="4581"/>
      <c r="G76" s="4581"/>
      <c r="H76" s="4581"/>
      <c r="I76" s="4581"/>
      <c r="L76" s="4572"/>
      <c r="M76" s="4572"/>
      <c r="N76" s="4572"/>
      <c r="O76" s="4572"/>
      <c r="P76" s="4572"/>
      <c r="Q76" s="4572"/>
      <c r="R76" s="4572"/>
      <c r="S76" s="4572"/>
      <c r="T76" s="4572"/>
      <c r="U76" s="4572"/>
    </row>
    <row r="77" spans="1:21" s="2128" customFormat="1" ht="30" customHeight="1">
      <c r="A77" s="4568"/>
      <c r="B77" s="2277" t="s">
        <v>2140</v>
      </c>
      <c r="C77" s="2278"/>
      <c r="D77" s="2278"/>
      <c r="E77" s="2278"/>
      <c r="F77" s="2278"/>
      <c r="G77" s="2278"/>
      <c r="H77" s="2278"/>
      <c r="I77" s="2278"/>
      <c r="J77" s="2127" t="s">
        <v>230</v>
      </c>
      <c r="K77" s="2127"/>
      <c r="L77" s="4572"/>
      <c r="M77" s="4572"/>
      <c r="N77" s="4572"/>
      <c r="O77" s="4572"/>
      <c r="P77" s="4572"/>
      <c r="Q77" s="4572"/>
      <c r="R77" s="4572"/>
      <c r="S77" s="4572"/>
      <c r="T77" s="4572"/>
      <c r="U77" s="4572"/>
    </row>
    <row r="78" spans="1:21" s="2128" customFormat="1" ht="30" customHeight="1">
      <c r="A78" s="4568"/>
      <c r="B78" s="4582"/>
      <c r="C78" s="4571"/>
      <c r="D78" s="4571"/>
      <c r="E78" s="4571"/>
      <c r="F78" s="4571"/>
      <c r="G78" s="4571"/>
      <c r="H78" s="4571"/>
      <c r="I78" s="4571"/>
      <c r="J78" s="2127"/>
      <c r="K78" s="2127"/>
      <c r="L78" s="4572"/>
      <c r="M78" s="4572"/>
      <c r="N78" s="4572"/>
      <c r="O78" s="4572"/>
      <c r="P78" s="4572"/>
      <c r="Q78" s="4572"/>
      <c r="R78" s="4572"/>
      <c r="S78" s="4572"/>
      <c r="T78" s="4572"/>
      <c r="U78" s="4572"/>
    </row>
    <row r="79" spans="1:21" s="2128" customFormat="1" ht="30" customHeight="1">
      <c r="A79" s="4568"/>
      <c r="B79" s="4583" t="s">
        <v>2141</v>
      </c>
      <c r="C79" s="4567"/>
      <c r="D79" s="4567"/>
      <c r="E79" s="4567"/>
      <c r="F79" s="4567"/>
      <c r="G79" s="4567"/>
      <c r="H79" s="4567"/>
      <c r="I79" s="4571"/>
      <c r="J79" s="2127"/>
      <c r="K79" s="2127"/>
      <c r="L79" s="4572"/>
      <c r="M79" s="4572"/>
      <c r="N79" s="4572"/>
      <c r="O79" s="4572"/>
      <c r="P79" s="4572"/>
      <c r="Q79" s="4572"/>
      <c r="R79" s="4572"/>
      <c r="S79" s="4572"/>
      <c r="T79" s="4572"/>
      <c r="U79" s="4572"/>
    </row>
    <row r="80" spans="1:21" ht="30" customHeight="1">
      <c r="A80" s="4584"/>
      <c r="B80" s="2279" t="s">
        <v>2142</v>
      </c>
      <c r="C80" s="2279"/>
      <c r="D80" s="2279"/>
      <c r="E80" s="2279"/>
      <c r="F80" s="2279"/>
      <c r="G80" s="2279"/>
      <c r="H80" s="2279"/>
      <c r="I80" s="2279"/>
      <c r="J80" s="2127"/>
      <c r="K80" s="2127"/>
      <c r="L80" s="4572"/>
      <c r="M80" s="4572"/>
      <c r="N80" s="4572"/>
      <c r="O80" s="4572"/>
      <c r="P80" s="4572"/>
      <c r="Q80" s="4572"/>
      <c r="R80" s="4572"/>
      <c r="S80" s="4572"/>
      <c r="T80" s="4572"/>
      <c r="U80" s="4572"/>
    </row>
    <row r="81" spans="1:21" ht="30" customHeight="1">
      <c r="A81" s="4584"/>
      <c r="B81" s="2241"/>
      <c r="C81" s="2241"/>
      <c r="D81" s="2241"/>
      <c r="E81" s="2241"/>
      <c r="F81" s="2241"/>
      <c r="G81" s="2241"/>
      <c r="H81" s="2241"/>
      <c r="I81" s="2241"/>
      <c r="J81" s="2127"/>
      <c r="K81" s="2127"/>
      <c r="L81" s="4572"/>
      <c r="M81" s="4572"/>
      <c r="N81" s="4572"/>
      <c r="O81" s="4572"/>
      <c r="P81" s="4572"/>
      <c r="Q81" s="4572"/>
      <c r="R81" s="4572"/>
      <c r="S81" s="4572"/>
      <c r="T81" s="4572"/>
      <c r="U81" s="4572"/>
    </row>
    <row r="82" spans="1:21" ht="30" customHeight="1">
      <c r="A82" s="4584"/>
      <c r="B82" s="2280" t="s">
        <v>2143</v>
      </c>
      <c r="C82" s="2280"/>
      <c r="D82" s="2280"/>
      <c r="E82" s="2280"/>
      <c r="F82" s="2280"/>
      <c r="G82" s="2280"/>
      <c r="H82" s="2280"/>
      <c r="I82" s="2280"/>
      <c r="J82" s="2127"/>
      <c r="K82" s="2127"/>
      <c r="L82" s="4572"/>
      <c r="M82" s="4572"/>
      <c r="N82" s="4572"/>
      <c r="O82" s="4572"/>
      <c r="P82" s="4572"/>
      <c r="Q82" s="4572"/>
      <c r="R82" s="4572"/>
      <c r="S82" s="4572"/>
      <c r="T82" s="4572"/>
      <c r="U82" s="4572"/>
    </row>
    <row r="83" spans="1:21" ht="30" customHeight="1">
      <c r="A83" s="4584"/>
      <c r="B83" s="2274"/>
      <c r="C83" s="2274"/>
      <c r="D83" s="2274"/>
      <c r="E83" s="2274"/>
      <c r="F83" s="2274"/>
      <c r="G83" s="2274"/>
      <c r="H83" s="2274"/>
      <c r="I83" s="2274"/>
      <c r="J83" s="2127"/>
      <c r="K83" s="2127"/>
      <c r="L83" s="4572"/>
      <c r="M83" s="4572"/>
      <c r="N83" s="4572"/>
      <c r="O83" s="4572"/>
      <c r="P83" s="4572"/>
      <c r="Q83" s="4572"/>
      <c r="R83" s="4572"/>
      <c r="S83" s="4572"/>
      <c r="T83" s="4572"/>
      <c r="U83" s="4572"/>
    </row>
    <row r="84" spans="1:21" ht="30" customHeight="1">
      <c r="A84" s="4584"/>
      <c r="B84" s="2279" t="s">
        <v>2144</v>
      </c>
      <c r="C84" s="2279"/>
      <c r="D84" s="2279"/>
      <c r="E84" s="2279"/>
      <c r="F84" s="2279"/>
      <c r="G84" s="2279"/>
      <c r="H84" s="2279"/>
      <c r="I84" s="2279"/>
      <c r="J84" s="2127"/>
      <c r="K84" s="2127"/>
      <c r="L84" s="4572"/>
      <c r="M84" s="4572"/>
      <c r="N84" s="4572"/>
      <c r="O84" s="4572"/>
      <c r="P84" s="4572"/>
      <c r="Q84" s="4572"/>
      <c r="R84" s="4572"/>
      <c r="S84" s="4572"/>
      <c r="T84" s="4572"/>
      <c r="U84" s="4572"/>
    </row>
    <row r="85" spans="1:21" s="2128" customFormat="1" ht="30" customHeight="1">
      <c r="A85" s="4568"/>
      <c r="B85" s="4582"/>
      <c r="C85" s="4571"/>
      <c r="D85" s="4571"/>
      <c r="E85" s="4571"/>
      <c r="F85" s="4571"/>
      <c r="G85" s="4571"/>
      <c r="H85" s="4571"/>
      <c r="I85" s="4571"/>
      <c r="J85" s="2127"/>
      <c r="K85" s="2127"/>
      <c r="L85" s="4572"/>
      <c r="M85" s="4572"/>
      <c r="N85" s="4572"/>
      <c r="O85" s="4572"/>
      <c r="P85" s="4572"/>
      <c r="Q85" s="4572"/>
      <c r="R85" s="4572"/>
      <c r="S85" s="4572"/>
      <c r="T85" s="4572"/>
      <c r="U85" s="4572"/>
    </row>
    <row r="86" spans="1:21" s="2128" customFormat="1" ht="30" customHeight="1">
      <c r="A86" s="4567"/>
      <c r="B86" s="4585"/>
      <c r="C86" s="4571"/>
      <c r="D86" s="4571"/>
      <c r="E86" s="4571"/>
      <c r="F86" s="4571"/>
      <c r="G86" s="4571"/>
      <c r="H86" s="4571"/>
      <c r="I86" s="4571"/>
      <c r="J86" s="2127"/>
      <c r="K86" s="2127"/>
      <c r="L86" s="4572"/>
      <c r="M86" s="4572"/>
      <c r="N86" s="4572"/>
      <c r="O86" s="4572"/>
      <c r="P86" s="4572"/>
      <c r="Q86" s="4572"/>
      <c r="R86" s="4572"/>
      <c r="S86" s="4572"/>
      <c r="T86" s="4572"/>
      <c r="U86" s="4572"/>
    </row>
    <row r="87" spans="1:21" s="2128" customFormat="1" ht="30" customHeight="1">
      <c r="A87" s="4567"/>
      <c r="B87" s="4577" t="s">
        <v>2220</v>
      </c>
      <c r="C87" s="4567"/>
      <c r="D87" s="4567"/>
      <c r="E87" s="4567"/>
      <c r="F87" s="4567"/>
      <c r="G87" s="4567"/>
      <c r="H87" s="4567"/>
      <c r="I87" s="4567"/>
      <c r="J87" s="2127"/>
      <c r="K87" s="2127"/>
      <c r="L87" s="4572"/>
      <c r="M87" s="4572"/>
      <c r="N87" s="4572"/>
      <c r="O87" s="4572"/>
      <c r="P87" s="4572"/>
      <c r="Q87" s="4572"/>
      <c r="R87" s="4572"/>
      <c r="S87" s="4572"/>
      <c r="T87" s="4572"/>
      <c r="U87" s="4572"/>
    </row>
    <row r="88" spans="1:21" s="2128" customFormat="1" ht="30" customHeight="1">
      <c r="A88" s="4567"/>
      <c r="B88" s="4577" t="s">
        <v>2221</v>
      </c>
      <c r="C88" s="4567"/>
      <c r="D88" s="4567"/>
      <c r="E88" s="4567"/>
      <c r="F88" s="4567"/>
      <c r="G88" s="4567"/>
      <c r="H88" s="4567"/>
      <c r="I88" s="4567"/>
      <c r="J88" s="2127"/>
      <c r="K88" s="2127"/>
      <c r="L88" s="4572"/>
      <c r="M88" s="4572"/>
      <c r="N88" s="4572"/>
      <c r="O88" s="4572"/>
      <c r="P88" s="4572"/>
      <c r="Q88" s="4572"/>
      <c r="R88" s="4572"/>
      <c r="S88" s="4572"/>
      <c r="T88" s="4572"/>
      <c r="U88" s="4572"/>
    </row>
    <row r="89" spans="1:21" s="2128" customFormat="1" ht="30" customHeight="1">
      <c r="A89" s="4567"/>
      <c r="B89" s="4586" t="s">
        <v>2145</v>
      </c>
      <c r="C89" s="4567"/>
      <c r="D89" s="4567"/>
      <c r="E89" s="4567"/>
      <c r="F89" s="4567"/>
      <c r="G89" s="4567"/>
      <c r="H89" s="4567"/>
      <c r="I89" s="4567"/>
      <c r="J89" s="2127"/>
      <c r="K89" s="2127"/>
      <c r="L89" s="4572"/>
      <c r="M89" s="4572"/>
      <c r="N89" s="4572"/>
      <c r="O89" s="4572"/>
      <c r="P89" s="4572"/>
      <c r="Q89" s="4572"/>
      <c r="R89" s="4572"/>
      <c r="S89" s="4572"/>
      <c r="T89" s="4572"/>
      <c r="U89" s="4572"/>
    </row>
    <row r="90" spans="1:21" s="2128" customFormat="1" ht="30" customHeight="1">
      <c r="A90" s="4567"/>
      <c r="B90" s="4587"/>
      <c r="C90" s="4567"/>
      <c r="D90" s="4567"/>
      <c r="E90" s="4567"/>
      <c r="F90" s="4567"/>
      <c r="G90" s="4567"/>
      <c r="H90" s="4567"/>
      <c r="I90" s="4567"/>
      <c r="J90" s="2127"/>
      <c r="K90" s="2127"/>
      <c r="L90" s="4572"/>
      <c r="M90" s="4572"/>
      <c r="N90" s="4572"/>
      <c r="O90" s="4572"/>
      <c r="P90" s="4572"/>
      <c r="Q90" s="4572"/>
      <c r="R90" s="4572"/>
      <c r="S90" s="4572"/>
      <c r="T90" s="4572"/>
      <c r="U90" s="4572"/>
    </row>
    <row r="91" spans="1:21" s="2128" customFormat="1" ht="30" customHeight="1">
      <c r="A91" s="4503"/>
      <c r="B91" s="2105" t="s">
        <v>2146</v>
      </c>
      <c r="C91" s="4503"/>
      <c r="D91" s="4503"/>
      <c r="E91" s="4503"/>
      <c r="F91" s="4503"/>
      <c r="G91" s="4503"/>
      <c r="H91" s="4503"/>
      <c r="I91" s="4503"/>
      <c r="J91" s="2127"/>
      <c r="K91" s="2127"/>
      <c r="L91" s="4572"/>
      <c r="M91" s="4572"/>
      <c r="N91" s="4572"/>
      <c r="O91" s="4572"/>
      <c r="P91" s="4572"/>
      <c r="Q91" s="4572"/>
      <c r="R91" s="4572"/>
      <c r="S91" s="4572"/>
      <c r="T91" s="4572"/>
      <c r="U91" s="4572"/>
    </row>
    <row r="92" spans="1:21" s="2128" customFormat="1" ht="30" customHeight="1">
      <c r="A92" s="2125"/>
      <c r="B92" s="2292"/>
      <c r="C92" s="2131"/>
      <c r="D92" s="2133"/>
      <c r="E92" s="2133"/>
      <c r="F92" s="2133"/>
      <c r="G92" s="2133"/>
      <c r="H92" s="2133"/>
      <c r="I92" s="2133"/>
      <c r="J92" s="2127"/>
      <c r="K92" s="2127"/>
      <c r="L92" s="4572"/>
      <c r="M92" s="4572"/>
      <c r="N92" s="4572"/>
      <c r="O92" s="4572"/>
      <c r="P92" s="4572"/>
      <c r="Q92" s="4572"/>
      <c r="R92" s="4572"/>
      <c r="S92" s="4572"/>
      <c r="T92" s="4572"/>
      <c r="U92" s="4572"/>
    </row>
    <row r="93" spans="1:21" ht="45">
      <c r="J93" s="2127"/>
      <c r="K93" s="2127"/>
      <c r="L93" s="4572"/>
      <c r="M93" s="4572"/>
      <c r="N93" s="4572"/>
      <c r="O93" s="4572"/>
      <c r="P93" s="4572"/>
      <c r="Q93" s="4572"/>
      <c r="R93" s="4572"/>
      <c r="S93" s="4572"/>
      <c r="T93" s="4572"/>
      <c r="U93" s="4572"/>
    </row>
    <row r="94" spans="1:21" ht="45">
      <c r="J94" s="2127"/>
      <c r="K94" s="2127"/>
      <c r="L94" s="4572"/>
      <c r="M94" s="4572"/>
      <c r="N94" s="4572"/>
      <c r="O94" s="4572"/>
      <c r="P94" s="4572"/>
      <c r="Q94" s="4572"/>
      <c r="R94" s="4572"/>
      <c r="S94" s="4572"/>
      <c r="T94" s="4572"/>
      <c r="U94" s="4572"/>
    </row>
    <row r="95" spans="1:21" ht="45">
      <c r="J95" s="2127"/>
      <c r="K95" s="2127"/>
      <c r="L95" s="4572"/>
      <c r="M95" s="4572"/>
      <c r="N95" s="4572"/>
      <c r="O95" s="4572"/>
      <c r="P95" s="4572"/>
      <c r="Q95" s="4572"/>
      <c r="R95" s="4572"/>
      <c r="S95" s="4572"/>
      <c r="T95" s="4572"/>
      <c r="U95" s="4572"/>
    </row>
    <row r="96" spans="1:21" ht="45">
      <c r="J96" s="2127"/>
      <c r="K96" s="2127"/>
      <c r="L96" s="4572"/>
      <c r="M96" s="4572"/>
      <c r="N96" s="4572"/>
      <c r="O96" s="4572"/>
      <c r="P96" s="4572"/>
      <c r="Q96" s="4572"/>
      <c r="R96" s="4572"/>
      <c r="S96" s="4572"/>
      <c r="T96" s="4572"/>
      <c r="U96" s="4572"/>
    </row>
    <row r="97" spans="10:21" ht="45">
      <c r="J97" s="2127"/>
      <c r="K97" s="2127"/>
      <c r="L97" s="4572"/>
      <c r="M97" s="4572"/>
      <c r="N97" s="4572"/>
      <c r="O97" s="4572"/>
      <c r="P97" s="4572"/>
      <c r="Q97" s="4572"/>
      <c r="R97" s="4572"/>
      <c r="S97" s="4572"/>
      <c r="T97" s="4572"/>
      <c r="U97" s="4572"/>
    </row>
    <row r="98" spans="10:21" ht="45">
      <c r="J98" s="2127"/>
      <c r="K98" s="2127"/>
      <c r="L98" s="4572"/>
      <c r="M98" s="4572"/>
      <c r="N98" s="4572"/>
      <c r="O98" s="4572"/>
      <c r="P98" s="4572"/>
      <c r="Q98" s="4572"/>
      <c r="R98" s="4572"/>
      <c r="S98" s="4572"/>
      <c r="T98" s="4572"/>
      <c r="U98" s="4572"/>
    </row>
    <row r="99" spans="10:21" ht="45">
      <c r="J99" s="2127"/>
      <c r="K99" s="2127"/>
      <c r="L99" s="4572"/>
      <c r="M99" s="4572"/>
      <c r="N99" s="4572"/>
      <c r="O99" s="4572"/>
      <c r="P99" s="4572"/>
      <c r="Q99" s="4572"/>
      <c r="R99" s="4572"/>
      <c r="S99" s="4572"/>
      <c r="T99" s="4572"/>
      <c r="U99" s="4572"/>
    </row>
    <row r="100" spans="10:21" ht="45">
      <c r="J100" s="2127"/>
      <c r="K100" s="2127"/>
      <c r="L100" s="4572"/>
      <c r="M100" s="4572"/>
      <c r="N100" s="4572"/>
      <c r="O100" s="4572"/>
      <c r="P100" s="4572"/>
      <c r="Q100" s="4572"/>
      <c r="R100" s="4572"/>
      <c r="S100" s="4572"/>
      <c r="T100" s="4572"/>
      <c r="U100" s="4572"/>
    </row>
    <row r="101" spans="10:21" ht="45">
      <c r="J101" s="2127"/>
      <c r="K101" s="2127"/>
      <c r="L101" s="4572"/>
      <c r="M101" s="4572"/>
      <c r="N101" s="4572"/>
      <c r="O101" s="4572"/>
      <c r="P101" s="4572"/>
      <c r="Q101" s="4572"/>
      <c r="R101" s="4572"/>
      <c r="S101" s="4572"/>
      <c r="T101" s="4572"/>
      <c r="U101" s="4572"/>
    </row>
    <row r="102" spans="10:21" ht="45">
      <c r="J102" s="2127"/>
      <c r="K102" s="2127"/>
      <c r="L102" s="4572"/>
      <c r="M102" s="4572"/>
      <c r="N102" s="4572"/>
      <c r="O102" s="4572"/>
      <c r="P102" s="4572"/>
      <c r="Q102" s="4572"/>
      <c r="R102" s="4572"/>
      <c r="S102" s="4572"/>
      <c r="T102" s="4572"/>
      <c r="U102" s="4572"/>
    </row>
  </sheetData>
  <mergeCells count="16">
    <mergeCell ref="B2:T3"/>
    <mergeCell ref="B4:B6"/>
    <mergeCell ref="C4:I5"/>
    <mergeCell ref="K6:K7"/>
    <mergeCell ref="B7:B8"/>
    <mergeCell ref="E8:I9"/>
    <mergeCell ref="C10:D10"/>
    <mergeCell ref="K10:K12"/>
    <mergeCell ref="O10:P13"/>
    <mergeCell ref="Q10:Q13"/>
    <mergeCell ref="R10:T12"/>
    <mergeCell ref="C11:C13"/>
    <mergeCell ref="D11:D13"/>
    <mergeCell ref="E13:I13"/>
    <mergeCell ref="M13:N13"/>
    <mergeCell ref="R13:S13"/>
  </mergeCells>
  <hyperlinks>
    <hyperlink ref="K44" r:id="rId1" xr:uid="{1D2BBC64-B002-4766-B4D8-A2B83DABDE2D}"/>
    <hyperlink ref="B77" r:id="rId2" location="ID0EBABAAA=Excel%C2%A02016-2013" xr:uid="{E3055CB5-67C2-40F7-BF75-86CB501534F9}"/>
    <hyperlink ref="B80" r:id="rId3" xr:uid="{58090270-7C63-42B2-A8F8-1FBCCD248450}"/>
    <hyperlink ref="B84" r:id="rId4" xr:uid="{B99832AC-0EB3-4BCA-A1CE-5C7958938A8B}"/>
    <hyperlink ref="B82:U82" r:id="rId5" display="Auditer-et-espionner-des-formules-sous-excel" xr:uid="{7190FDE6-DEAB-4442-9C15-340AB4F6A587}"/>
    <hyperlink ref="B74:L74" r:id="rId6" display="7 ZIP pour Zipper vos documents" xr:uid="{29DBBD18-5C92-4E16-9065-D9DBF28124DC}"/>
  </hyperlinks>
  <pageMargins left="0.78740157499999996" right="0.78740157499999996" top="0.984251969" bottom="0.984251969" header="0.4921259845" footer="0.4921259845"/>
  <pageSetup paperSize="9" orientation="portrait" r:id="rId7"/>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XJ894"/>
  <sheetViews>
    <sheetView zoomScaleNormal="100" workbookViewId="0">
      <selection activeCell="K27" sqref="K27"/>
    </sheetView>
  </sheetViews>
  <sheetFormatPr baseColWidth="10" defaultRowHeight="15"/>
  <cols>
    <col min="1" max="1" width="3.25" style="3191" customWidth="1"/>
    <col min="2" max="14" width="13.75" style="3191" customWidth="1"/>
    <col min="15" max="15" width="11" style="3191"/>
    <col min="16" max="16" width="14.5" style="3191" customWidth="1"/>
    <col min="17" max="16384" width="11" style="3191"/>
  </cols>
  <sheetData>
    <row r="1" spans="1:17" ht="15.75" thickBot="1">
      <c r="A1" s="3190">
        <f t="shared" ref="A1:Q1" ca="1" si="0">CELL("largeur",A1)</f>
        <v>3</v>
      </c>
      <c r="B1" s="3190">
        <f t="shared" ca="1" si="0"/>
        <v>13</v>
      </c>
      <c r="C1" s="3190">
        <f t="shared" ca="1" si="0"/>
        <v>13</v>
      </c>
      <c r="D1" s="3190">
        <f t="shared" ca="1" si="0"/>
        <v>13</v>
      </c>
      <c r="E1" s="3190">
        <f t="shared" ca="1" si="0"/>
        <v>13</v>
      </c>
      <c r="F1" s="3190">
        <f t="shared" ca="1" si="0"/>
        <v>13</v>
      </c>
      <c r="G1" s="3190">
        <f t="shared" ca="1" si="0"/>
        <v>13</v>
      </c>
      <c r="H1" s="3190">
        <f t="shared" ca="1" si="0"/>
        <v>13</v>
      </c>
      <c r="I1" s="3190">
        <f t="shared" ca="1" si="0"/>
        <v>13</v>
      </c>
      <c r="J1" s="3190">
        <f t="shared" ca="1" si="0"/>
        <v>13</v>
      </c>
      <c r="K1" s="3190">
        <f t="shared" ca="1" si="0"/>
        <v>13</v>
      </c>
      <c r="L1" s="3190">
        <f t="shared" ca="1" si="0"/>
        <v>13</v>
      </c>
      <c r="M1" s="3190">
        <f t="shared" ca="1" si="0"/>
        <v>13</v>
      </c>
      <c r="N1" s="3190">
        <f t="shared" ca="1" si="0"/>
        <v>13</v>
      </c>
      <c r="O1" s="3190">
        <f t="shared" ca="1" si="0"/>
        <v>10</v>
      </c>
      <c r="P1" s="3190">
        <f t="shared" ca="1" si="0"/>
        <v>14</v>
      </c>
      <c r="Q1" s="3190">
        <f t="shared" ca="1" si="0"/>
        <v>10</v>
      </c>
    </row>
    <row r="2" spans="1:17" ht="26.25">
      <c r="A2" s="3"/>
      <c r="B2" s="6550" t="s">
        <v>659</v>
      </c>
      <c r="C2" s="6551"/>
      <c r="D2" s="6551"/>
      <c r="E2" s="6551"/>
      <c r="F2" s="6551"/>
      <c r="G2" s="6551"/>
      <c r="H2" s="6551"/>
      <c r="I2" s="6551"/>
      <c r="J2" s="6551"/>
      <c r="K2" s="6551"/>
      <c r="L2" s="6551"/>
      <c r="M2" s="6551"/>
      <c r="N2" s="6551"/>
      <c r="O2" s="6551"/>
      <c r="P2" s="6551"/>
      <c r="Q2" s="6552"/>
    </row>
    <row r="3" spans="1:17" ht="20.100000000000001" customHeight="1">
      <c r="A3" s="3"/>
      <c r="B3" s="6553" t="s">
        <v>658</v>
      </c>
      <c r="C3" s="6554"/>
      <c r="D3" s="6554"/>
      <c r="E3" s="6554"/>
      <c r="F3" s="6554"/>
      <c r="G3" s="6554"/>
      <c r="H3" s="6554"/>
      <c r="I3" s="6554"/>
      <c r="J3" s="6554"/>
      <c r="K3" s="6554"/>
      <c r="L3" s="6554"/>
      <c r="M3" s="6554"/>
      <c r="N3" s="6554"/>
      <c r="O3" s="6554"/>
      <c r="P3" s="6554"/>
      <c r="Q3" s="6555"/>
    </row>
    <row r="4" spans="1:17" ht="20.100000000000001" customHeight="1">
      <c r="A4" s="3"/>
      <c r="B4" s="6553" t="s">
        <v>657</v>
      </c>
      <c r="C4" s="6554"/>
      <c r="D4" s="6554"/>
      <c r="E4" s="6554"/>
      <c r="F4" s="6554"/>
      <c r="G4" s="6554"/>
      <c r="H4" s="6554"/>
      <c r="I4" s="6554"/>
      <c r="J4" s="6554"/>
      <c r="K4" s="6554"/>
      <c r="L4" s="6554"/>
      <c r="M4" s="6554"/>
      <c r="N4" s="6554"/>
      <c r="O4" s="6554"/>
      <c r="P4" s="6554"/>
      <c r="Q4" s="6555"/>
    </row>
    <row r="5" spans="1:17" ht="20.100000000000001" customHeight="1">
      <c r="A5" s="3"/>
      <c r="B5" s="6553" t="s">
        <v>656</v>
      </c>
      <c r="C5" s="6554"/>
      <c r="D5" s="6554"/>
      <c r="E5" s="6554"/>
      <c r="F5" s="6554"/>
      <c r="G5" s="6554"/>
      <c r="H5" s="6554"/>
      <c r="I5" s="6554"/>
      <c r="J5" s="6554"/>
      <c r="K5" s="6554"/>
      <c r="L5" s="6554"/>
      <c r="M5" s="6554"/>
      <c r="N5" s="6554"/>
      <c r="O5" s="6554"/>
      <c r="P5" s="6554"/>
      <c r="Q5" s="6555"/>
    </row>
    <row r="6" spans="1:17" ht="27" thickBot="1">
      <c r="A6" s="3"/>
      <c r="B6" s="3192" t="s">
        <v>365</v>
      </c>
      <c r="C6" s="6556" t="s">
        <v>655</v>
      </c>
      <c r="D6" s="6556"/>
      <c r="E6" s="6556"/>
      <c r="F6" s="6556"/>
      <c r="G6" s="6556"/>
      <c r="H6" s="6556"/>
      <c r="I6" s="6556"/>
      <c r="J6" s="6556"/>
      <c r="K6" s="6556"/>
      <c r="L6" s="6556"/>
      <c r="M6" s="6556"/>
      <c r="N6" s="6556"/>
      <c r="O6" s="6556"/>
      <c r="P6" s="6556"/>
      <c r="Q6" s="6557"/>
    </row>
    <row r="7" spans="1:17" ht="15.75">
      <c r="A7" s="3193"/>
      <c r="B7" s="3"/>
      <c r="C7" s="488"/>
      <c r="D7" s="3"/>
      <c r="E7" s="3"/>
      <c r="F7" s="3"/>
      <c r="G7" s="3"/>
      <c r="H7" s="3"/>
      <c r="I7" s="3"/>
      <c r="J7" s="3"/>
      <c r="K7" s="3"/>
      <c r="L7" s="3"/>
      <c r="M7" s="3193"/>
      <c r="N7" s="3193"/>
      <c r="O7" s="3193"/>
      <c r="P7" s="3193"/>
      <c r="Q7" s="3193"/>
    </row>
    <row r="8" spans="1:17" ht="15.75" customHeight="1">
      <c r="A8" s="3193"/>
      <c r="B8" s="6558" t="s">
        <v>3035</v>
      </c>
      <c r="C8" s="6558"/>
      <c r="D8" s="6558"/>
      <c r="E8" s="6558"/>
      <c r="F8" s="6558"/>
      <c r="G8" s="6558"/>
      <c r="H8" s="6558"/>
      <c r="I8" s="6558"/>
      <c r="J8" s="6558"/>
      <c r="K8" s="6558"/>
      <c r="L8" s="6558"/>
      <c r="M8" s="6558"/>
      <c r="N8" s="6558"/>
      <c r="O8" s="6558"/>
      <c r="P8" s="6558"/>
      <c r="Q8" s="6558"/>
    </row>
    <row r="9" spans="1:17" ht="15.75" customHeight="1">
      <c r="A9" s="3193"/>
      <c r="B9" s="6558"/>
      <c r="C9" s="6558"/>
      <c r="D9" s="6558"/>
      <c r="E9" s="6558"/>
      <c r="F9" s="6558"/>
      <c r="G9" s="6558"/>
      <c r="H9" s="6558"/>
      <c r="I9" s="6558"/>
      <c r="J9" s="6558"/>
      <c r="K9" s="6558"/>
      <c r="L9" s="6558"/>
      <c r="M9" s="6558"/>
      <c r="N9" s="6558"/>
      <c r="O9" s="6558"/>
      <c r="P9" s="6558"/>
      <c r="Q9" s="6558"/>
    </row>
    <row r="10" spans="1:17" ht="30.75" customHeight="1">
      <c r="A10" s="3193"/>
      <c r="B10" s="6558"/>
      <c r="C10" s="6558"/>
      <c r="D10" s="6558"/>
      <c r="E10" s="6558"/>
      <c r="F10" s="6558"/>
      <c r="G10" s="6558"/>
      <c r="H10" s="6558"/>
      <c r="I10" s="6558"/>
      <c r="J10" s="6558"/>
      <c r="K10" s="6558"/>
      <c r="L10" s="6558"/>
      <c r="M10" s="6558"/>
      <c r="N10" s="6558"/>
      <c r="O10" s="6558"/>
      <c r="P10" s="6558"/>
      <c r="Q10" s="6558"/>
    </row>
    <row r="11" spans="1:17" ht="15.75" thickBot="1">
      <c r="A11" s="3193"/>
      <c r="B11" s="3"/>
      <c r="C11" s="487"/>
      <c r="D11" s="3"/>
      <c r="E11" s="3"/>
      <c r="F11" s="3"/>
      <c r="G11" s="3"/>
      <c r="H11" s="3"/>
      <c r="I11" s="3"/>
      <c r="J11" s="3"/>
      <c r="K11" s="3"/>
      <c r="L11" s="3"/>
      <c r="M11" s="3193"/>
      <c r="N11" s="3193"/>
      <c r="O11" s="3193"/>
      <c r="P11" s="3193"/>
      <c r="Q11" s="3193"/>
    </row>
    <row r="12" spans="1:17" ht="31.5" customHeight="1" thickBot="1">
      <c r="A12" s="3193"/>
      <c r="B12" s="6565" t="s">
        <v>654</v>
      </c>
      <c r="C12" s="6566"/>
      <c r="D12" s="6566"/>
      <c r="E12" s="6566"/>
      <c r="F12" s="6566"/>
      <c r="G12" s="6566"/>
      <c r="H12" s="6566"/>
      <c r="I12" s="6566"/>
      <c r="J12" s="6566"/>
      <c r="K12" s="6566"/>
      <c r="L12" s="6566"/>
      <c r="M12" s="6566"/>
      <c r="N12" s="6566"/>
      <c r="O12" s="6566"/>
      <c r="P12" s="6566"/>
      <c r="Q12" s="6567"/>
    </row>
    <row r="13" spans="1:17">
      <c r="A13" s="3193"/>
      <c r="B13" s="3194"/>
      <c r="C13" s="3"/>
      <c r="D13" s="3"/>
      <c r="E13" s="3"/>
      <c r="F13" s="3"/>
      <c r="G13" s="3"/>
      <c r="H13" s="3"/>
      <c r="I13" s="3"/>
      <c r="J13" s="3"/>
      <c r="K13" s="3"/>
      <c r="L13" s="3"/>
      <c r="M13" s="3193"/>
      <c r="N13" s="3193"/>
      <c r="O13" s="3193"/>
      <c r="P13" s="3193"/>
      <c r="Q13" s="3193"/>
    </row>
    <row r="14" spans="1:17">
      <c r="A14" s="3193"/>
      <c r="B14" s="3194"/>
      <c r="C14" s="3195" t="s">
        <v>3036</v>
      </c>
      <c r="D14" s="3"/>
      <c r="E14" s="3"/>
      <c r="F14" s="3"/>
      <c r="G14" s="3"/>
      <c r="H14" s="3"/>
      <c r="I14" s="3"/>
      <c r="J14" s="3"/>
      <c r="K14" s="3"/>
      <c r="L14" s="3"/>
      <c r="M14" s="3193"/>
      <c r="N14" s="3193"/>
      <c r="O14" s="3193"/>
      <c r="P14" s="3193"/>
      <c r="Q14" s="3193"/>
    </row>
    <row r="15" spans="1:17">
      <c r="A15" s="3193"/>
      <c r="B15" s="3194"/>
      <c r="C15" s="3"/>
      <c r="D15" s="3"/>
      <c r="E15" s="3"/>
      <c r="F15" s="3"/>
      <c r="G15" s="3"/>
      <c r="H15" s="3"/>
      <c r="I15" s="3"/>
      <c r="J15" s="3"/>
      <c r="K15" s="3"/>
      <c r="L15" s="3"/>
      <c r="M15" s="3193"/>
      <c r="N15" s="3193"/>
      <c r="O15" s="3193"/>
      <c r="P15" s="3193"/>
      <c r="Q15" s="3193"/>
    </row>
    <row r="16" spans="1:17">
      <c r="A16" s="3193"/>
      <c r="B16" s="3194"/>
      <c r="C16" s="3196" t="s">
        <v>733</v>
      </c>
      <c r="D16" s="3197" t="s">
        <v>734</v>
      </c>
      <c r="E16" s="3198" t="s">
        <v>735</v>
      </c>
      <c r="F16" s="3198" t="s">
        <v>736</v>
      </c>
      <c r="G16" s="3"/>
      <c r="H16" s="3"/>
      <c r="I16" s="3"/>
      <c r="J16" s="3"/>
      <c r="K16" s="3"/>
      <c r="L16" s="3"/>
      <c r="M16" s="3193"/>
      <c r="N16" s="3199" t="s">
        <v>651</v>
      </c>
      <c r="O16" s="3193"/>
      <c r="P16" s="3193"/>
      <c r="Q16" s="3193"/>
    </row>
    <row r="17" spans="1:17">
      <c r="A17" s="3193"/>
      <c r="B17" s="3194"/>
      <c r="C17" s="3"/>
      <c r="D17" s="3"/>
      <c r="E17" s="3"/>
      <c r="F17" s="3"/>
      <c r="G17" s="3"/>
      <c r="H17" s="3"/>
      <c r="I17" s="3"/>
      <c r="J17" s="3"/>
      <c r="K17" s="3"/>
      <c r="L17" s="3"/>
      <c r="M17" s="3193"/>
      <c r="N17" s="3193"/>
      <c r="O17" s="3193"/>
      <c r="P17" s="3193"/>
      <c r="Q17" s="3193"/>
    </row>
    <row r="18" spans="1:17" ht="15.75">
      <c r="A18" s="3193"/>
      <c r="B18" s="3"/>
      <c r="C18" s="3200" t="s">
        <v>737</v>
      </c>
      <c r="D18" s="3201"/>
      <c r="E18" s="3201"/>
      <c r="F18" s="3"/>
      <c r="G18" s="3"/>
      <c r="H18" s="3"/>
      <c r="I18" s="3"/>
      <c r="J18" s="3"/>
      <c r="K18" s="3"/>
      <c r="L18" s="3"/>
      <c r="M18" s="3193"/>
      <c r="N18" s="3202" t="s">
        <v>55</v>
      </c>
      <c r="O18" s="3193"/>
      <c r="P18" s="3193"/>
      <c r="Q18" s="3193"/>
    </row>
    <row r="19" spans="1:17" ht="15.75">
      <c r="A19" s="3193"/>
      <c r="B19" s="3"/>
      <c r="C19" s="3203"/>
      <c r="D19" s="3204"/>
      <c r="E19" s="3205">
        <v>1050</v>
      </c>
      <c r="F19" s="3206" t="s">
        <v>738</v>
      </c>
      <c r="G19" s="3193"/>
      <c r="H19" s="3"/>
      <c r="I19" s="3"/>
      <c r="J19" s="3"/>
      <c r="K19" s="3"/>
      <c r="L19" s="3"/>
      <c r="M19" s="3193"/>
      <c r="N19" s="3202" t="s">
        <v>44</v>
      </c>
      <c r="O19" s="3207" t="s">
        <v>643</v>
      </c>
      <c r="P19" s="3193"/>
      <c r="Q19" s="3193"/>
    </row>
    <row r="20" spans="1:17" ht="15.75">
      <c r="A20" s="3193"/>
      <c r="B20" s="3"/>
      <c r="C20" s="3203"/>
      <c r="D20" s="3204"/>
      <c r="E20" s="3205">
        <v>400</v>
      </c>
      <c r="F20" s="3206" t="s">
        <v>739</v>
      </c>
      <c r="G20" s="3193"/>
      <c r="H20" s="3"/>
      <c r="I20" s="3"/>
      <c r="J20" s="3"/>
      <c r="K20" s="3"/>
      <c r="L20" s="3"/>
      <c r="M20" s="3193"/>
      <c r="N20" s="3202" t="s">
        <v>46</v>
      </c>
      <c r="O20" s="3193"/>
      <c r="P20" s="3193"/>
      <c r="Q20" s="3193"/>
    </row>
    <row r="21" spans="1:17" ht="15.75">
      <c r="A21" s="3193"/>
      <c r="B21" s="3"/>
      <c r="C21" s="3208"/>
      <c r="D21" s="3208"/>
      <c r="E21" s="3208"/>
      <c r="F21" s="3"/>
      <c r="G21" s="3"/>
      <c r="H21" s="3"/>
      <c r="I21" s="3"/>
      <c r="J21" s="3"/>
      <c r="K21" s="3"/>
      <c r="L21" s="3"/>
      <c r="M21" s="3193"/>
      <c r="N21" s="3202" t="s">
        <v>457</v>
      </c>
      <c r="O21" s="3193"/>
      <c r="P21" s="3193"/>
      <c r="Q21" s="3193"/>
    </row>
    <row r="22" spans="1:17" ht="20.25">
      <c r="A22" s="3193"/>
      <c r="B22" s="3"/>
      <c r="C22" s="3209" t="s">
        <v>3037</v>
      </c>
      <c r="D22" s="376"/>
      <c r="E22" s="376"/>
      <c r="F22" s="3210"/>
      <c r="G22" s="3210"/>
      <c r="H22" s="3210"/>
      <c r="I22" s="3210"/>
      <c r="J22" s="3"/>
      <c r="K22" s="3"/>
      <c r="L22" s="3"/>
      <c r="M22" s="3193"/>
      <c r="N22" s="3202" t="s">
        <v>469</v>
      </c>
      <c r="O22" s="3193"/>
      <c r="P22" s="3193"/>
      <c r="Q22" s="3193"/>
    </row>
    <row r="23" spans="1:17" ht="15.75">
      <c r="A23" s="3193"/>
      <c r="B23" s="3"/>
      <c r="C23" s="376" t="s">
        <v>740</v>
      </c>
      <c r="D23" s="3201"/>
      <c r="E23" s="3201"/>
      <c r="F23" s="3"/>
      <c r="G23" s="3"/>
      <c r="H23" s="3"/>
      <c r="I23" s="3"/>
      <c r="J23" s="3"/>
      <c r="K23" s="3"/>
      <c r="L23" s="3"/>
      <c r="M23" s="3193"/>
      <c r="N23" s="3202" t="s">
        <v>464</v>
      </c>
      <c r="O23" s="3193"/>
      <c r="P23" s="3193"/>
      <c r="Q23" s="3193"/>
    </row>
    <row r="24" spans="1:17" ht="15.75">
      <c r="A24" s="3193"/>
      <c r="B24" s="3"/>
      <c r="C24" s="376"/>
      <c r="D24" s="3201"/>
      <c r="E24" s="3201"/>
      <c r="F24" s="3"/>
      <c r="G24" s="3"/>
      <c r="H24" s="376"/>
      <c r="I24" s="3"/>
      <c r="J24" s="3"/>
      <c r="K24" s="3"/>
      <c r="L24" s="3"/>
      <c r="M24" s="3193"/>
      <c r="N24" s="3202" t="s">
        <v>461</v>
      </c>
      <c r="O24" s="3193"/>
      <c r="P24" s="3193"/>
      <c r="Q24" s="3193"/>
    </row>
    <row r="25" spans="1:17" ht="15.75">
      <c r="A25" s="3193"/>
      <c r="B25" s="3"/>
      <c r="C25" s="3196" t="s">
        <v>733</v>
      </c>
      <c r="D25" s="3197" t="s">
        <v>734</v>
      </c>
      <c r="E25" s="3198" t="s">
        <v>735</v>
      </c>
      <c r="F25" s="3198" t="s">
        <v>736</v>
      </c>
      <c r="G25" s="3"/>
      <c r="H25" s="3"/>
      <c r="I25" s="3"/>
      <c r="J25" s="3"/>
      <c r="K25" s="3"/>
      <c r="L25" s="3"/>
      <c r="M25" s="3193"/>
      <c r="N25" s="3202" t="s">
        <v>455</v>
      </c>
      <c r="O25" s="3193"/>
      <c r="P25" s="3193"/>
      <c r="Q25" s="3193"/>
    </row>
    <row r="26" spans="1:17" ht="15.75">
      <c r="A26" s="3193"/>
      <c r="B26" s="3"/>
      <c r="C26" s="3203">
        <v>2</v>
      </c>
      <c r="D26" s="3211" t="s">
        <v>741</v>
      </c>
      <c r="E26" s="3205">
        <v>50</v>
      </c>
      <c r="F26" s="3212" t="s">
        <v>742</v>
      </c>
      <c r="G26" s="3"/>
      <c r="H26" s="3"/>
      <c r="I26" s="3"/>
      <c r="J26" s="3"/>
      <c r="K26" s="3"/>
      <c r="L26" s="3"/>
      <c r="M26" s="3193"/>
      <c r="N26" s="3202" t="s">
        <v>467</v>
      </c>
      <c r="O26" s="3193"/>
      <c r="P26" s="3193"/>
      <c r="Q26" s="3193"/>
    </row>
    <row r="27" spans="1:17" ht="15.75">
      <c r="A27" s="3193"/>
      <c r="B27" s="3"/>
      <c r="C27" s="661" t="s">
        <v>743</v>
      </c>
      <c r="D27" s="376"/>
      <c r="E27" s="3212"/>
      <c r="F27" s="3212"/>
      <c r="G27" s="3"/>
      <c r="H27" s="3"/>
      <c r="I27" s="3"/>
      <c r="J27" s="3"/>
      <c r="K27" s="3"/>
      <c r="L27" s="3"/>
      <c r="M27" s="3193"/>
      <c r="N27" s="3202" t="s">
        <v>459</v>
      </c>
      <c r="O27" s="3193"/>
      <c r="P27" s="3193"/>
      <c r="Q27" s="3193"/>
    </row>
    <row r="28" spans="1:17" ht="15.75">
      <c r="A28" s="3193"/>
      <c r="B28" s="3"/>
      <c r="C28" s="376" t="s">
        <v>744</v>
      </c>
      <c r="D28" s="3193"/>
      <c r="E28" s="3206"/>
      <c r="F28" s="3212"/>
      <c r="G28" s="3"/>
      <c r="H28" s="3"/>
      <c r="I28" s="3"/>
      <c r="J28" s="3"/>
      <c r="K28" s="3"/>
      <c r="L28" s="3"/>
      <c r="M28" s="3193"/>
      <c r="N28" s="3202" t="s">
        <v>601</v>
      </c>
      <c r="O28" s="3193"/>
      <c r="P28" s="3193"/>
      <c r="Q28" s="3193"/>
    </row>
    <row r="29" spans="1:17" ht="15.75">
      <c r="A29" s="3193"/>
      <c r="B29" s="3"/>
      <c r="C29" s="376"/>
      <c r="D29" s="3212"/>
      <c r="E29" s="3212"/>
      <c r="F29" s="3212"/>
      <c r="G29" s="3"/>
      <c r="H29" s="3"/>
      <c r="I29" s="3"/>
      <c r="J29" s="3"/>
      <c r="K29" s="3"/>
      <c r="L29" s="3"/>
      <c r="M29" s="3193"/>
      <c r="N29" s="3202" t="s">
        <v>600</v>
      </c>
      <c r="O29" s="3193"/>
      <c r="P29" s="3193"/>
      <c r="Q29" s="3193"/>
    </row>
    <row r="30" spans="1:17" ht="20.25">
      <c r="A30" s="3193"/>
      <c r="B30" s="3"/>
      <c r="C30" s="3209" t="s">
        <v>745</v>
      </c>
      <c r="E30" s="3212"/>
      <c r="F30" s="3212"/>
      <c r="G30" s="3"/>
      <c r="H30" s="3"/>
      <c r="I30" s="3"/>
      <c r="J30" s="3"/>
      <c r="K30" s="3"/>
      <c r="L30" s="3"/>
      <c r="M30" s="3193"/>
      <c r="N30" s="3202" t="s">
        <v>599</v>
      </c>
      <c r="O30" s="3193"/>
      <c r="P30" s="3193"/>
      <c r="Q30" s="3193"/>
    </row>
    <row r="31" spans="1:17" ht="15.75">
      <c r="A31" s="3193"/>
      <c r="B31" s="3"/>
      <c r="C31" s="376" t="s">
        <v>746</v>
      </c>
      <c r="D31" s="3193"/>
      <c r="E31" s="3206"/>
      <c r="F31" s="3212"/>
      <c r="G31" s="3"/>
      <c r="H31" s="3"/>
      <c r="I31" s="3"/>
      <c r="J31" s="3"/>
      <c r="K31" s="3"/>
      <c r="L31" s="3"/>
      <c r="M31" s="3193"/>
      <c r="N31" s="3202" t="s">
        <v>598</v>
      </c>
      <c r="O31" s="3193"/>
      <c r="P31" s="3193"/>
      <c r="Q31" s="3193"/>
    </row>
    <row r="32" spans="1:17" ht="15.75">
      <c r="A32" s="3193"/>
      <c r="B32" s="3"/>
      <c r="C32" s="376" t="s">
        <v>747</v>
      </c>
      <c r="D32" s="3193"/>
      <c r="E32" s="3206"/>
      <c r="F32" s="3212"/>
      <c r="G32" s="3"/>
      <c r="H32" s="3"/>
      <c r="I32" s="3"/>
      <c r="J32" s="3"/>
      <c r="K32" s="3"/>
      <c r="L32" s="3"/>
      <c r="M32" s="3193"/>
      <c r="N32" s="3202" t="s">
        <v>639</v>
      </c>
      <c r="O32" s="3193"/>
      <c r="P32" s="3193"/>
      <c r="Q32" s="3193"/>
    </row>
    <row r="33" spans="1:17" ht="15.75">
      <c r="A33" s="3193"/>
      <c r="B33" s="3"/>
      <c r="C33" s="3201" t="s">
        <v>748</v>
      </c>
      <c r="D33" s="3193"/>
      <c r="E33" s="3206"/>
      <c r="F33" s="3212"/>
      <c r="G33" s="3"/>
      <c r="H33" s="3"/>
      <c r="I33" s="3"/>
      <c r="J33" s="3"/>
      <c r="K33" s="3"/>
      <c r="L33" s="3"/>
      <c r="M33" s="3193"/>
      <c r="N33" s="3202" t="s">
        <v>638</v>
      </c>
      <c r="O33" s="3193"/>
      <c r="P33" s="3193"/>
      <c r="Q33" s="3193"/>
    </row>
    <row r="34" spans="1:17" ht="15.75">
      <c r="A34" s="3193"/>
      <c r="B34" s="3"/>
      <c r="C34" s="3201" t="s">
        <v>749</v>
      </c>
      <c r="D34" s="3193"/>
      <c r="E34" s="3206"/>
      <c r="F34" s="3212"/>
      <c r="G34" s="3"/>
      <c r="H34" s="3193"/>
      <c r="I34" s="3193"/>
      <c r="J34" s="3193"/>
      <c r="K34" s="3"/>
      <c r="L34" s="3"/>
      <c r="M34" s="3193"/>
      <c r="N34" s="3202" t="s">
        <v>637</v>
      </c>
      <c r="O34" s="3193"/>
      <c r="P34" s="3193"/>
      <c r="Q34" s="3193"/>
    </row>
    <row r="35" spans="1:17" ht="15.75">
      <c r="A35" s="3193"/>
      <c r="B35" s="3"/>
      <c r="C35" s="376"/>
      <c r="E35" s="3212"/>
      <c r="F35" s="3212"/>
      <c r="G35" s="3"/>
      <c r="H35" s="3"/>
      <c r="I35" s="3"/>
      <c r="J35" s="3"/>
      <c r="K35" s="3"/>
      <c r="L35" s="3"/>
      <c r="M35" s="3193"/>
      <c r="N35" s="3202" t="s">
        <v>636</v>
      </c>
      <c r="O35" s="3193"/>
      <c r="P35" s="3193"/>
      <c r="Q35" s="3193"/>
    </row>
    <row r="36" spans="1:17" ht="18.75">
      <c r="A36" s="3193"/>
      <c r="B36" s="3"/>
      <c r="C36" s="3196" t="s">
        <v>733</v>
      </c>
      <c r="D36" s="3197" t="s">
        <v>734</v>
      </c>
      <c r="E36" s="3198" t="s">
        <v>735</v>
      </c>
      <c r="F36" s="3198" t="s">
        <v>736</v>
      </c>
      <c r="G36" s="3"/>
      <c r="H36" s="3213" t="s">
        <v>750</v>
      </c>
      <c r="I36" s="3"/>
      <c r="J36" s="3"/>
      <c r="K36" s="3195" t="s">
        <v>751</v>
      </c>
      <c r="L36" s="3"/>
      <c r="M36" s="3193"/>
      <c r="N36" s="3202" t="s">
        <v>633</v>
      </c>
      <c r="O36" s="3193"/>
      <c r="P36" s="3193"/>
      <c r="Q36" s="3193"/>
    </row>
    <row r="37" spans="1:17" ht="15.75">
      <c r="A37" s="3193"/>
      <c r="B37" s="3"/>
      <c r="C37" s="3203">
        <v>2</v>
      </c>
      <c r="D37" s="3211" t="s">
        <v>741</v>
      </c>
      <c r="E37" s="3205"/>
      <c r="F37" s="3212" t="s">
        <v>742</v>
      </c>
      <c r="G37" s="3214">
        <v>2</v>
      </c>
      <c r="H37" s="3215" t="s">
        <v>741</v>
      </c>
      <c r="I37" s="3216">
        <v>0.05</v>
      </c>
      <c r="J37" s="3217">
        <v>2</v>
      </c>
      <c r="K37" s="3218" t="s">
        <v>741</v>
      </c>
      <c r="L37" s="3219">
        <v>0.05</v>
      </c>
      <c r="M37" s="3220" t="s">
        <v>742</v>
      </c>
      <c r="N37" s="3202" t="s">
        <v>632</v>
      </c>
      <c r="O37" s="3193"/>
      <c r="P37" s="3193"/>
      <c r="Q37" s="3193"/>
    </row>
    <row r="38" spans="1:17" ht="15.75">
      <c r="A38" s="3193"/>
      <c r="B38" s="3"/>
      <c r="C38" s="3203">
        <v>5</v>
      </c>
      <c r="D38" s="3204" t="s">
        <v>752</v>
      </c>
      <c r="E38" s="3205"/>
      <c r="F38" s="3212" t="s">
        <v>753</v>
      </c>
      <c r="G38" s="3214">
        <v>5</v>
      </c>
      <c r="H38" s="3215" t="s">
        <v>752</v>
      </c>
      <c r="I38" s="3216"/>
      <c r="J38" s="3217">
        <v>5</v>
      </c>
      <c r="K38" s="3218" t="s">
        <v>752</v>
      </c>
      <c r="L38" s="3219"/>
      <c r="M38" s="3220" t="s">
        <v>753</v>
      </c>
      <c r="N38" s="3193"/>
      <c r="O38" s="3193"/>
      <c r="P38" s="3193"/>
      <c r="Q38" s="3193"/>
    </row>
    <row r="39" spans="1:17" ht="18.75">
      <c r="A39" s="3193"/>
      <c r="B39" s="3"/>
      <c r="C39" s="3221">
        <v>1</v>
      </c>
      <c r="D39" s="3222" t="s">
        <v>754</v>
      </c>
      <c r="E39" s="3223"/>
      <c r="F39" s="3212" t="s">
        <v>755</v>
      </c>
      <c r="G39" s="3214">
        <v>1</v>
      </c>
      <c r="H39" s="3215" t="s">
        <v>754</v>
      </c>
      <c r="I39" s="3216"/>
      <c r="J39" s="3217">
        <v>1</v>
      </c>
      <c r="K39" s="3218" t="s">
        <v>754</v>
      </c>
      <c r="L39" s="3219"/>
      <c r="M39" s="3220" t="s">
        <v>755</v>
      </c>
      <c r="N39" s="3193"/>
      <c r="O39" s="3224" t="s">
        <v>652</v>
      </c>
      <c r="P39" s="3193"/>
      <c r="Q39" s="3193"/>
    </row>
    <row r="40" spans="1:17" ht="18.75">
      <c r="A40" s="3193"/>
      <c r="B40" s="3"/>
      <c r="C40" s="3203">
        <v>1</v>
      </c>
      <c r="D40" s="3204" t="s">
        <v>756</v>
      </c>
      <c r="E40" s="3205"/>
      <c r="F40" s="3212" t="s">
        <v>757</v>
      </c>
      <c r="G40" s="3214">
        <v>1</v>
      </c>
      <c r="H40" s="3215" t="s">
        <v>756</v>
      </c>
      <c r="I40" s="3216"/>
      <c r="J40" s="3217">
        <v>1</v>
      </c>
      <c r="K40" s="3218" t="s">
        <v>756</v>
      </c>
      <c r="L40" s="3219"/>
      <c r="M40" s="3220" t="s">
        <v>757</v>
      </c>
      <c r="O40" s="3225" t="s">
        <v>649</v>
      </c>
      <c r="P40" s="3193"/>
      <c r="Q40" s="3193"/>
    </row>
    <row r="41" spans="1:17" ht="18.75">
      <c r="A41" s="3193"/>
      <c r="B41" s="3"/>
      <c r="C41" s="3203">
        <v>1</v>
      </c>
      <c r="D41" s="3204" t="s">
        <v>758</v>
      </c>
      <c r="E41" s="3205"/>
      <c r="F41" s="3212" t="s">
        <v>759</v>
      </c>
      <c r="G41" s="3214">
        <v>1</v>
      </c>
      <c r="H41" s="3215" t="s">
        <v>758</v>
      </c>
      <c r="I41" s="3216"/>
      <c r="J41" s="3217">
        <v>1</v>
      </c>
      <c r="K41" s="3218" t="s">
        <v>758</v>
      </c>
      <c r="L41" s="3219"/>
      <c r="M41" s="3220" t="s">
        <v>759</v>
      </c>
      <c r="N41" s="3"/>
      <c r="O41" s="3226" t="s">
        <v>647</v>
      </c>
      <c r="P41" s="3193"/>
      <c r="Q41" s="3193"/>
    </row>
    <row r="42" spans="1:17" ht="18.75">
      <c r="A42" s="3193"/>
      <c r="B42" s="3"/>
      <c r="C42" s="3201"/>
      <c r="D42" s="3212"/>
      <c r="E42" s="3212"/>
      <c r="F42" s="3212"/>
      <c r="G42" s="3"/>
      <c r="H42" s="3"/>
      <c r="I42" s="3"/>
      <c r="J42" s="3"/>
      <c r="K42" s="3"/>
      <c r="L42" s="3"/>
      <c r="M42" s="3193"/>
      <c r="N42" s="3227" t="s">
        <v>645</v>
      </c>
      <c r="O42" s="3227" t="s">
        <v>644</v>
      </c>
      <c r="P42" s="3193"/>
      <c r="Q42" s="3193"/>
    </row>
    <row r="43" spans="1:17">
      <c r="A43" s="3193"/>
      <c r="B43" s="3"/>
      <c r="C43" s="3195" t="s">
        <v>760</v>
      </c>
      <c r="D43" s="3212"/>
      <c r="E43" s="3212"/>
      <c r="F43" s="3212"/>
      <c r="G43" s="3"/>
      <c r="H43" s="3"/>
      <c r="I43" s="3"/>
      <c r="J43" s="3"/>
      <c r="K43" s="3"/>
      <c r="L43" s="3"/>
      <c r="M43" s="3"/>
      <c r="N43" s="3"/>
      <c r="O43" s="3193"/>
      <c r="P43" s="3193"/>
      <c r="Q43" s="3193"/>
    </row>
    <row r="44" spans="1:17">
      <c r="A44" s="3193"/>
      <c r="B44" s="3"/>
      <c r="C44" s="3201" t="s">
        <v>761</v>
      </c>
      <c r="D44" s="3212"/>
      <c r="E44" s="3212"/>
      <c r="F44" s="3212"/>
      <c r="G44" s="3"/>
      <c r="H44" s="3"/>
      <c r="I44" s="3"/>
      <c r="J44" s="3"/>
      <c r="K44" s="3"/>
      <c r="L44" s="3"/>
      <c r="M44" s="6568" t="s">
        <v>635</v>
      </c>
      <c r="N44" s="6569"/>
      <c r="O44" s="6569"/>
      <c r="P44" s="6570"/>
      <c r="Q44" s="3193"/>
    </row>
    <row r="45" spans="1:17" ht="15.75">
      <c r="A45" s="3193"/>
      <c r="B45" s="3"/>
      <c r="C45" s="3203">
        <v>0.5</v>
      </c>
      <c r="D45" s="3204" t="s">
        <v>295</v>
      </c>
      <c r="E45" s="3205"/>
      <c r="F45" s="3212" t="s">
        <v>762</v>
      </c>
      <c r="G45" s="3"/>
      <c r="H45" s="3204" t="s">
        <v>752</v>
      </c>
      <c r="I45" s="3212" t="s">
        <v>763</v>
      </c>
      <c r="J45" s="3"/>
      <c r="K45" s="3"/>
      <c r="L45" s="3"/>
      <c r="M45" s="6571"/>
      <c r="N45" s="6572"/>
      <c r="O45" s="6572"/>
      <c r="P45" s="6573"/>
      <c r="Q45" s="3193"/>
    </row>
    <row r="46" spans="1:17" ht="15.75">
      <c r="A46" s="3193"/>
      <c r="B46" s="3"/>
      <c r="C46" s="3203">
        <v>0.25</v>
      </c>
      <c r="D46" s="3204" t="s">
        <v>764</v>
      </c>
      <c r="E46" s="3205"/>
      <c r="F46" s="3212" t="s">
        <v>765</v>
      </c>
      <c r="G46" s="3"/>
      <c r="H46" s="3204" t="s">
        <v>766</v>
      </c>
      <c r="I46" s="3212" t="s">
        <v>767</v>
      </c>
      <c r="J46" s="3"/>
      <c r="K46" s="3"/>
      <c r="L46" s="3"/>
      <c r="M46" s="6571"/>
      <c r="N46" s="6572"/>
      <c r="O46" s="6572"/>
      <c r="P46" s="6573"/>
      <c r="Q46" s="3193"/>
    </row>
    <row r="47" spans="1:17" ht="15" customHeight="1">
      <c r="A47" s="3193"/>
      <c r="B47" s="3"/>
      <c r="C47" s="3201"/>
      <c r="D47" s="3201"/>
      <c r="E47" s="3201"/>
      <c r="F47" s="3"/>
      <c r="G47" s="3"/>
      <c r="H47" s="3"/>
      <c r="I47" s="3"/>
      <c r="J47" s="3"/>
      <c r="K47" s="3"/>
      <c r="L47" s="3"/>
      <c r="M47" s="6571"/>
      <c r="N47" s="6572"/>
      <c r="O47" s="6572"/>
      <c r="P47" s="6573"/>
      <c r="Q47" s="3193"/>
    </row>
    <row r="48" spans="1:17" ht="15" customHeight="1">
      <c r="A48" s="3193"/>
      <c r="B48" s="3"/>
      <c r="C48" s="3195" t="s">
        <v>653</v>
      </c>
      <c r="D48" s="3201"/>
      <c r="E48" s="3201"/>
      <c r="F48" s="3"/>
      <c r="G48" s="3"/>
      <c r="H48" s="3"/>
      <c r="I48" s="3"/>
      <c r="J48" s="3"/>
      <c r="K48" s="3"/>
      <c r="L48" s="3"/>
      <c r="M48" s="6571"/>
      <c r="N48" s="6572"/>
      <c r="O48" s="6572"/>
      <c r="P48" s="6573"/>
      <c r="Q48" s="3193"/>
    </row>
    <row r="49" spans="1:17" ht="15" customHeight="1">
      <c r="A49" s="3193"/>
      <c r="B49" s="3"/>
      <c r="C49" s="3195" t="s">
        <v>650</v>
      </c>
      <c r="D49" s="3201"/>
      <c r="E49" s="3201"/>
      <c r="F49" s="3"/>
      <c r="G49" s="3"/>
      <c r="H49" s="3"/>
      <c r="I49" s="3"/>
      <c r="J49" s="3"/>
      <c r="K49" s="3"/>
      <c r="L49" s="3"/>
      <c r="M49" s="6574"/>
      <c r="N49" s="6575"/>
      <c r="O49" s="6575"/>
      <c r="P49" s="6576"/>
      <c r="Q49" s="3193"/>
    </row>
    <row r="50" spans="1:17" ht="15" customHeight="1">
      <c r="A50" s="3193"/>
      <c r="B50" s="3"/>
      <c r="C50" s="376" t="s">
        <v>648</v>
      </c>
      <c r="D50" s="376"/>
      <c r="E50" s="376"/>
      <c r="F50" s="376"/>
      <c r="G50" s="376"/>
      <c r="H50" s="376"/>
      <c r="I50" s="376"/>
      <c r="J50" s="3"/>
      <c r="K50" s="3"/>
      <c r="L50" s="3"/>
      <c r="M50" s="3193"/>
      <c r="N50" s="3193"/>
      <c r="O50" s="3193"/>
      <c r="P50" s="3193"/>
      <c r="Q50" s="3193"/>
    </row>
    <row r="51" spans="1:17" ht="15" customHeight="1">
      <c r="A51" s="3193"/>
      <c r="B51" s="3"/>
      <c r="C51" s="376"/>
      <c r="D51" s="376" t="s">
        <v>646</v>
      </c>
      <c r="E51" s="376"/>
      <c r="F51" s="376"/>
      <c r="G51" s="376"/>
      <c r="H51" s="376"/>
      <c r="I51" s="376"/>
      <c r="J51" s="3"/>
      <c r="K51" s="3"/>
      <c r="L51" s="3"/>
      <c r="M51" s="6577" t="s">
        <v>634</v>
      </c>
      <c r="N51" s="6578"/>
      <c r="O51" s="6578"/>
      <c r="P51" s="6579"/>
      <c r="Q51" s="3193"/>
    </row>
    <row r="52" spans="1:17" ht="15" customHeight="1">
      <c r="A52" s="3193"/>
      <c r="B52" s="3"/>
      <c r="C52" s="376"/>
      <c r="D52" s="376" t="s">
        <v>642</v>
      </c>
      <c r="E52" s="376"/>
      <c r="F52" s="376"/>
      <c r="G52" s="376"/>
      <c r="H52" s="376"/>
      <c r="I52" s="376"/>
      <c r="J52" s="3"/>
      <c r="K52" s="3"/>
      <c r="L52" s="3"/>
      <c r="M52" s="6580"/>
      <c r="N52" s="6581"/>
      <c r="O52" s="6581"/>
      <c r="P52" s="6582"/>
      <c r="Q52" s="3193"/>
    </row>
    <row r="53" spans="1:17" ht="15" customHeight="1">
      <c r="A53" s="3193"/>
      <c r="B53" s="3"/>
      <c r="C53" s="376"/>
      <c r="D53" s="376" t="s">
        <v>641</v>
      </c>
      <c r="E53" s="376"/>
      <c r="F53" s="376"/>
      <c r="G53" s="376"/>
      <c r="H53" s="376"/>
      <c r="I53" s="376"/>
      <c r="J53" s="3"/>
      <c r="K53" s="3"/>
      <c r="L53" s="3193"/>
      <c r="M53" s="6580"/>
      <c r="N53" s="6581"/>
      <c r="O53" s="6581"/>
      <c r="P53" s="6582"/>
      <c r="Q53" s="3193"/>
    </row>
    <row r="54" spans="1:17" ht="15" customHeight="1">
      <c r="A54" s="3193"/>
      <c r="B54" s="3"/>
      <c r="C54" s="376"/>
      <c r="D54" s="376" t="s">
        <v>640</v>
      </c>
      <c r="E54" s="376"/>
      <c r="F54" s="376"/>
      <c r="G54" s="376"/>
      <c r="H54" s="376"/>
      <c r="I54" s="376"/>
      <c r="J54" s="3"/>
      <c r="K54" s="3"/>
      <c r="L54" s="3193"/>
      <c r="M54" s="6583"/>
      <c r="N54" s="6584"/>
      <c r="O54" s="6584"/>
      <c r="P54" s="6585"/>
      <c r="Q54" s="3193"/>
    </row>
    <row r="55" spans="1:17" ht="15" customHeight="1">
      <c r="A55" s="3193"/>
      <c r="B55" s="3"/>
      <c r="C55" s="376"/>
      <c r="D55" s="376"/>
      <c r="E55" s="376"/>
      <c r="F55" s="376"/>
      <c r="G55" s="376"/>
      <c r="H55" s="376"/>
      <c r="I55" s="376"/>
      <c r="J55" s="3"/>
      <c r="K55" s="3"/>
      <c r="L55" s="3193"/>
      <c r="M55" s="3193"/>
      <c r="N55" s="3193"/>
      <c r="O55" s="3193"/>
      <c r="P55" s="3193"/>
      <c r="Q55" s="3193"/>
    </row>
    <row r="56" spans="1:17">
      <c r="A56" s="3228"/>
      <c r="B56" s="5"/>
      <c r="C56" s="6"/>
      <c r="D56" s="6"/>
      <c r="E56" s="6"/>
      <c r="F56" s="6"/>
      <c r="G56" s="6"/>
      <c r="H56" s="6"/>
      <c r="I56" s="6"/>
      <c r="J56" s="5"/>
      <c r="K56" s="5"/>
      <c r="L56" s="5"/>
      <c r="M56" s="3228"/>
      <c r="N56" s="3228"/>
      <c r="O56" s="3228"/>
      <c r="P56" s="3228"/>
      <c r="Q56" s="3228"/>
    </row>
    <row r="57" spans="1:17" ht="15" customHeight="1">
      <c r="B57" s="3193"/>
      <c r="C57" s="3193"/>
      <c r="D57" s="3193"/>
      <c r="E57" s="356"/>
      <c r="F57" s="356"/>
      <c r="G57" s="3193"/>
      <c r="H57" s="3193"/>
      <c r="I57" s="3193"/>
      <c r="J57" s="3193"/>
      <c r="K57" s="3193"/>
      <c r="L57" s="3193"/>
      <c r="M57" s="3193"/>
      <c r="N57" s="3193"/>
      <c r="O57" s="3193"/>
      <c r="P57" s="3193"/>
      <c r="Q57" s="3193"/>
    </row>
    <row r="58" spans="1:17" ht="15" customHeight="1">
      <c r="A58" s="3193"/>
      <c r="B58" s="356"/>
      <c r="C58" s="485" t="s">
        <v>631</v>
      </c>
      <c r="D58" s="3193"/>
      <c r="E58" s="356"/>
      <c r="F58" s="356"/>
      <c r="G58" s="3193"/>
      <c r="H58" s="3193"/>
      <c r="I58" s="3193"/>
      <c r="J58" s="3193"/>
      <c r="K58" s="3193"/>
      <c r="L58" s="3193"/>
      <c r="M58" s="3193"/>
      <c r="N58" s="3193"/>
      <c r="O58" s="3193"/>
      <c r="P58" s="3193"/>
      <c r="Q58" s="3193"/>
    </row>
    <row r="59" spans="1:17" ht="15" customHeight="1">
      <c r="A59" s="3193"/>
      <c r="B59" s="352" t="s">
        <v>365</v>
      </c>
      <c r="C59" s="483" t="s">
        <v>630</v>
      </c>
      <c r="D59" s="3193"/>
      <c r="E59" s="483"/>
      <c r="F59" s="483"/>
      <c r="G59" s="376"/>
      <c r="H59" s="3193"/>
      <c r="I59" s="3193"/>
      <c r="J59" s="3193"/>
      <c r="K59" s="3193"/>
      <c r="L59" s="3193"/>
      <c r="M59" s="6586" t="s">
        <v>629</v>
      </c>
      <c r="N59" s="6587"/>
      <c r="O59" s="6587"/>
      <c r="P59" s="6588"/>
      <c r="Q59" s="3193"/>
    </row>
    <row r="60" spans="1:17" ht="21">
      <c r="A60" s="3193"/>
      <c r="B60" s="486"/>
      <c r="C60" s="486"/>
      <c r="D60" s="3193"/>
      <c r="E60" s="483"/>
      <c r="F60" s="483"/>
      <c r="G60" s="376"/>
      <c r="H60" s="3193"/>
      <c r="I60" s="3193"/>
      <c r="J60" s="3193"/>
      <c r="K60" s="3193"/>
      <c r="L60" s="3193"/>
      <c r="M60" s="6589"/>
      <c r="N60" s="6590"/>
      <c r="O60" s="6590"/>
      <c r="P60" s="6591"/>
      <c r="Q60" s="3193"/>
    </row>
    <row r="61" spans="1:17" ht="15" customHeight="1">
      <c r="A61" s="3193"/>
      <c r="B61" s="352" t="s">
        <v>365</v>
      </c>
      <c r="C61" s="5259" t="s">
        <v>628</v>
      </c>
      <c r="D61" s="5259"/>
      <c r="E61" s="5259"/>
      <c r="F61" s="5259"/>
      <c r="G61" s="5259"/>
      <c r="H61" s="5259"/>
      <c r="I61" s="376"/>
      <c r="J61" s="3"/>
      <c r="K61" s="3193"/>
      <c r="L61" s="3193"/>
      <c r="M61" s="6589"/>
      <c r="N61" s="6590"/>
      <c r="O61" s="6590"/>
      <c r="P61" s="6591"/>
      <c r="Q61" s="3193"/>
    </row>
    <row r="62" spans="1:17" ht="21">
      <c r="A62" s="3193"/>
      <c r="B62" s="486"/>
      <c r="C62" s="356"/>
      <c r="D62" s="3193"/>
      <c r="E62" s="356"/>
      <c r="F62" s="356"/>
      <c r="G62" s="376"/>
      <c r="H62" s="376"/>
      <c r="I62" s="376"/>
      <c r="J62" s="3"/>
      <c r="K62" s="3193"/>
      <c r="L62" s="3193"/>
      <c r="M62" s="6589"/>
      <c r="N62" s="6590"/>
      <c r="O62" s="6590"/>
      <c r="P62" s="6591"/>
      <c r="Q62" s="3193"/>
    </row>
    <row r="63" spans="1:17" ht="21">
      <c r="A63" s="3193"/>
      <c r="B63" s="356"/>
      <c r="C63" s="485" t="s">
        <v>627</v>
      </c>
      <c r="D63" s="3193"/>
      <c r="E63" s="356"/>
      <c r="F63" s="356"/>
      <c r="G63" s="376"/>
      <c r="H63" s="376"/>
      <c r="I63" s="376"/>
      <c r="J63" s="3"/>
      <c r="K63" s="3193"/>
      <c r="L63" s="3"/>
      <c r="M63" s="6592" t="s">
        <v>626</v>
      </c>
      <c r="N63" s="6593"/>
      <c r="O63" s="6593"/>
      <c r="P63" s="6594"/>
      <c r="Q63" s="3193"/>
    </row>
    <row r="64" spans="1:17" ht="21">
      <c r="A64" s="3193"/>
      <c r="B64" s="352" t="s">
        <v>365</v>
      </c>
      <c r="C64" s="6598" t="s">
        <v>625</v>
      </c>
      <c r="D64" s="6598"/>
      <c r="E64" s="6598"/>
      <c r="F64" s="6598"/>
      <c r="G64" s="6598"/>
      <c r="H64" s="6598"/>
      <c r="I64" s="6598"/>
      <c r="J64" s="6598"/>
      <c r="K64" s="3193"/>
      <c r="L64" s="3"/>
      <c r="M64" s="6592"/>
      <c r="N64" s="6593"/>
      <c r="O64" s="6593"/>
      <c r="P64" s="6594"/>
      <c r="Q64" s="3193"/>
    </row>
    <row r="65" spans="1:17" ht="21">
      <c r="A65" s="3193"/>
      <c r="B65" s="483"/>
      <c r="C65" s="483"/>
      <c r="D65" s="3193"/>
      <c r="E65" s="483"/>
      <c r="F65" s="483"/>
      <c r="G65" s="376"/>
      <c r="H65" s="482"/>
      <c r="I65" s="376"/>
      <c r="J65" s="3"/>
      <c r="K65" s="3"/>
      <c r="L65" s="3"/>
      <c r="M65" s="6595"/>
      <c r="N65" s="6596"/>
      <c r="O65" s="6596"/>
      <c r="P65" s="6597"/>
      <c r="Q65" s="3193"/>
    </row>
    <row r="66" spans="1:17" ht="21">
      <c r="A66" s="3193"/>
      <c r="B66" s="352" t="s">
        <v>365</v>
      </c>
      <c r="C66" s="5480" t="s">
        <v>624</v>
      </c>
      <c r="D66" s="5480"/>
      <c r="E66" s="5480"/>
      <c r="F66" s="5480"/>
      <c r="G66" s="376"/>
      <c r="H66" s="482"/>
      <c r="I66" s="376"/>
      <c r="J66" s="3"/>
      <c r="K66" s="3"/>
      <c r="L66" s="3"/>
      <c r="M66" s="3193"/>
      <c r="N66" s="3193"/>
      <c r="O66" s="3193"/>
      <c r="P66" s="3193"/>
      <c r="Q66" s="3193"/>
    </row>
    <row r="67" spans="1:17" ht="21" customHeight="1">
      <c r="A67" s="3193"/>
      <c r="B67" s="482"/>
      <c r="C67" s="482"/>
      <c r="D67" s="3193"/>
      <c r="E67" s="483"/>
      <c r="F67" s="483"/>
      <c r="G67" s="376"/>
      <c r="H67" s="482"/>
      <c r="I67" s="376"/>
      <c r="J67" s="3"/>
      <c r="K67" s="3"/>
      <c r="L67" s="3"/>
      <c r="M67" s="3"/>
      <c r="N67" s="3"/>
      <c r="O67" s="3"/>
      <c r="P67" s="3"/>
      <c r="Q67" s="3193"/>
    </row>
    <row r="68" spans="1:17" ht="21">
      <c r="A68" s="3193"/>
      <c r="B68" s="352" t="s">
        <v>365</v>
      </c>
      <c r="C68" s="5241" t="s">
        <v>623</v>
      </c>
      <c r="D68" s="5241"/>
      <c r="E68" s="482"/>
      <c r="F68" s="482"/>
      <c r="G68" s="376"/>
      <c r="H68" s="482"/>
      <c r="I68" s="376"/>
      <c r="J68" s="3"/>
      <c r="K68" s="3"/>
      <c r="L68" s="3"/>
      <c r="M68" s="6559" t="s">
        <v>622</v>
      </c>
      <c r="N68" s="6560"/>
      <c r="O68" s="6560"/>
      <c r="P68" s="6561"/>
      <c r="Q68" s="3193"/>
    </row>
    <row r="69" spans="1:17" ht="21">
      <c r="A69" s="3193"/>
      <c r="B69" s="483"/>
      <c r="C69" s="3229"/>
      <c r="D69" s="483"/>
      <c r="E69" s="482"/>
      <c r="F69" s="376"/>
      <c r="G69" s="376"/>
      <c r="H69" s="482"/>
      <c r="I69" s="376"/>
      <c r="J69" s="3"/>
      <c r="K69" s="3"/>
      <c r="L69" s="3"/>
      <c r="M69" s="6562" t="s">
        <v>621</v>
      </c>
      <c r="N69" s="6563"/>
      <c r="O69" s="6563"/>
      <c r="P69" s="6564"/>
      <c r="Q69" s="3193"/>
    </row>
    <row r="70" spans="1:17" ht="21">
      <c r="A70" s="3193"/>
      <c r="B70" s="352" t="s">
        <v>365</v>
      </c>
      <c r="C70" s="5241" t="s">
        <v>620</v>
      </c>
      <c r="D70" s="5241"/>
      <c r="E70" s="5241"/>
      <c r="F70" s="376"/>
      <c r="I70" s="376"/>
      <c r="J70" s="3"/>
      <c r="K70" s="3193"/>
      <c r="L70" s="3193"/>
      <c r="M70" s="6562"/>
      <c r="N70" s="6563"/>
      <c r="O70" s="6563"/>
      <c r="P70" s="6564"/>
      <c r="Q70" s="3193"/>
    </row>
    <row r="71" spans="1:17">
      <c r="A71" s="3193"/>
      <c r="B71" s="482"/>
      <c r="C71" s="482"/>
      <c r="D71" s="482"/>
      <c r="E71" s="482"/>
      <c r="F71" s="376"/>
      <c r="G71" s="376"/>
      <c r="H71" s="482"/>
      <c r="I71" s="376"/>
      <c r="J71" s="3"/>
      <c r="K71" s="3193"/>
      <c r="L71" s="3193"/>
      <c r="M71" s="6562"/>
      <c r="N71" s="6563"/>
      <c r="O71" s="6563"/>
      <c r="P71" s="6564"/>
      <c r="Q71" s="3193"/>
    </row>
    <row r="72" spans="1:17" ht="21">
      <c r="A72" s="3193"/>
      <c r="B72" s="352" t="s">
        <v>365</v>
      </c>
      <c r="C72" s="5241" t="s">
        <v>619</v>
      </c>
      <c r="D72" s="5241"/>
      <c r="E72" s="5241"/>
      <c r="F72" s="482"/>
      <c r="G72" s="376"/>
      <c r="H72" s="482"/>
      <c r="I72" s="376"/>
      <c r="J72" s="3"/>
      <c r="K72" s="3193"/>
      <c r="L72" s="3193"/>
      <c r="M72" s="6562"/>
      <c r="N72" s="6563"/>
      <c r="O72" s="6563"/>
      <c r="P72" s="6564"/>
      <c r="Q72" s="3193"/>
    </row>
    <row r="73" spans="1:17" ht="21">
      <c r="A73" s="3193"/>
      <c r="B73" s="483"/>
      <c r="C73" s="483"/>
      <c r="D73" s="482"/>
      <c r="E73" s="482"/>
      <c r="F73" s="482"/>
      <c r="G73" s="376"/>
      <c r="H73" s="482"/>
      <c r="I73" s="376"/>
      <c r="J73" s="3"/>
      <c r="K73" s="3193"/>
      <c r="L73" s="3193"/>
      <c r="M73" s="6610" t="s">
        <v>618</v>
      </c>
      <c r="N73" s="6611"/>
      <c r="O73" s="6611"/>
      <c r="P73" s="6612"/>
      <c r="Q73" s="3193"/>
    </row>
    <row r="74" spans="1:17" ht="21">
      <c r="A74" s="3193"/>
      <c r="B74" s="352" t="s">
        <v>365</v>
      </c>
      <c r="C74" s="5242" t="s">
        <v>617</v>
      </c>
      <c r="D74" s="5242"/>
      <c r="E74" s="5242"/>
      <c r="G74" s="376"/>
      <c r="H74" s="482"/>
      <c r="I74" s="376"/>
      <c r="J74" s="3"/>
      <c r="K74" s="3193"/>
      <c r="L74" s="3193"/>
      <c r="M74" s="6610"/>
      <c r="N74" s="6611"/>
      <c r="O74" s="6611"/>
      <c r="P74" s="6612"/>
      <c r="Q74" s="3193"/>
    </row>
    <row r="75" spans="1:17" ht="15" customHeight="1">
      <c r="A75" s="3193"/>
      <c r="B75" s="3"/>
      <c r="C75" s="376"/>
      <c r="D75" s="376"/>
      <c r="E75" s="376"/>
      <c r="F75" s="376"/>
      <c r="G75" s="376"/>
      <c r="H75" s="376"/>
      <c r="I75" s="376"/>
      <c r="J75" s="3"/>
      <c r="K75" s="3193"/>
      <c r="L75" s="3193"/>
      <c r="M75" s="6610"/>
      <c r="N75" s="6611"/>
      <c r="O75" s="6611"/>
      <c r="P75" s="6612"/>
      <c r="Q75" s="3193"/>
    </row>
    <row r="76" spans="1:17" ht="21">
      <c r="A76" s="3193"/>
      <c r="B76" s="352" t="s">
        <v>365</v>
      </c>
      <c r="C76" s="5246" t="s">
        <v>616</v>
      </c>
      <c r="D76" s="5246"/>
      <c r="E76" s="5246"/>
      <c r="F76" s="5246"/>
      <c r="G76" s="376"/>
      <c r="H76" s="376"/>
      <c r="I76" s="376"/>
      <c r="J76" s="3"/>
      <c r="K76" s="3193"/>
      <c r="L76" s="3193"/>
      <c r="M76" s="6613" t="s">
        <v>615</v>
      </c>
      <c r="N76" s="6614"/>
      <c r="O76" s="6614"/>
      <c r="P76" s="6615"/>
      <c r="Q76" s="3193"/>
    </row>
    <row r="77" spans="1:17">
      <c r="A77" s="3193"/>
      <c r="B77" s="3193"/>
      <c r="C77" s="3193"/>
      <c r="D77" s="3193"/>
      <c r="E77" s="3193"/>
      <c r="F77" s="3193"/>
      <c r="G77" s="3193"/>
      <c r="H77" s="3193"/>
      <c r="I77" s="3193"/>
      <c r="J77" s="3193"/>
      <c r="K77" s="3"/>
      <c r="L77" s="3"/>
      <c r="M77" s="6613"/>
      <c r="N77" s="6614"/>
      <c r="O77" s="6614"/>
      <c r="P77" s="6615"/>
      <c r="Q77" s="3193"/>
    </row>
    <row r="78" spans="1:17">
      <c r="A78" s="3193"/>
      <c r="B78" s="3193"/>
      <c r="C78" s="3193"/>
      <c r="D78" s="3193"/>
      <c r="E78" s="3193"/>
      <c r="F78" s="3193"/>
      <c r="G78" s="3193"/>
      <c r="H78" s="3193"/>
      <c r="I78" s="3193"/>
      <c r="J78" s="3193"/>
      <c r="K78" s="3"/>
      <c r="L78" s="3"/>
      <c r="M78" s="6616"/>
      <c r="N78" s="6617"/>
      <c r="O78" s="6617"/>
      <c r="P78" s="6618"/>
      <c r="Q78" s="3193"/>
    </row>
    <row r="79" spans="1:17">
      <c r="A79" s="3193"/>
      <c r="B79" s="3"/>
      <c r="C79" s="376"/>
      <c r="D79" s="376"/>
      <c r="E79" s="376"/>
      <c r="F79" s="376"/>
      <c r="G79" s="376"/>
      <c r="H79" s="376"/>
      <c r="I79" s="376"/>
      <c r="J79" s="3"/>
      <c r="K79" s="3"/>
      <c r="L79" s="3"/>
      <c r="M79" s="3193"/>
      <c r="N79" s="3193"/>
      <c r="O79" s="3193"/>
      <c r="P79" s="3193"/>
      <c r="Q79" s="3193"/>
    </row>
    <row r="80" spans="1:17">
      <c r="A80" s="3228"/>
      <c r="B80" s="5"/>
      <c r="C80" s="6"/>
      <c r="D80" s="6"/>
      <c r="E80" s="6"/>
      <c r="F80" s="6"/>
      <c r="G80" s="6"/>
      <c r="H80" s="6"/>
      <c r="I80" s="6"/>
      <c r="J80" s="5"/>
      <c r="K80" s="5"/>
      <c r="L80" s="5"/>
      <c r="M80" s="3228"/>
      <c r="N80" s="3228"/>
      <c r="O80" s="3228"/>
      <c r="P80" s="3228"/>
      <c r="Q80" s="3228"/>
    </row>
    <row r="81" spans="2:17" ht="15" customHeight="1">
      <c r="B81" s="3193"/>
      <c r="C81" s="3193"/>
      <c r="D81" s="3193"/>
      <c r="E81" s="356"/>
      <c r="F81" s="356"/>
      <c r="G81" s="3193"/>
      <c r="H81" s="3193"/>
      <c r="I81" s="3193"/>
      <c r="J81" s="3193"/>
      <c r="K81" s="3193"/>
      <c r="L81" s="3193"/>
      <c r="M81" s="3193"/>
      <c r="N81" s="3193"/>
      <c r="O81" s="3193"/>
      <c r="P81" s="3193"/>
      <c r="Q81" s="3193"/>
    </row>
    <row r="82" spans="2:17" ht="15" customHeight="1">
      <c r="B82" s="3193"/>
      <c r="C82" s="3230" t="s">
        <v>614</v>
      </c>
      <c r="D82" s="3231"/>
      <c r="E82" s="3231"/>
      <c r="F82" s="3231"/>
      <c r="G82" s="3231"/>
      <c r="H82" s="3231"/>
      <c r="I82" s="3231"/>
      <c r="J82" s="3231"/>
      <c r="K82" s="3231"/>
      <c r="L82" s="3231"/>
      <c r="M82" s="478"/>
      <c r="N82" s="3193"/>
      <c r="O82" s="3193"/>
      <c r="P82" s="3193"/>
      <c r="Q82" s="3193"/>
    </row>
    <row r="83" spans="2:17" ht="45" customHeight="1">
      <c r="B83" s="3193"/>
      <c r="C83" s="3232"/>
      <c r="D83" s="3232"/>
      <c r="E83" s="3232"/>
      <c r="F83" s="3232"/>
      <c r="G83" s="3232"/>
      <c r="H83" s="3232"/>
      <c r="I83" s="3232"/>
      <c r="J83" s="3232"/>
      <c r="K83" s="3232"/>
      <c r="L83" s="3193"/>
      <c r="M83" s="3193"/>
      <c r="N83" s="3193"/>
      <c r="O83" s="3193"/>
      <c r="P83" s="3193"/>
      <c r="Q83" s="3193"/>
    </row>
    <row r="84" spans="2:17" ht="15" customHeight="1">
      <c r="B84" s="3193"/>
      <c r="C84" s="3193"/>
      <c r="D84" s="3193"/>
      <c r="E84" s="356"/>
      <c r="F84" s="356"/>
      <c r="G84" s="3193"/>
      <c r="H84" s="3193"/>
      <c r="I84" s="3193"/>
      <c r="J84" s="3193"/>
      <c r="K84" s="3193"/>
      <c r="L84" s="3193"/>
      <c r="M84" s="3193"/>
      <c r="N84" s="3193"/>
      <c r="O84" s="3193"/>
      <c r="P84" s="3193"/>
      <c r="Q84" s="3193"/>
    </row>
    <row r="85" spans="2:17" ht="15" customHeight="1" thickBot="1">
      <c r="B85" s="3193"/>
      <c r="C85" s="3193"/>
      <c r="D85" s="3193"/>
      <c r="E85" s="356"/>
      <c r="F85" s="356"/>
      <c r="G85" s="3193"/>
      <c r="H85" s="3193"/>
      <c r="I85" s="3193"/>
      <c r="J85" s="3193"/>
      <c r="K85" s="3193"/>
      <c r="L85" s="3193"/>
      <c r="M85" s="3193"/>
      <c r="N85" s="3193"/>
      <c r="O85" s="3193"/>
      <c r="P85" s="3193"/>
      <c r="Q85" s="3193"/>
    </row>
    <row r="86" spans="2:17" ht="20.100000000000001" customHeight="1">
      <c r="B86" s="6619" t="s">
        <v>613</v>
      </c>
      <c r="C86" s="6620"/>
      <c r="D86" s="6620"/>
      <c r="E86" s="6620"/>
      <c r="F86" s="6620"/>
      <c r="G86" s="6620"/>
      <c r="H86" s="6620"/>
      <c r="I86" s="6620"/>
      <c r="J86" s="6620"/>
      <c r="K86" s="6620"/>
      <c r="L86" s="6621"/>
      <c r="M86" s="3193"/>
      <c r="N86" s="3193"/>
      <c r="O86" s="3193"/>
      <c r="P86" s="3193"/>
      <c r="Q86" s="3193"/>
    </row>
    <row r="87" spans="2:17" ht="20.100000000000001" customHeight="1">
      <c r="B87" s="3233"/>
      <c r="C87" s="3234"/>
      <c r="D87" s="3234"/>
      <c r="E87" s="3234"/>
      <c r="F87" s="3234"/>
      <c r="G87" s="3234"/>
      <c r="H87" s="3234"/>
      <c r="I87" s="3234"/>
      <c r="J87" s="3234"/>
      <c r="K87" s="3234"/>
      <c r="L87" s="3235"/>
      <c r="M87" s="3193"/>
      <c r="N87" s="3193"/>
      <c r="O87" s="3193"/>
      <c r="P87" s="3193"/>
      <c r="Q87" s="3193"/>
    </row>
    <row r="88" spans="2:17" ht="20.100000000000001" customHeight="1">
      <c r="B88" s="481" t="s">
        <v>612</v>
      </c>
      <c r="C88" s="3236">
        <v>3</v>
      </c>
      <c r="D88" s="386"/>
      <c r="E88" s="6622" t="s">
        <v>3038</v>
      </c>
      <c r="F88" s="6622"/>
      <c r="G88" s="6622"/>
      <c r="H88" s="6622"/>
      <c r="I88" s="6622"/>
      <c r="J88" s="6622"/>
      <c r="K88" s="6622"/>
      <c r="L88" s="6623"/>
      <c r="M88" s="3193"/>
      <c r="N88" s="3193"/>
      <c r="O88" s="3193"/>
      <c r="P88" s="3193"/>
      <c r="Q88" s="3193"/>
    </row>
    <row r="89" spans="2:17" ht="20.100000000000001" customHeight="1">
      <c r="B89" s="481"/>
      <c r="C89" s="3237"/>
      <c r="D89" s="386"/>
      <c r="E89" s="6622"/>
      <c r="F89" s="6622"/>
      <c r="G89" s="6622"/>
      <c r="H89" s="6622"/>
      <c r="I89" s="6622"/>
      <c r="J89" s="6622"/>
      <c r="K89" s="6622"/>
      <c r="L89" s="6623"/>
      <c r="M89" s="3193"/>
      <c r="N89" s="3193"/>
      <c r="O89" s="3193"/>
      <c r="P89" s="3193"/>
      <c r="Q89" s="3193"/>
    </row>
    <row r="90" spans="2:17" ht="20.100000000000001" customHeight="1">
      <c r="B90" s="481" t="s">
        <v>590</v>
      </c>
      <c r="C90" s="477"/>
      <c r="D90" s="386"/>
      <c r="E90" s="6622"/>
      <c r="F90" s="6622"/>
      <c r="G90" s="6622"/>
      <c r="H90" s="6622"/>
      <c r="I90" s="6622"/>
      <c r="J90" s="6622"/>
      <c r="K90" s="6622"/>
      <c r="L90" s="6623"/>
      <c r="M90" s="3193"/>
      <c r="N90" s="3193"/>
      <c r="O90" s="3193"/>
      <c r="P90" s="3193"/>
      <c r="Q90" s="3193"/>
    </row>
    <row r="91" spans="2:17" ht="20.100000000000001" customHeight="1">
      <c r="B91" s="481"/>
      <c r="C91" s="477"/>
      <c r="D91" s="386"/>
      <c r="E91" s="6622"/>
      <c r="F91" s="6622"/>
      <c r="G91" s="6622"/>
      <c r="H91" s="6622"/>
      <c r="I91" s="6622"/>
      <c r="J91" s="6622"/>
      <c r="K91" s="6622"/>
      <c r="L91" s="6623"/>
      <c r="M91" s="3193"/>
      <c r="N91" s="3193"/>
      <c r="O91" s="3193"/>
      <c r="P91" s="3193"/>
      <c r="Q91" s="3193"/>
    </row>
    <row r="92" spans="2:17" ht="20.100000000000001" customHeight="1">
      <c r="B92" s="481" t="s">
        <v>611</v>
      </c>
      <c r="C92" s="477"/>
      <c r="D92" s="386"/>
      <c r="E92" s="6622"/>
      <c r="F92" s="6622"/>
      <c r="G92" s="6622"/>
      <c r="H92" s="6622"/>
      <c r="I92" s="6622"/>
      <c r="J92" s="6622"/>
      <c r="K92" s="6622"/>
      <c r="L92" s="6623"/>
      <c r="M92" s="3193"/>
      <c r="N92" s="3193"/>
      <c r="O92" s="3193"/>
      <c r="P92" s="3193"/>
      <c r="Q92" s="3193"/>
    </row>
    <row r="93" spans="2:17" ht="20.100000000000001" customHeight="1">
      <c r="B93" s="481"/>
      <c r="C93" s="477"/>
      <c r="D93" s="386"/>
      <c r="E93" s="3238"/>
      <c r="F93" s="3238"/>
      <c r="G93" s="3238"/>
      <c r="H93" s="3238"/>
      <c r="I93" s="3238"/>
      <c r="J93" s="3238"/>
      <c r="K93" s="3238"/>
      <c r="L93" s="3012"/>
      <c r="M93" s="3193"/>
      <c r="N93" s="3193"/>
      <c r="O93" s="3193"/>
      <c r="P93" s="3193"/>
      <c r="Q93" s="3193"/>
    </row>
    <row r="94" spans="2:17" ht="20.100000000000001" customHeight="1">
      <c r="B94" s="651"/>
      <c r="C94" s="386"/>
      <c r="D94" s="386"/>
      <c r="E94" s="3239"/>
      <c r="F94" s="3240" t="s">
        <v>610</v>
      </c>
      <c r="G94" s="2586" t="s">
        <v>609</v>
      </c>
      <c r="H94" s="2586" t="s">
        <v>608</v>
      </c>
      <c r="I94" s="2586" t="s">
        <v>607</v>
      </c>
      <c r="J94" s="2586" t="s">
        <v>606</v>
      </c>
      <c r="K94" s="2586" t="s">
        <v>605</v>
      </c>
      <c r="L94" s="480" t="s">
        <v>604</v>
      </c>
      <c r="M94" s="3193"/>
      <c r="N94" s="3193"/>
      <c r="O94" s="3193"/>
      <c r="P94" s="3193"/>
      <c r="Q94" s="3193"/>
    </row>
    <row r="95" spans="2:17" ht="20.100000000000001" customHeight="1">
      <c r="B95" s="651"/>
      <c r="C95" s="386"/>
      <c r="D95" s="386"/>
      <c r="E95" s="3239"/>
      <c r="F95" s="3240"/>
      <c r="G95" s="2586"/>
      <c r="H95" s="2586"/>
      <c r="I95" s="2586"/>
      <c r="J95" s="2586"/>
      <c r="K95" s="2586"/>
      <c r="L95" s="480"/>
      <c r="M95" s="3193"/>
      <c r="N95" s="3193"/>
      <c r="O95" s="3193"/>
      <c r="P95" s="3193"/>
      <c r="Q95" s="3193"/>
    </row>
    <row r="96" spans="2:17" ht="20.100000000000001" customHeight="1">
      <c r="B96" s="651" t="s">
        <v>3039</v>
      </c>
      <c r="C96" s="386"/>
      <c r="D96" s="386"/>
      <c r="E96" s="443"/>
      <c r="F96" s="3241" t="s">
        <v>55</v>
      </c>
      <c r="G96" s="3241" t="s">
        <v>44</v>
      </c>
      <c r="H96" s="3241" t="s">
        <v>46</v>
      </c>
      <c r="I96" s="3241" t="s">
        <v>457</v>
      </c>
      <c r="J96" s="3241" t="s">
        <v>469</v>
      </c>
      <c r="K96" s="3242" t="s">
        <v>603</v>
      </c>
      <c r="L96" s="479" t="s">
        <v>602</v>
      </c>
      <c r="M96" s="3193"/>
      <c r="N96" s="3193"/>
      <c r="O96" s="3193"/>
      <c r="P96" s="3193"/>
      <c r="Q96" s="3193"/>
    </row>
    <row r="97" spans="2:17" ht="20.100000000000001" customHeight="1">
      <c r="B97" s="651"/>
      <c r="C97" s="386"/>
      <c r="D97" s="386"/>
      <c r="E97" s="386"/>
      <c r="F97" s="3243"/>
      <c r="G97" s="3243"/>
      <c r="H97" s="3243"/>
      <c r="I97" s="3243"/>
      <c r="J97" s="3243"/>
      <c r="K97" s="3244"/>
      <c r="L97" s="653"/>
      <c r="M97" s="3193"/>
      <c r="N97" s="3193"/>
      <c r="O97" s="3193"/>
      <c r="P97" s="3193"/>
      <c r="Q97" s="3193"/>
    </row>
    <row r="98" spans="2:17" ht="20.100000000000001" customHeight="1">
      <c r="B98" s="3245" t="s">
        <v>464</v>
      </c>
      <c r="C98" s="3241" t="s">
        <v>461</v>
      </c>
      <c r="D98" s="3241" t="s">
        <v>455</v>
      </c>
      <c r="E98" s="3241" t="s">
        <v>467</v>
      </c>
      <c r="F98" s="3241" t="s">
        <v>459</v>
      </c>
      <c r="G98" s="3241" t="s">
        <v>601</v>
      </c>
      <c r="H98" s="3241" t="s">
        <v>600</v>
      </c>
      <c r="I98" s="3241" t="s">
        <v>599</v>
      </c>
      <c r="J98" s="3241" t="s">
        <v>598</v>
      </c>
      <c r="K98" s="3242" t="s">
        <v>597</v>
      </c>
      <c r="L98" s="479" t="s">
        <v>473</v>
      </c>
      <c r="M98" s="3193"/>
      <c r="N98" s="3193"/>
      <c r="O98" s="3193"/>
      <c r="P98" s="3193"/>
      <c r="Q98" s="3193"/>
    </row>
    <row r="99" spans="2:17" ht="20.100000000000001" customHeight="1">
      <c r="B99" s="652"/>
      <c r="C99" s="3243"/>
      <c r="D99" s="3243"/>
      <c r="E99" s="3243"/>
      <c r="F99" s="3243"/>
      <c r="G99" s="3243"/>
      <c r="H99" s="3243"/>
      <c r="I99" s="3243"/>
      <c r="J99" s="3243"/>
      <c r="K99" s="3244"/>
      <c r="L99" s="653"/>
      <c r="M99" s="3193"/>
      <c r="N99" s="3193"/>
      <c r="O99" s="3193"/>
      <c r="P99" s="3193"/>
      <c r="Q99" s="3193"/>
    </row>
    <row r="100" spans="2:17" ht="20.100000000000001" customHeight="1">
      <c r="B100" s="459"/>
      <c r="C100" s="399"/>
      <c r="D100" s="3246" t="s">
        <v>596</v>
      </c>
      <c r="E100" s="3247">
        <f>COLUMN()</f>
        <v>5</v>
      </c>
      <c r="F100" s="399"/>
      <c r="G100" s="3246" t="s">
        <v>595</v>
      </c>
      <c r="H100" s="3248" t="str">
        <f>ADDRESS(ROW(),COLUMN(),4)</f>
        <v>H100</v>
      </c>
      <c r="I100" s="399"/>
      <c r="J100" s="399"/>
      <c r="K100" s="3249" t="s">
        <v>594</v>
      </c>
      <c r="L100" s="479" t="s">
        <v>593</v>
      </c>
      <c r="M100" s="3193"/>
      <c r="N100" s="3193"/>
      <c r="O100" s="3193"/>
      <c r="P100" s="3193"/>
      <c r="Q100" s="3193"/>
    </row>
    <row r="101" spans="2:17" ht="20.100000000000001" customHeight="1">
      <c r="B101" s="459"/>
      <c r="C101" s="399"/>
      <c r="D101" s="3246"/>
      <c r="E101" s="3250"/>
      <c r="F101" s="399"/>
      <c r="G101" s="399"/>
      <c r="H101" s="399"/>
      <c r="I101" s="399"/>
      <c r="J101" s="399"/>
      <c r="K101" s="3251"/>
      <c r="L101" s="653"/>
      <c r="M101" s="3193"/>
      <c r="N101" s="3193"/>
      <c r="O101" s="3193"/>
      <c r="P101" s="3193"/>
      <c r="Q101" s="3193"/>
    </row>
    <row r="102" spans="2:17" ht="20.100000000000001" customHeight="1">
      <c r="B102" s="459"/>
      <c r="C102" s="399"/>
      <c r="D102" s="3246" t="s">
        <v>592</v>
      </c>
      <c r="E102" s="3252" t="str">
        <f>LEFT(ADDRESS(1,COLUMN(),4),LEN(ADDRESS(1,COLUMN(),4))-1)</f>
        <v>E</v>
      </c>
      <c r="F102" s="399"/>
      <c r="G102" s="3246" t="s">
        <v>591</v>
      </c>
      <c r="H102" s="3253">
        <f>ROW()</f>
        <v>102</v>
      </c>
      <c r="I102" s="399"/>
      <c r="J102" s="649" t="s">
        <v>590</v>
      </c>
      <c r="K102" s="399"/>
      <c r="L102" s="655"/>
      <c r="M102" s="3193"/>
      <c r="N102" s="3193"/>
      <c r="O102" s="3193"/>
      <c r="P102" s="3193"/>
      <c r="Q102" s="3193"/>
    </row>
    <row r="103" spans="2:17" ht="20.100000000000001" customHeight="1">
      <c r="B103" s="459"/>
      <c r="C103" s="399"/>
      <c r="D103" s="3246"/>
      <c r="E103" s="3246"/>
      <c r="F103" s="3246"/>
      <c r="G103" s="3246"/>
      <c r="H103" s="3246"/>
      <c r="I103" s="3246"/>
      <c r="J103" s="649"/>
      <c r="K103" s="399"/>
      <c r="L103" s="655"/>
      <c r="M103" s="3193"/>
      <c r="N103" s="3193"/>
      <c r="O103" s="3193"/>
      <c r="P103" s="3193"/>
      <c r="Q103" s="3193"/>
    </row>
    <row r="104" spans="2:17" ht="20.100000000000001" customHeight="1">
      <c r="B104" s="459"/>
      <c r="C104" s="3254" t="s">
        <v>37</v>
      </c>
      <c r="D104" s="3255" t="str">
        <f ca="1">CELL("nomfichier")</f>
        <v>D:\Données\Copie_ancien_DD\0-UPRT.fait\1-UPRT.FR-SITE-WEB\ff-fiches-fabrications\ff-fiches-fabrication-maj-08-2020\[ff-22-formats-formules-pourcentages.xlsx]Epurer.un.texte</v>
      </c>
      <c r="E104" s="3"/>
      <c r="F104" s="3246"/>
      <c r="G104" s="3246"/>
      <c r="H104" s="3246"/>
      <c r="I104" s="3246"/>
      <c r="J104" s="649"/>
      <c r="K104" s="399"/>
      <c r="L104" s="655"/>
      <c r="M104" s="3193"/>
      <c r="N104" s="3193"/>
      <c r="O104" s="3193"/>
      <c r="P104" s="3193"/>
      <c r="Q104" s="3193"/>
    </row>
    <row r="105" spans="2:17" ht="20.100000000000001" customHeight="1" thickBot="1">
      <c r="B105" s="3256"/>
      <c r="C105" s="3257"/>
      <c r="D105" s="3257"/>
      <c r="E105" s="3257"/>
      <c r="F105" s="3257"/>
      <c r="G105" s="3257"/>
      <c r="H105" s="3257"/>
      <c r="I105" s="3257"/>
      <c r="J105" s="3257"/>
      <c r="K105" s="3257"/>
      <c r="L105" s="3258"/>
      <c r="M105" s="3193"/>
      <c r="N105" s="3193"/>
      <c r="O105" s="3193"/>
      <c r="P105" s="3193"/>
      <c r="Q105" s="3193"/>
    </row>
    <row r="106" spans="2:17" ht="15" customHeight="1" thickBot="1">
      <c r="B106" s="3193"/>
      <c r="C106" s="3193"/>
      <c r="D106" s="3193"/>
      <c r="E106" s="356"/>
      <c r="F106" s="356"/>
      <c r="G106" s="3193"/>
      <c r="H106" s="3193"/>
      <c r="I106" s="3193"/>
      <c r="J106" s="3193"/>
      <c r="K106" s="3193"/>
      <c r="L106" s="3193"/>
      <c r="M106" s="3193"/>
      <c r="N106" s="3193"/>
      <c r="O106" s="3193"/>
      <c r="P106" s="3193"/>
      <c r="Q106" s="3193"/>
    </row>
    <row r="107" spans="2:17" ht="24.95" customHeight="1">
      <c r="B107" s="3259" t="s">
        <v>24</v>
      </c>
      <c r="C107" s="6599" t="s">
        <v>3040</v>
      </c>
      <c r="D107" s="6599"/>
      <c r="E107" s="6599"/>
      <c r="F107" s="6599"/>
      <c r="G107" s="6599"/>
      <c r="H107" s="6599"/>
      <c r="I107" s="6599"/>
      <c r="J107" s="6599"/>
      <c r="K107" s="6600"/>
      <c r="L107" s="3193"/>
      <c r="M107" s="3193"/>
      <c r="N107" s="3193"/>
      <c r="O107" s="3193"/>
      <c r="P107" s="3193"/>
      <c r="Q107" s="3193"/>
    </row>
    <row r="108" spans="2:17" ht="24.95" customHeight="1">
      <c r="B108" s="3260" t="s">
        <v>21</v>
      </c>
      <c r="C108" s="6601" t="s">
        <v>3041</v>
      </c>
      <c r="D108" s="6601"/>
      <c r="E108" s="6601"/>
      <c r="F108" s="6601"/>
      <c r="G108" s="6601"/>
      <c r="H108" s="6601"/>
      <c r="I108" s="6601"/>
      <c r="J108" s="6601"/>
      <c r="K108" s="6602"/>
      <c r="L108" s="3193"/>
      <c r="M108" s="3193"/>
      <c r="N108" s="3193"/>
      <c r="O108" s="3193"/>
      <c r="P108" s="3193"/>
      <c r="Q108" s="3193"/>
    </row>
    <row r="109" spans="2:17" ht="24.95" customHeight="1">
      <c r="B109" s="3261" t="s">
        <v>6</v>
      </c>
      <c r="C109" s="6603" t="s">
        <v>3042</v>
      </c>
      <c r="D109" s="6603"/>
      <c r="E109" s="6603"/>
      <c r="F109" s="6603"/>
      <c r="G109" s="6603"/>
      <c r="H109" s="6603"/>
      <c r="I109" s="6603"/>
      <c r="J109" s="6603"/>
      <c r="K109" s="6604"/>
      <c r="L109" s="3193"/>
      <c r="M109" s="3193"/>
      <c r="N109" s="3193"/>
      <c r="O109" s="3193"/>
      <c r="P109" s="3193"/>
      <c r="Q109" s="3193"/>
    </row>
    <row r="110" spans="2:17" ht="24.95" customHeight="1">
      <c r="B110" s="3262"/>
      <c r="C110" s="6605" t="s">
        <v>3043</v>
      </c>
      <c r="D110" s="6605"/>
      <c r="E110" s="6605"/>
      <c r="F110" s="6605"/>
      <c r="G110" s="6605"/>
      <c r="H110" s="6605"/>
      <c r="I110" s="6605"/>
      <c r="J110" s="6605"/>
      <c r="K110" s="6606"/>
      <c r="L110" s="3193"/>
      <c r="M110" s="3193"/>
      <c r="N110" s="3193"/>
      <c r="O110" s="3193"/>
      <c r="P110" s="3193"/>
      <c r="Q110" s="3193"/>
    </row>
    <row r="111" spans="2:17" ht="24.95" customHeight="1">
      <c r="B111" s="6607" t="s">
        <v>6</v>
      </c>
      <c r="C111" s="6608" t="str">
        <f>C109</f>
        <v>Saisir ICI</v>
      </c>
      <c r="D111" s="6608"/>
      <c r="E111" s="6608"/>
      <c r="F111" s="6608"/>
      <c r="G111" s="6608"/>
      <c r="H111" s="6608"/>
      <c r="I111" s="6608"/>
      <c r="J111" s="6608"/>
      <c r="K111" s="6609"/>
      <c r="L111" s="3193"/>
      <c r="M111" s="3193"/>
      <c r="N111" s="3193"/>
      <c r="O111" s="3193"/>
      <c r="P111" s="3193"/>
      <c r="Q111" s="3193"/>
    </row>
    <row r="112" spans="2:17" ht="24.95" customHeight="1">
      <c r="B112" s="6607"/>
      <c r="C112" s="6608"/>
      <c r="D112" s="6608"/>
      <c r="E112" s="6608"/>
      <c r="F112" s="6608"/>
      <c r="G112" s="6608"/>
      <c r="H112" s="6608"/>
      <c r="I112" s="6608"/>
      <c r="J112" s="6608"/>
      <c r="K112" s="6609"/>
      <c r="L112" s="3193"/>
      <c r="M112" s="3193"/>
      <c r="N112" s="3193"/>
      <c r="O112" s="3193"/>
      <c r="P112" s="3193"/>
      <c r="Q112" s="3193"/>
    </row>
    <row r="113" spans="2:17" ht="24.95" customHeight="1">
      <c r="B113" s="6607"/>
      <c r="C113" s="6608"/>
      <c r="D113" s="6608"/>
      <c r="E113" s="6608"/>
      <c r="F113" s="6608"/>
      <c r="G113" s="6608"/>
      <c r="H113" s="6608"/>
      <c r="I113" s="6608"/>
      <c r="J113" s="6608"/>
      <c r="K113" s="6609"/>
      <c r="L113" s="3193"/>
      <c r="M113" s="3193"/>
      <c r="N113" s="3193"/>
      <c r="O113" s="3193"/>
      <c r="P113" s="3193"/>
      <c r="Q113" s="3193"/>
    </row>
    <row r="114" spans="2:17" ht="24.95" customHeight="1">
      <c r="B114" s="6626" t="s">
        <v>24</v>
      </c>
      <c r="C114" s="6629" t="str">
        <f>+C107</f>
        <v>TEST POLICE DE CARACTERES</v>
      </c>
      <c r="D114" s="6629"/>
      <c r="E114" s="6629"/>
      <c r="F114" s="6629"/>
      <c r="G114" s="6629"/>
      <c r="H114" s="6629"/>
      <c r="I114" s="6629"/>
      <c r="J114" s="6629"/>
      <c r="K114" s="6630"/>
      <c r="L114" s="3193"/>
      <c r="M114" s="3193"/>
      <c r="N114" s="3193"/>
      <c r="O114" s="3193"/>
      <c r="P114" s="3193"/>
      <c r="Q114" s="3193"/>
    </row>
    <row r="115" spans="2:17" ht="24.95" customHeight="1">
      <c r="B115" s="6627"/>
      <c r="C115" s="6631"/>
      <c r="D115" s="6631"/>
      <c r="E115" s="6631"/>
      <c r="F115" s="6631"/>
      <c r="G115" s="6631"/>
      <c r="H115" s="6631"/>
      <c r="I115" s="6631"/>
      <c r="J115" s="6631"/>
      <c r="K115" s="6632"/>
      <c r="L115" s="3193"/>
      <c r="M115" s="3193"/>
      <c r="N115" s="3193"/>
      <c r="O115" s="3193"/>
      <c r="P115" s="3193"/>
      <c r="Q115" s="3193"/>
    </row>
    <row r="116" spans="2:17" ht="24.95" customHeight="1">
      <c r="B116" s="6628"/>
      <c r="C116" s="6633"/>
      <c r="D116" s="6633"/>
      <c r="E116" s="6633"/>
      <c r="F116" s="6633"/>
      <c r="G116" s="6633"/>
      <c r="H116" s="6633"/>
      <c r="I116" s="6633"/>
      <c r="J116" s="6633"/>
      <c r="K116" s="6634"/>
      <c r="L116" s="3193"/>
      <c r="M116" s="3193"/>
      <c r="N116" s="3193"/>
      <c r="O116" s="3193"/>
      <c r="P116" s="3193"/>
      <c r="Q116" s="3193"/>
    </row>
    <row r="117" spans="2:17" ht="24.95" customHeight="1">
      <c r="B117" s="6627" t="s">
        <v>21</v>
      </c>
      <c r="C117" s="6636" t="str">
        <f>+C108</f>
        <v>Saisir une ou des lettres / nombres ou une phrase cellule C jaune</v>
      </c>
      <c r="D117" s="6636"/>
      <c r="E117" s="6636"/>
      <c r="F117" s="6636"/>
      <c r="G117" s="6636"/>
      <c r="H117" s="6636"/>
      <c r="I117" s="6636"/>
      <c r="J117" s="6636"/>
      <c r="K117" s="6637"/>
      <c r="L117" s="3193"/>
      <c r="M117" s="3193"/>
      <c r="N117" s="3193"/>
      <c r="O117" s="3193"/>
      <c r="P117" s="3193"/>
      <c r="Q117" s="3193"/>
    </row>
    <row r="118" spans="2:17" ht="24.95" customHeight="1">
      <c r="B118" s="6627"/>
      <c r="C118" s="6636"/>
      <c r="D118" s="6636"/>
      <c r="E118" s="6636"/>
      <c r="F118" s="6636"/>
      <c r="G118" s="6636"/>
      <c r="H118" s="6636"/>
      <c r="I118" s="6636"/>
      <c r="J118" s="6636"/>
      <c r="K118" s="6637"/>
      <c r="L118" s="3193"/>
      <c r="M118" s="3193"/>
      <c r="N118" s="3193"/>
      <c r="O118" s="3193"/>
      <c r="P118" s="3193"/>
      <c r="Q118" s="3193"/>
    </row>
    <row r="119" spans="2:17" ht="24.95" customHeight="1">
      <c r="B119" s="6627"/>
      <c r="C119" s="6636"/>
      <c r="D119" s="6636"/>
      <c r="E119" s="6636"/>
      <c r="F119" s="6636"/>
      <c r="G119" s="6636"/>
      <c r="H119" s="6636"/>
      <c r="I119" s="6636"/>
      <c r="J119" s="6636"/>
      <c r="K119" s="6637"/>
      <c r="L119" s="3193"/>
      <c r="M119" s="3193"/>
      <c r="N119" s="3193"/>
      <c r="O119" s="3193"/>
      <c r="P119" s="3193"/>
      <c r="Q119" s="3193"/>
    </row>
    <row r="120" spans="2:17" ht="24.95" customHeight="1">
      <c r="B120" s="6627"/>
      <c r="C120" s="6636"/>
      <c r="D120" s="6636"/>
      <c r="E120" s="6636"/>
      <c r="F120" s="6636"/>
      <c r="G120" s="6636"/>
      <c r="H120" s="6636"/>
      <c r="I120" s="6636"/>
      <c r="J120" s="6636"/>
      <c r="K120" s="6637"/>
      <c r="L120" s="3193"/>
      <c r="M120" s="3193"/>
      <c r="N120" s="3193"/>
      <c r="O120" s="3193"/>
      <c r="P120" s="3193"/>
      <c r="Q120" s="3193"/>
    </row>
    <row r="121" spans="2:17" ht="24.95" customHeight="1" thickBot="1">
      <c r="B121" s="6635"/>
      <c r="C121" s="6638"/>
      <c r="D121" s="6638"/>
      <c r="E121" s="6638"/>
      <c r="F121" s="6638"/>
      <c r="G121" s="6638"/>
      <c r="H121" s="6638"/>
      <c r="I121" s="6638"/>
      <c r="J121" s="6638"/>
      <c r="K121" s="6639"/>
      <c r="L121" s="3193"/>
      <c r="M121" s="3193"/>
      <c r="N121" s="3193"/>
      <c r="O121" s="3193"/>
      <c r="P121" s="3193"/>
      <c r="Q121" s="3193"/>
    </row>
    <row r="122" spans="2:17" ht="15" customHeight="1">
      <c r="B122" s="3193"/>
      <c r="C122" s="3193"/>
      <c r="D122" s="3193"/>
      <c r="E122" s="3193"/>
      <c r="F122" s="3193"/>
      <c r="G122" s="3193"/>
      <c r="H122" s="3193"/>
      <c r="I122" s="3193"/>
      <c r="J122" s="3193"/>
      <c r="K122" s="3193"/>
      <c r="L122" s="3193"/>
      <c r="M122" s="3193"/>
      <c r="N122" s="3193"/>
      <c r="O122" s="3193"/>
      <c r="P122" s="3193"/>
      <c r="Q122" s="3193"/>
    </row>
    <row r="123" spans="2:17" ht="15" customHeight="1">
      <c r="B123" s="3193"/>
      <c r="C123" s="3193"/>
      <c r="D123" s="3193"/>
      <c r="E123" s="356"/>
      <c r="F123" s="356"/>
      <c r="G123" s="3193"/>
      <c r="H123" s="3193"/>
      <c r="I123" s="3193"/>
      <c r="J123" s="3193"/>
      <c r="K123" s="3193"/>
      <c r="L123" s="3193"/>
      <c r="M123" s="3193"/>
      <c r="N123" s="3193"/>
      <c r="O123" s="3193"/>
      <c r="P123" s="3193"/>
      <c r="Q123" s="3193"/>
    </row>
    <row r="124" spans="2:17" ht="20.100000000000001" customHeight="1">
      <c r="B124" s="3193"/>
      <c r="C124" s="477" t="s">
        <v>585</v>
      </c>
      <c r="D124" s="472"/>
      <c r="E124" s="472"/>
      <c r="F124" s="472"/>
      <c r="G124" s="3193"/>
      <c r="H124" s="3193"/>
      <c r="I124" s="3193"/>
      <c r="J124" s="3193"/>
      <c r="K124" s="3193"/>
      <c r="L124" s="3193"/>
      <c r="M124" s="3193"/>
      <c r="N124" s="3193"/>
      <c r="O124" s="3193"/>
      <c r="P124" s="3193"/>
      <c r="Q124" s="3193"/>
    </row>
    <row r="125" spans="2:17" ht="20.100000000000001" customHeight="1">
      <c r="B125" s="352" t="s">
        <v>365</v>
      </c>
      <c r="C125" s="6640" t="s">
        <v>584</v>
      </c>
      <c r="D125" s="6640"/>
      <c r="E125" s="6640"/>
      <c r="F125" s="6640"/>
      <c r="G125" s="6640"/>
      <c r="H125" s="6640"/>
      <c r="I125" s="3193"/>
      <c r="J125" s="3193"/>
      <c r="K125" s="3193"/>
      <c r="L125" s="3193"/>
      <c r="M125" s="3193"/>
      <c r="N125" s="3193"/>
      <c r="O125" s="3193"/>
      <c r="P125" s="3193"/>
      <c r="Q125" s="3193"/>
    </row>
    <row r="126" spans="2:17" ht="20.100000000000001" customHeight="1">
      <c r="B126" s="3193"/>
      <c r="C126" s="477"/>
      <c r="D126" s="472"/>
      <c r="E126" s="472"/>
      <c r="F126" s="472"/>
      <c r="G126" s="3193"/>
      <c r="H126" s="3193"/>
      <c r="I126" s="3193"/>
      <c r="J126" s="3193"/>
      <c r="K126" s="3193"/>
      <c r="L126" s="3193"/>
      <c r="M126" s="3193"/>
      <c r="N126" s="3193"/>
      <c r="O126" s="3193"/>
      <c r="P126" s="3193"/>
      <c r="Q126" s="3193"/>
    </row>
    <row r="127" spans="2:17" ht="20.100000000000001" customHeight="1">
      <c r="B127" s="352" t="s">
        <v>365</v>
      </c>
      <c r="C127" s="6640" t="s">
        <v>583</v>
      </c>
      <c r="D127" s="6641"/>
      <c r="E127" s="6641"/>
      <c r="F127" s="6641"/>
      <c r="G127" s="3193"/>
      <c r="H127" s="3193"/>
      <c r="I127" s="3193"/>
      <c r="J127" s="3193"/>
      <c r="K127" s="3193"/>
      <c r="L127" s="3193"/>
      <c r="M127" s="3193"/>
      <c r="N127" s="3193"/>
      <c r="O127" s="3193"/>
      <c r="P127" s="3193"/>
      <c r="Q127" s="3193"/>
    </row>
    <row r="128" spans="2:17" ht="20.100000000000001" customHeight="1">
      <c r="B128" s="3193"/>
      <c r="C128" s="472"/>
      <c r="D128" s="472"/>
      <c r="E128" s="472"/>
      <c r="F128" s="472"/>
      <c r="G128" s="3193"/>
      <c r="H128" s="3193"/>
      <c r="I128" s="3193"/>
      <c r="J128" s="3193"/>
      <c r="K128" s="3193"/>
      <c r="L128" s="3193"/>
      <c r="M128" s="3193"/>
      <c r="N128" s="3193"/>
      <c r="O128" s="3193"/>
      <c r="P128" s="3193"/>
      <c r="Q128" s="3193"/>
    </row>
    <row r="129" spans="2:17" ht="20.100000000000001" customHeight="1">
      <c r="B129" s="352" t="s">
        <v>365</v>
      </c>
      <c r="C129" s="6624" t="s">
        <v>582</v>
      </c>
      <c r="D129" s="6624"/>
      <c r="E129" s="6624"/>
      <c r="F129" s="6624"/>
      <c r="G129" s="3193"/>
      <c r="H129" s="3193"/>
      <c r="I129" s="3193"/>
      <c r="J129" s="3193"/>
      <c r="K129" s="3193"/>
      <c r="L129" s="3193"/>
      <c r="M129" s="3193"/>
      <c r="N129" s="3193"/>
      <c r="O129" s="3193"/>
      <c r="P129" s="3193"/>
      <c r="Q129" s="3193"/>
    </row>
    <row r="130" spans="2:17" ht="20.100000000000001" customHeight="1">
      <c r="B130" s="3193"/>
      <c r="C130" s="472"/>
      <c r="D130" s="472"/>
      <c r="E130" s="472"/>
      <c r="F130" s="472"/>
      <c r="G130" s="3193"/>
      <c r="H130" s="3193"/>
      <c r="I130" s="3193"/>
      <c r="J130" s="3193"/>
      <c r="K130" s="3193"/>
      <c r="L130" s="3193"/>
      <c r="M130" s="3193"/>
      <c r="N130" s="3193"/>
      <c r="O130" s="3193"/>
      <c r="P130" s="3193"/>
      <c r="Q130" s="3193"/>
    </row>
    <row r="131" spans="2:17" ht="20.100000000000001" customHeight="1">
      <c r="B131" s="3193"/>
      <c r="C131" s="474" t="s">
        <v>581</v>
      </c>
      <c r="D131" s="472"/>
      <c r="E131" s="472"/>
      <c r="F131" s="476"/>
      <c r="G131" s="3193"/>
      <c r="H131" s="3193"/>
      <c r="I131" s="3193"/>
      <c r="J131" s="3193"/>
      <c r="K131" s="3193"/>
      <c r="L131" s="3193"/>
      <c r="M131" s="3193"/>
      <c r="N131" s="3193"/>
      <c r="O131" s="3193"/>
      <c r="P131" s="3193"/>
      <c r="Q131" s="3193"/>
    </row>
    <row r="132" spans="2:17" ht="20.100000000000001" customHeight="1">
      <c r="B132" s="352" t="s">
        <v>365</v>
      </c>
      <c r="C132" s="6625" t="s">
        <v>580</v>
      </c>
      <c r="D132" s="6625"/>
      <c r="E132" s="6625"/>
      <c r="F132" s="6625"/>
      <c r="G132" s="6625"/>
      <c r="H132" s="6625"/>
      <c r="I132" s="6625"/>
      <c r="J132" s="3193"/>
      <c r="K132" s="3193"/>
      <c r="L132" s="3193"/>
      <c r="M132" s="3193"/>
      <c r="N132" s="3193"/>
      <c r="O132" s="3193"/>
      <c r="P132" s="3193"/>
      <c r="Q132" s="3193"/>
    </row>
    <row r="133" spans="2:17" ht="20.100000000000001" customHeight="1">
      <c r="B133" s="3013"/>
      <c r="C133" s="3013"/>
      <c r="D133" s="3013"/>
      <c r="E133" s="3013"/>
      <c r="F133" s="3013"/>
      <c r="G133" s="3013"/>
      <c r="H133" s="3013"/>
      <c r="I133" s="3013"/>
      <c r="J133" s="3193"/>
      <c r="K133" s="3193"/>
      <c r="L133" s="3193"/>
      <c r="M133" s="3193"/>
      <c r="N133" s="3193"/>
      <c r="O133" s="3193"/>
      <c r="P133" s="3193"/>
      <c r="Q133" s="3193"/>
    </row>
    <row r="134" spans="2:17" ht="20.100000000000001" customHeight="1">
      <c r="B134" s="352" t="s">
        <v>365</v>
      </c>
      <c r="C134" s="6625" t="s">
        <v>579</v>
      </c>
      <c r="D134" s="6625"/>
      <c r="E134" s="472"/>
      <c r="F134" s="472"/>
      <c r="G134" s="3193"/>
      <c r="H134" s="3193"/>
      <c r="I134" s="3193"/>
      <c r="J134" s="3193"/>
      <c r="K134" s="3193"/>
      <c r="L134" s="3193"/>
      <c r="M134" s="3193"/>
      <c r="N134" s="3193"/>
      <c r="O134" s="3193"/>
      <c r="P134" s="3193"/>
      <c r="Q134" s="3193"/>
    </row>
    <row r="135" spans="2:17" ht="20.100000000000001" customHeight="1">
      <c r="B135" s="3193"/>
      <c r="C135" s="472"/>
      <c r="D135" s="472"/>
      <c r="E135" s="472"/>
      <c r="F135" s="476"/>
      <c r="G135" s="3193"/>
      <c r="H135" s="3193"/>
      <c r="I135" s="3193"/>
      <c r="J135" s="3193"/>
      <c r="K135" s="3193"/>
      <c r="L135" s="3193"/>
      <c r="M135" s="3193"/>
      <c r="N135" s="3193"/>
      <c r="O135" s="3193"/>
      <c r="P135" s="3193"/>
      <c r="Q135" s="3193"/>
    </row>
    <row r="136" spans="2:17" ht="20.100000000000001" customHeight="1">
      <c r="B136" s="3193"/>
      <c r="C136" s="474" t="s">
        <v>578</v>
      </c>
      <c r="D136" s="472"/>
      <c r="E136" s="472"/>
      <c r="F136" s="472"/>
      <c r="G136" s="3193"/>
      <c r="H136" s="3193"/>
      <c r="I136" s="3193"/>
      <c r="J136" s="3193"/>
      <c r="K136" s="3193"/>
      <c r="L136" s="3193"/>
      <c r="M136" s="3193"/>
      <c r="N136" s="3193"/>
      <c r="O136" s="3193"/>
      <c r="P136" s="3193"/>
      <c r="Q136" s="3193"/>
    </row>
    <row r="137" spans="2:17" ht="20.100000000000001" customHeight="1">
      <c r="B137" s="352" t="s">
        <v>365</v>
      </c>
      <c r="C137" s="6625" t="s">
        <v>577</v>
      </c>
      <c r="D137" s="6625"/>
      <c r="E137" s="6625"/>
      <c r="F137" s="6625"/>
      <c r="G137" s="3193"/>
      <c r="H137" s="3193"/>
      <c r="I137" s="3193"/>
      <c r="J137" s="3193"/>
      <c r="K137" s="3193"/>
      <c r="L137" s="3193"/>
      <c r="M137" s="3193"/>
      <c r="N137" s="3193"/>
      <c r="O137" s="3193"/>
      <c r="P137" s="3193"/>
      <c r="Q137" s="3193"/>
    </row>
    <row r="138" spans="2:17" ht="20.100000000000001" customHeight="1">
      <c r="B138" s="3193"/>
      <c r="C138" s="472"/>
      <c r="D138" s="472"/>
      <c r="E138" s="472"/>
      <c r="F138" s="472"/>
      <c r="G138" s="3193"/>
      <c r="H138" s="3193"/>
      <c r="I138" s="3193"/>
      <c r="J138" s="3193"/>
      <c r="K138" s="3193"/>
      <c r="L138" s="3193"/>
      <c r="M138" s="3193"/>
      <c r="N138" s="3193"/>
      <c r="O138" s="3193"/>
      <c r="P138" s="3193"/>
      <c r="Q138" s="3193"/>
    </row>
    <row r="139" spans="2:17" ht="20.100000000000001" customHeight="1">
      <c r="B139" s="3193"/>
      <c r="C139" s="474" t="s">
        <v>576</v>
      </c>
      <c r="D139" s="472"/>
      <c r="E139" s="472"/>
      <c r="F139" s="472"/>
      <c r="G139" s="3193"/>
      <c r="H139" s="3193"/>
      <c r="I139" s="3193"/>
      <c r="J139" s="3193"/>
      <c r="K139" s="3193"/>
      <c r="L139" s="3193"/>
      <c r="M139" s="3193"/>
      <c r="N139" s="3193"/>
      <c r="O139" s="3193"/>
      <c r="P139" s="3193"/>
      <c r="Q139" s="3193"/>
    </row>
    <row r="140" spans="2:17" ht="20.100000000000001" customHeight="1">
      <c r="B140" s="352" t="s">
        <v>365</v>
      </c>
      <c r="C140" s="6625" t="s">
        <v>575</v>
      </c>
      <c r="D140" s="6625"/>
      <c r="E140" s="6625"/>
      <c r="F140" s="6625"/>
      <c r="G140" s="3193"/>
      <c r="H140" s="3193"/>
      <c r="I140" s="3193"/>
      <c r="J140" s="3193"/>
      <c r="K140" s="3193"/>
      <c r="L140" s="3193"/>
      <c r="M140" s="3193"/>
      <c r="N140" s="3193"/>
      <c r="O140" s="3193"/>
      <c r="P140" s="3193"/>
      <c r="Q140" s="3193"/>
    </row>
    <row r="141" spans="2:17" ht="20.100000000000001" customHeight="1">
      <c r="B141" s="3193"/>
      <c r="C141" s="472"/>
      <c r="D141" s="472"/>
      <c r="E141" s="472"/>
      <c r="F141" s="472"/>
      <c r="G141" s="3193"/>
      <c r="H141" s="3193"/>
      <c r="I141" s="3193"/>
      <c r="J141" s="3193"/>
      <c r="K141" s="3193"/>
      <c r="L141" s="3193"/>
      <c r="M141" s="3193"/>
      <c r="N141" s="3193"/>
      <c r="O141" s="3193"/>
      <c r="P141" s="3193"/>
      <c r="Q141" s="3193"/>
    </row>
    <row r="142" spans="2:17" ht="20.100000000000001" customHeight="1">
      <c r="B142" s="3193"/>
      <c r="C142" s="474" t="s">
        <v>574</v>
      </c>
      <c r="D142" s="472"/>
      <c r="E142" s="472"/>
      <c r="F142" s="472"/>
      <c r="G142" s="3193"/>
      <c r="H142" s="3193"/>
      <c r="I142" s="3193"/>
      <c r="J142" s="3193"/>
      <c r="K142" s="3193"/>
      <c r="L142" s="3193"/>
      <c r="M142" s="3193"/>
      <c r="N142" s="3193"/>
      <c r="O142" s="3193"/>
      <c r="P142" s="3193"/>
      <c r="Q142" s="3193"/>
    </row>
    <row r="143" spans="2:17" ht="20.100000000000001" customHeight="1">
      <c r="B143" s="352" t="s">
        <v>365</v>
      </c>
      <c r="C143" s="6625" t="s">
        <v>573</v>
      </c>
      <c r="D143" s="6625"/>
      <c r="E143" s="472"/>
      <c r="F143" s="472"/>
      <c r="G143" s="3193"/>
      <c r="H143" s="3193"/>
      <c r="I143" s="3193"/>
      <c r="J143" s="3193"/>
      <c r="K143" s="3193"/>
      <c r="L143" s="3193"/>
      <c r="M143" s="3193"/>
      <c r="N143" s="3193"/>
      <c r="O143" s="3193"/>
      <c r="P143" s="3193"/>
      <c r="Q143" s="3193"/>
    </row>
    <row r="144" spans="2:17" ht="20.100000000000001" customHeight="1">
      <c r="B144" s="3013"/>
      <c r="C144" s="3013"/>
      <c r="D144" s="3013"/>
      <c r="E144" s="472"/>
      <c r="F144" s="472"/>
      <c r="G144" s="3193"/>
      <c r="H144" s="3193"/>
      <c r="I144" s="3193"/>
      <c r="J144" s="3193"/>
      <c r="K144" s="3193"/>
      <c r="L144" s="3193"/>
      <c r="M144" s="3193"/>
      <c r="N144" s="3193"/>
      <c r="O144" s="3193"/>
      <c r="P144" s="3193"/>
      <c r="Q144" s="3193"/>
    </row>
    <row r="145" spans="1:17" ht="20.100000000000001" customHeight="1">
      <c r="B145" s="475" t="s">
        <v>365</v>
      </c>
      <c r="C145" s="6640" t="s">
        <v>572</v>
      </c>
      <c r="D145" s="6641"/>
      <c r="E145" s="6641"/>
      <c r="F145" s="6641"/>
      <c r="G145" s="3193"/>
      <c r="H145" s="3193"/>
      <c r="I145" s="3193"/>
      <c r="J145" s="3193"/>
      <c r="K145" s="3193"/>
      <c r="L145" s="3193"/>
      <c r="M145" s="3193"/>
      <c r="N145" s="3193"/>
      <c r="O145" s="3193"/>
      <c r="P145" s="3193"/>
      <c r="Q145" s="3193"/>
    </row>
    <row r="146" spans="1:17" ht="20.100000000000001" customHeight="1">
      <c r="B146" s="3193"/>
      <c r="C146" s="472"/>
      <c r="D146" s="473"/>
      <c r="E146" s="472"/>
      <c r="F146" s="471"/>
      <c r="G146" s="3193"/>
      <c r="H146" s="3193"/>
      <c r="I146" s="3193"/>
      <c r="J146" s="3193"/>
      <c r="K146" s="3193"/>
      <c r="L146" s="3193"/>
      <c r="M146" s="3193"/>
      <c r="N146" s="3193"/>
      <c r="O146" s="3193"/>
      <c r="P146" s="3193"/>
      <c r="Q146" s="3193"/>
    </row>
    <row r="147" spans="1:17" ht="20.100000000000001" customHeight="1">
      <c r="B147" s="3193"/>
      <c r="C147" s="474" t="s">
        <v>571</v>
      </c>
      <c r="D147" s="473"/>
      <c r="E147" s="472"/>
      <c r="F147" s="471"/>
      <c r="G147" s="3193"/>
      <c r="H147" s="3193"/>
      <c r="I147" s="3193"/>
      <c r="J147" s="3193"/>
      <c r="K147" s="3193"/>
      <c r="L147" s="3193"/>
      <c r="M147" s="3193"/>
      <c r="N147" s="3193"/>
      <c r="O147" s="3193"/>
      <c r="P147" s="3193"/>
      <c r="Q147" s="3193"/>
    </row>
    <row r="148" spans="1:17" ht="20.100000000000001" customHeight="1">
      <c r="B148" s="352" t="s">
        <v>365</v>
      </c>
      <c r="C148" s="6625" t="s">
        <v>570</v>
      </c>
      <c r="D148" s="6625"/>
      <c r="E148" s="6625"/>
      <c r="F148" s="6625"/>
      <c r="G148" s="6625"/>
      <c r="H148" s="3193"/>
      <c r="I148" s="3193"/>
      <c r="J148" s="3193"/>
      <c r="K148" s="3193"/>
      <c r="L148" s="3193"/>
      <c r="M148" s="3193"/>
      <c r="N148" s="3193"/>
      <c r="O148" s="3193"/>
      <c r="P148" s="3193"/>
      <c r="Q148" s="3193"/>
    </row>
    <row r="149" spans="1:17" ht="20.100000000000001" customHeight="1">
      <c r="B149" s="3193"/>
      <c r="C149" s="3193"/>
      <c r="D149" s="3193"/>
      <c r="E149" s="356"/>
      <c r="F149" s="356"/>
      <c r="G149" s="3193"/>
      <c r="H149" s="3193"/>
      <c r="I149" s="3193"/>
      <c r="J149" s="3193"/>
      <c r="K149" s="3193"/>
      <c r="L149" s="3193"/>
      <c r="M149" s="3193"/>
      <c r="N149" s="3193"/>
      <c r="O149" s="3193"/>
      <c r="P149" s="3193"/>
      <c r="Q149" s="3193"/>
    </row>
    <row r="150" spans="1:17">
      <c r="A150" s="3228"/>
      <c r="B150" s="5"/>
      <c r="C150" s="6"/>
      <c r="D150" s="6"/>
      <c r="E150" s="6"/>
      <c r="F150" s="6"/>
      <c r="G150" s="6"/>
      <c r="H150" s="6"/>
      <c r="I150" s="6"/>
      <c r="J150" s="5"/>
      <c r="K150" s="5"/>
      <c r="L150" s="5"/>
      <c r="M150" s="3228"/>
      <c r="N150" s="3228"/>
      <c r="O150" s="3228"/>
      <c r="P150" s="3228"/>
      <c r="Q150" s="3228"/>
    </row>
    <row r="151" spans="1:17" ht="18.75">
      <c r="A151" s="3193"/>
      <c r="B151" s="3263" t="s">
        <v>3044</v>
      </c>
      <c r="C151" s="3193"/>
      <c r="D151" s="3193"/>
      <c r="E151" s="3193"/>
      <c r="F151" s="572"/>
      <c r="G151" s="572"/>
      <c r="H151" s="3"/>
      <c r="I151" s="490"/>
      <c r="J151" s="3264"/>
      <c r="K151" s="3264"/>
      <c r="L151" s="139"/>
      <c r="M151" s="490"/>
      <c r="N151" s="490"/>
      <c r="O151" s="3193"/>
      <c r="P151" s="3193"/>
      <c r="Q151" s="3"/>
    </row>
    <row r="152" spans="1:17" ht="18.75">
      <c r="A152" s="3193"/>
      <c r="B152" s="3263"/>
      <c r="C152" s="6646" t="s">
        <v>3045</v>
      </c>
      <c r="D152" s="6646"/>
      <c r="E152" s="6646"/>
      <c r="F152" s="6646"/>
      <c r="G152" s="6646"/>
      <c r="H152" s="6646"/>
      <c r="I152" s="490"/>
      <c r="J152" s="490"/>
      <c r="K152" s="139"/>
      <c r="L152" s="139"/>
      <c r="M152" s="490"/>
      <c r="N152" s="490"/>
      <c r="O152" s="3193"/>
      <c r="P152" s="3193"/>
      <c r="Q152" s="3"/>
    </row>
    <row r="153" spans="1:17" ht="18.75">
      <c r="A153" s="3193"/>
      <c r="B153" s="3263"/>
      <c r="C153" s="470"/>
      <c r="D153" s="572"/>
      <c r="E153" s="572"/>
      <c r="F153" s="572"/>
      <c r="G153" s="572"/>
      <c r="H153" s="3"/>
      <c r="I153" s="490"/>
      <c r="J153" s="490"/>
      <c r="K153" s="139"/>
      <c r="L153" s="139"/>
      <c r="M153" s="490"/>
      <c r="N153" s="490"/>
      <c r="O153" s="3193"/>
      <c r="P153" s="3193"/>
      <c r="Q153" s="3"/>
    </row>
    <row r="154" spans="1:17" ht="18.75">
      <c r="A154" s="3193"/>
      <c r="B154" s="3265"/>
      <c r="C154" s="6647" t="s">
        <v>3046</v>
      </c>
      <c r="D154" s="6647"/>
      <c r="E154" s="6647"/>
      <c r="F154" s="6647"/>
      <c r="G154" s="3"/>
      <c r="H154" s="3"/>
      <c r="I154" s="3"/>
      <c r="J154" s="3"/>
      <c r="K154" s="3"/>
      <c r="L154" s="139"/>
      <c r="M154" s="490"/>
      <c r="N154" s="490"/>
      <c r="O154" s="3193"/>
      <c r="P154" s="3193"/>
      <c r="Q154" s="3"/>
    </row>
    <row r="155" spans="1:17" ht="18.75">
      <c r="A155" s="3193"/>
      <c r="B155" s="3265"/>
      <c r="C155" s="3266"/>
      <c r="D155" s="572"/>
      <c r="E155" s="572"/>
      <c r="F155" s="572"/>
      <c r="G155" s="3"/>
      <c r="H155" s="3"/>
      <c r="I155" s="3"/>
      <c r="J155" s="3"/>
      <c r="K155" s="139"/>
      <c r="L155" s="139"/>
      <c r="M155" s="490"/>
      <c r="N155" s="490"/>
      <c r="O155" s="3193"/>
      <c r="P155" s="3193"/>
      <c r="Q155" s="3"/>
    </row>
    <row r="156" spans="1:17" ht="18.75">
      <c r="A156" s="3193"/>
      <c r="B156" s="3263"/>
      <c r="C156" s="6646" t="s">
        <v>3047</v>
      </c>
      <c r="D156" s="6646"/>
      <c r="E156" s="6646"/>
      <c r="F156" s="6646"/>
      <c r="G156" s="3"/>
      <c r="H156" s="3"/>
      <c r="I156" s="3"/>
      <c r="J156" s="3"/>
      <c r="K156" s="3"/>
      <c r="L156" s="139"/>
      <c r="M156" s="490"/>
      <c r="N156" s="490"/>
      <c r="O156" s="3193"/>
      <c r="P156" s="3193"/>
      <c r="Q156" s="3"/>
    </row>
    <row r="157" spans="1:17" ht="18.75">
      <c r="A157" s="3193"/>
      <c r="B157" s="3263"/>
      <c r="C157" s="3263"/>
      <c r="D157" s="3263"/>
      <c r="E157" s="3263"/>
      <c r="F157" s="3263"/>
      <c r="G157" s="3"/>
      <c r="H157" s="3"/>
      <c r="I157" s="3"/>
      <c r="J157" s="3"/>
      <c r="K157" s="3"/>
      <c r="L157" s="139"/>
      <c r="M157" s="490"/>
      <c r="N157" s="490"/>
      <c r="O157" s="3193"/>
      <c r="P157" s="3193"/>
      <c r="Q157" s="3"/>
    </row>
    <row r="158" spans="1:17" ht="18.75">
      <c r="A158" s="3193"/>
      <c r="B158" s="3263"/>
      <c r="C158" s="6646" t="s">
        <v>3048</v>
      </c>
      <c r="D158" s="6646"/>
      <c r="E158" s="6646"/>
      <c r="F158" s="6646"/>
      <c r="G158" s="3"/>
      <c r="H158" s="3"/>
      <c r="I158" s="3"/>
      <c r="J158" s="3"/>
      <c r="K158" s="3"/>
      <c r="L158" s="139"/>
      <c r="M158" s="490"/>
      <c r="N158" s="490"/>
      <c r="O158" s="3193"/>
      <c r="P158" s="3193"/>
      <c r="Q158" s="3"/>
    </row>
    <row r="159" spans="1:17" ht="18.75">
      <c r="A159" s="3193"/>
      <c r="B159" s="3263"/>
      <c r="C159" s="470"/>
      <c r="D159" s="572"/>
      <c r="E159" s="572"/>
      <c r="F159" s="572"/>
      <c r="G159" s="3"/>
      <c r="H159" s="3"/>
      <c r="I159" s="3"/>
      <c r="J159" s="3"/>
      <c r="K159" s="3"/>
      <c r="L159" s="139"/>
      <c r="M159" s="490"/>
      <c r="N159" s="490"/>
      <c r="O159" s="3193"/>
      <c r="P159" s="3193"/>
      <c r="Q159" s="3"/>
    </row>
    <row r="160" spans="1:17" ht="16.5" customHeight="1">
      <c r="A160" s="3193"/>
      <c r="B160" s="3267" t="s">
        <v>569</v>
      </c>
      <c r="C160" s="3268"/>
      <c r="D160" s="3269"/>
      <c r="E160" s="3268"/>
      <c r="F160" s="3268"/>
      <c r="G160" s="3268"/>
      <c r="H160" s="3268"/>
      <c r="I160" s="3268"/>
      <c r="J160" s="3268"/>
      <c r="K160" s="3268"/>
      <c r="L160" s="3193"/>
      <c r="M160" s="3193"/>
      <c r="N160" s="3193"/>
      <c r="O160" s="3193"/>
      <c r="P160" s="3193"/>
      <c r="Q160" s="3193"/>
    </row>
    <row r="161" spans="1:17" ht="16.5" customHeight="1">
      <c r="A161" s="3193"/>
      <c r="B161" s="3270"/>
      <c r="C161" s="3268"/>
      <c r="D161" s="3271" t="s">
        <v>568</v>
      </c>
      <c r="E161" s="3272"/>
      <c r="F161" s="3272"/>
      <c r="G161" s="3268"/>
      <c r="H161" s="3268"/>
      <c r="I161" s="3268"/>
      <c r="J161" s="3268"/>
      <c r="K161" s="3268"/>
      <c r="L161" s="3193"/>
      <c r="M161" s="3193"/>
      <c r="N161" s="3193"/>
      <c r="O161" s="3193"/>
      <c r="P161" s="3193"/>
      <c r="Q161" s="3193"/>
    </row>
    <row r="162" spans="1:17" ht="20.100000000000001" customHeight="1">
      <c r="A162" s="3193"/>
      <c r="B162" s="3273"/>
      <c r="C162" s="3268"/>
      <c r="D162" s="3272" t="s">
        <v>567</v>
      </c>
      <c r="E162" s="3268"/>
      <c r="F162" s="3268"/>
      <c r="G162" s="3268"/>
      <c r="H162" s="3268"/>
      <c r="I162" s="3268"/>
      <c r="J162" s="3268"/>
      <c r="K162" s="3268"/>
      <c r="L162" s="3193"/>
      <c r="M162" s="3193"/>
      <c r="N162" s="3193"/>
      <c r="O162" s="3193"/>
      <c r="P162" s="3193"/>
      <c r="Q162" s="3193"/>
    </row>
    <row r="163" spans="1:17" ht="20.100000000000001" customHeight="1">
      <c r="A163" s="3193"/>
      <c r="B163" s="3273"/>
      <c r="C163" s="3268"/>
      <c r="D163" s="3272" t="s">
        <v>566</v>
      </c>
      <c r="E163" s="3268"/>
      <c r="F163" s="3268"/>
      <c r="G163" s="3268"/>
      <c r="H163" s="3268"/>
      <c r="I163" s="3271" t="s">
        <v>565</v>
      </c>
      <c r="J163" s="3268"/>
      <c r="K163" s="3268"/>
      <c r="L163" s="3193"/>
      <c r="M163" s="3193"/>
      <c r="N163" s="3193"/>
      <c r="O163" s="3193"/>
      <c r="P163" s="3193"/>
      <c r="Q163" s="3193"/>
    </row>
    <row r="164" spans="1:17" ht="20.100000000000001" customHeight="1" thickBot="1">
      <c r="A164" s="3193"/>
      <c r="B164" s="3274" t="s">
        <v>564</v>
      </c>
      <c r="C164" s="3275"/>
      <c r="D164" s="3276"/>
      <c r="E164" s="3275"/>
      <c r="F164" s="3277"/>
      <c r="G164" s="3275"/>
      <c r="H164" s="3275"/>
      <c r="I164" s="3275"/>
      <c r="J164" s="3275"/>
      <c r="K164" s="3275"/>
      <c r="L164" s="3193"/>
      <c r="M164" s="3193"/>
      <c r="N164" s="3193"/>
      <c r="O164" s="3193"/>
      <c r="P164" s="3193"/>
      <c r="Q164" s="3193"/>
    </row>
    <row r="165" spans="1:17" ht="20.100000000000001" customHeight="1" thickTop="1" thickBot="1">
      <c r="A165" s="3193"/>
      <c r="B165" s="3274"/>
      <c r="C165" s="3278"/>
      <c r="D165" s="3279">
        <f>LEN(F165)</f>
        <v>58</v>
      </c>
      <c r="E165" s="3280" t="s">
        <v>562</v>
      </c>
      <c r="F165" s="3281" t="s">
        <v>569</v>
      </c>
      <c r="G165" s="3275"/>
      <c r="H165" s="3275"/>
      <c r="I165" s="3275"/>
      <c r="J165" s="3275"/>
      <c r="K165" s="3275"/>
      <c r="L165" s="3193"/>
      <c r="M165" s="3193"/>
      <c r="N165" s="3193"/>
      <c r="O165" s="3193"/>
      <c r="P165" s="3193"/>
      <c r="Q165" s="3193"/>
    </row>
    <row r="166" spans="1:17" ht="20.100000000000001" customHeight="1" thickTop="1">
      <c r="A166" s="3193"/>
      <c r="B166" s="3274"/>
      <c r="C166" s="3275"/>
      <c r="D166" s="3275"/>
      <c r="E166" s="3275"/>
      <c r="F166" s="3282"/>
      <c r="G166" s="3275"/>
      <c r="H166" s="3275"/>
      <c r="I166" s="3275"/>
      <c r="J166" s="3275"/>
      <c r="K166" s="3275"/>
      <c r="L166" s="3193"/>
      <c r="M166" s="3193"/>
      <c r="N166" s="3193"/>
      <c r="O166" s="3193"/>
      <c r="P166" s="3193"/>
      <c r="Q166" s="3193"/>
    </row>
    <row r="167" spans="1:17" ht="20.100000000000001" customHeight="1">
      <c r="A167" s="3193"/>
      <c r="B167" s="3274" t="s">
        <v>563</v>
      </c>
      <c r="C167" s="3283"/>
      <c r="D167" s="3283"/>
      <c r="E167" s="3283"/>
      <c r="F167" s="3283"/>
      <c r="G167" s="3283"/>
      <c r="H167" s="3283"/>
      <c r="I167" s="3283"/>
      <c r="J167" s="3283"/>
      <c r="K167" s="3283"/>
      <c r="L167" s="3193"/>
      <c r="M167" s="3193"/>
      <c r="N167" s="3193"/>
      <c r="O167" s="3193"/>
      <c r="P167" s="3193"/>
      <c r="Q167" s="3193"/>
    </row>
    <row r="168" spans="1:17" ht="20.100000000000001" customHeight="1">
      <c r="A168" s="3193"/>
      <c r="B168" s="3274"/>
      <c r="C168" s="3278"/>
      <c r="D168" s="3279">
        <f>LEN(F168)</f>
        <v>50</v>
      </c>
      <c r="E168" s="3280" t="s">
        <v>562</v>
      </c>
      <c r="F168" s="3284" t="str">
        <f>SUBSTITUTE(F165," ","")</f>
        <v>Utilitairepoursupprimerlesespacevidesdansunephrase</v>
      </c>
      <c r="G168" s="3275"/>
      <c r="H168" s="3275"/>
      <c r="I168" s="3275"/>
      <c r="J168" s="3275"/>
      <c r="K168" s="3275"/>
      <c r="L168" s="3193"/>
      <c r="M168" s="3193"/>
      <c r="N168" s="3193"/>
      <c r="O168" s="3193"/>
      <c r="P168" s="3193"/>
      <c r="Q168" s="3193"/>
    </row>
    <row r="169" spans="1:17" ht="18">
      <c r="A169" s="3193"/>
      <c r="B169" s="3274"/>
      <c r="C169" s="3274" t="s">
        <v>561</v>
      </c>
      <c r="D169" s="3283"/>
      <c r="E169" s="3283"/>
      <c r="F169" s="3283"/>
      <c r="G169" s="3283"/>
      <c r="H169" s="3283"/>
      <c r="I169" s="3283"/>
      <c r="J169" s="3283"/>
      <c r="K169" s="3283"/>
      <c r="L169" s="3193"/>
      <c r="M169" s="3193"/>
      <c r="N169" s="3193"/>
      <c r="O169" s="3193"/>
      <c r="P169" s="3193"/>
      <c r="Q169" s="3193"/>
    </row>
    <row r="170" spans="1:17" ht="18">
      <c r="A170" s="3193"/>
      <c r="B170" s="3285"/>
      <c r="C170" s="3274" t="s">
        <v>560</v>
      </c>
      <c r="D170" s="3274"/>
      <c r="E170" s="3285"/>
      <c r="F170" s="3285"/>
      <c r="G170" s="3285"/>
      <c r="H170" s="3285"/>
      <c r="I170" s="3285"/>
      <c r="J170" s="3285"/>
      <c r="K170" s="3285"/>
      <c r="L170" s="3193"/>
      <c r="M170" s="3193"/>
      <c r="N170" s="3193"/>
      <c r="O170" s="3193"/>
      <c r="P170" s="3193"/>
      <c r="Q170" s="3193"/>
    </row>
    <row r="171" spans="1:17" ht="18">
      <c r="A171" s="3193"/>
      <c r="B171" s="3285"/>
      <c r="C171" s="3274" t="s">
        <v>559</v>
      </c>
      <c r="D171" s="3274"/>
      <c r="E171" s="3285"/>
      <c r="F171" s="3285"/>
      <c r="G171" s="3285"/>
      <c r="H171" s="3285"/>
      <c r="I171" s="3285"/>
      <c r="J171" s="3285"/>
      <c r="K171" s="3285"/>
      <c r="L171" s="3193"/>
      <c r="M171" s="3193"/>
      <c r="N171" s="3193"/>
      <c r="O171" s="3193"/>
      <c r="P171" s="3193"/>
      <c r="Q171" s="3193"/>
    </row>
    <row r="172" spans="1:17" ht="18">
      <c r="A172" s="3193"/>
      <c r="B172" s="3285"/>
      <c r="C172" s="3274"/>
      <c r="D172" s="3274"/>
      <c r="E172" s="3285"/>
      <c r="F172" s="3285"/>
      <c r="G172" s="3285"/>
      <c r="H172" s="3285"/>
      <c r="I172" s="3285"/>
      <c r="J172" s="3285"/>
      <c r="K172" s="3285"/>
      <c r="L172" s="3193"/>
      <c r="M172" s="3193"/>
      <c r="N172" s="3193"/>
      <c r="O172" s="3193"/>
      <c r="P172" s="3193"/>
      <c r="Q172" s="3193"/>
    </row>
    <row r="173" spans="1:17" ht="15.75">
      <c r="A173" s="3193"/>
      <c r="B173" s="3285"/>
      <c r="C173" s="3286" t="s">
        <v>3049</v>
      </c>
      <c r="D173" s="3287" t="s">
        <v>3050</v>
      </c>
      <c r="E173" s="3285"/>
      <c r="F173" s="3285"/>
      <c r="G173" s="3285"/>
      <c r="H173" s="3285"/>
      <c r="I173" s="3285"/>
      <c r="J173" s="3285"/>
      <c r="K173" s="3285"/>
      <c r="L173" s="3193"/>
      <c r="M173" s="3193"/>
      <c r="N173" s="3193"/>
      <c r="O173" s="3193"/>
      <c r="P173" s="3193"/>
      <c r="Q173" s="3193"/>
    </row>
    <row r="174" spans="1:17" ht="15" customHeight="1">
      <c r="B174" s="3285"/>
      <c r="C174" s="3285"/>
      <c r="D174" s="3285"/>
      <c r="E174" s="3285"/>
      <c r="F174" s="3285"/>
      <c r="G174" s="3285"/>
      <c r="H174" s="3285"/>
      <c r="I174" s="3285"/>
      <c r="J174" s="3285"/>
      <c r="K174" s="3285"/>
      <c r="L174" s="3193"/>
      <c r="M174" s="3193"/>
      <c r="N174" s="3193"/>
      <c r="O174" s="3193"/>
      <c r="P174" s="3193"/>
      <c r="Q174" s="3193"/>
    </row>
    <row r="175" spans="1:17">
      <c r="A175" s="3193"/>
      <c r="B175" s="3"/>
      <c r="C175" s="3"/>
      <c r="D175" s="3"/>
      <c r="E175" s="3"/>
      <c r="F175" s="3"/>
      <c r="G175" s="3"/>
      <c r="H175" s="3"/>
      <c r="I175" s="3"/>
      <c r="J175" s="3"/>
      <c r="K175" s="3"/>
      <c r="L175" s="3"/>
      <c r="M175" s="3193"/>
      <c r="N175" s="3193"/>
      <c r="O175" s="3193"/>
      <c r="P175" s="3193"/>
      <c r="Q175" s="3193"/>
    </row>
    <row r="176" spans="1:17" ht="18.75">
      <c r="A176" s="3193"/>
      <c r="B176" s="3"/>
      <c r="C176" s="3288"/>
      <c r="D176" s="470" t="s">
        <v>3047</v>
      </c>
      <c r="E176" s="3263"/>
      <c r="F176" s="3263"/>
      <c r="G176" s="3193"/>
      <c r="H176" s="3193"/>
      <c r="I176" s="3193"/>
      <c r="J176" s="3193"/>
      <c r="K176" s="3193"/>
      <c r="L176" s="3193"/>
      <c r="M176" s="3193"/>
      <c r="N176" s="3193"/>
      <c r="O176" s="3193"/>
      <c r="P176" s="3193"/>
      <c r="Q176" s="3193"/>
    </row>
    <row r="177" spans="1:17">
      <c r="A177" s="3193"/>
      <c r="B177" s="3"/>
      <c r="C177" s="3193"/>
      <c r="D177" s="3289"/>
      <c r="E177" s="3193"/>
      <c r="F177" s="3193"/>
      <c r="G177" s="3193"/>
      <c r="H177" s="3193"/>
      <c r="I177" s="3193"/>
      <c r="J177" s="3193"/>
      <c r="K177" s="3193"/>
      <c r="L177" s="3193"/>
      <c r="M177" s="3193"/>
      <c r="N177" s="3193"/>
      <c r="O177" s="3193"/>
      <c r="P177" s="3193"/>
      <c r="Q177" s="3193"/>
    </row>
    <row r="178" spans="1:17">
      <c r="A178" s="3193"/>
      <c r="B178" s="3"/>
      <c r="C178" s="3290" t="s">
        <v>3051</v>
      </c>
      <c r="D178" s="3193"/>
      <c r="E178" s="3193"/>
      <c r="F178" s="3193"/>
      <c r="G178" s="3193"/>
      <c r="H178" s="3193"/>
      <c r="I178" s="3291" t="s">
        <v>3052</v>
      </c>
      <c r="J178" s="3291" t="s">
        <v>3053</v>
      </c>
      <c r="K178" s="3193"/>
      <c r="L178" s="3193"/>
      <c r="M178" s="3193"/>
      <c r="N178" s="3193"/>
      <c r="O178" s="3193"/>
      <c r="P178" s="3193"/>
      <c r="Q178" s="3193"/>
    </row>
    <row r="179" spans="1:17">
      <c r="A179" s="3193"/>
      <c r="B179" s="3"/>
      <c r="C179" s="182" t="s">
        <v>3054</v>
      </c>
      <c r="D179" s="3193"/>
      <c r="E179" s="3193"/>
      <c r="F179" s="3193"/>
      <c r="G179" s="3193"/>
      <c r="H179" s="3193"/>
      <c r="I179" s="3292">
        <v>41422</v>
      </c>
      <c r="J179" s="3293">
        <v>4416</v>
      </c>
      <c r="K179" s="3193"/>
      <c r="L179" s="3193"/>
      <c r="M179" s="3193"/>
      <c r="N179" s="3193"/>
      <c r="O179" s="3193"/>
      <c r="P179" s="3193"/>
      <c r="Q179" s="3193"/>
    </row>
    <row r="180" spans="1:17">
      <c r="A180" s="3193"/>
      <c r="B180" s="3"/>
      <c r="C180" s="182" t="s">
        <v>3055</v>
      </c>
      <c r="D180" s="3193"/>
      <c r="E180" s="3193"/>
      <c r="F180" s="3193"/>
      <c r="G180" s="3193"/>
      <c r="H180" s="3193"/>
      <c r="I180" s="3292">
        <v>41092</v>
      </c>
      <c r="J180" s="3293">
        <v>14900</v>
      </c>
      <c r="K180" s="3193"/>
      <c r="L180" s="3193"/>
      <c r="M180" s="3193"/>
      <c r="N180" s="3193"/>
      <c r="O180" s="3193"/>
      <c r="P180" s="3193"/>
      <c r="Q180" s="3193"/>
    </row>
    <row r="181" spans="1:17">
      <c r="A181" s="3193"/>
      <c r="B181" s="3"/>
      <c r="C181" s="182" t="s">
        <v>3056</v>
      </c>
      <c r="D181" s="3193"/>
      <c r="E181" s="3193"/>
      <c r="F181" s="3193"/>
      <c r="G181" s="3193"/>
      <c r="H181" s="3193"/>
      <c r="I181" s="3292">
        <v>41062</v>
      </c>
      <c r="J181" s="3293">
        <v>36257</v>
      </c>
      <c r="K181" s="3193"/>
      <c r="L181" s="3193"/>
      <c r="M181" s="3193"/>
      <c r="N181" s="3193"/>
      <c r="O181" s="3193"/>
      <c r="P181" s="3193"/>
      <c r="Q181" s="3193"/>
    </row>
    <row r="182" spans="1:17">
      <c r="A182" s="3193"/>
      <c r="B182" s="3"/>
      <c r="C182" s="182" t="s">
        <v>3057</v>
      </c>
      <c r="D182" s="3193"/>
      <c r="E182" s="3193"/>
      <c r="F182" s="3193"/>
      <c r="G182" s="3193"/>
      <c r="H182" s="3193"/>
      <c r="I182" s="3292">
        <v>41062</v>
      </c>
      <c r="J182" s="3293">
        <v>14390</v>
      </c>
      <c r="K182" s="3193"/>
      <c r="L182" s="3193"/>
      <c r="M182" s="3193"/>
      <c r="N182" s="3193"/>
      <c r="O182" s="3193"/>
      <c r="P182" s="3193"/>
      <c r="Q182" s="3193"/>
    </row>
    <row r="183" spans="1:17">
      <c r="A183" s="3193"/>
      <c r="B183" s="3"/>
      <c r="C183" s="3294" t="s">
        <v>3058</v>
      </c>
      <c r="D183" s="3193"/>
      <c r="E183" s="3193"/>
      <c r="F183" s="3193"/>
      <c r="G183" s="3193"/>
      <c r="H183" s="3193"/>
      <c r="I183" s="3292">
        <v>41052</v>
      </c>
      <c r="J183" s="3293">
        <v>48910</v>
      </c>
      <c r="K183" s="3193"/>
      <c r="L183" s="3193"/>
      <c r="M183" s="3193"/>
      <c r="N183" s="3193"/>
      <c r="O183" s="3193"/>
      <c r="P183" s="3193"/>
      <c r="Q183" s="3193"/>
    </row>
    <row r="184" spans="1:17">
      <c r="A184" s="3193"/>
      <c r="B184" s="3"/>
      <c r="C184" s="182" t="s">
        <v>3059</v>
      </c>
      <c r="D184" s="3193"/>
      <c r="E184" s="3193"/>
      <c r="F184" s="3193"/>
      <c r="G184" s="3193"/>
      <c r="H184" s="3193"/>
      <c r="I184" s="3292">
        <v>41025</v>
      </c>
      <c r="J184" s="3293">
        <v>14751</v>
      </c>
      <c r="K184" s="3193"/>
      <c r="L184" s="3193"/>
      <c r="M184" s="3193"/>
      <c r="N184" s="3193"/>
      <c r="O184" s="3193"/>
      <c r="P184" s="3193"/>
      <c r="Q184" s="3193"/>
    </row>
    <row r="185" spans="1:17">
      <c r="A185" s="3193"/>
      <c r="B185" s="3"/>
      <c r="C185" s="182" t="s">
        <v>3060</v>
      </c>
      <c r="D185" s="3193"/>
      <c r="E185" s="3193"/>
      <c r="F185" s="3193"/>
      <c r="G185" s="3193"/>
      <c r="H185" s="3193"/>
      <c r="I185" s="3292">
        <v>40848</v>
      </c>
      <c r="J185" s="3293">
        <v>10084</v>
      </c>
      <c r="K185" s="3193"/>
      <c r="L185" s="3193"/>
      <c r="M185" s="3193"/>
      <c r="N185" s="3193"/>
      <c r="O185" s="3193"/>
      <c r="P185" s="3193"/>
      <c r="Q185" s="3193"/>
    </row>
    <row r="186" spans="1:17">
      <c r="A186" s="3193"/>
      <c r="B186" s="3"/>
      <c r="C186" s="182" t="s">
        <v>3061</v>
      </c>
      <c r="D186" s="3193"/>
      <c r="E186" s="3193"/>
      <c r="F186" s="3193"/>
      <c r="G186" s="3193"/>
      <c r="H186" s="3193"/>
      <c r="I186" s="3292">
        <v>40454</v>
      </c>
      <c r="J186" s="3293">
        <v>45222</v>
      </c>
      <c r="K186" s="3193"/>
      <c r="L186" s="3193"/>
      <c r="M186" s="3193"/>
      <c r="N186" s="3193"/>
      <c r="O186" s="3193"/>
      <c r="P186" s="3193"/>
      <c r="Q186" s="3193"/>
    </row>
    <row r="187" spans="1:17">
      <c r="A187" s="3193"/>
      <c r="B187" s="3"/>
      <c r="C187" s="182" t="s">
        <v>3062</v>
      </c>
      <c r="D187" s="3193"/>
      <c r="E187" s="3193"/>
      <c r="F187" s="3193"/>
      <c r="G187" s="3193"/>
      <c r="H187" s="3193"/>
      <c r="I187" s="3292">
        <v>40294</v>
      </c>
      <c r="J187" s="3293">
        <v>65784</v>
      </c>
      <c r="K187" s="3193"/>
      <c r="L187" s="3193"/>
      <c r="M187" s="3193"/>
      <c r="N187" s="3193"/>
      <c r="O187" s="3193"/>
      <c r="P187" s="3193"/>
      <c r="Q187" s="3193"/>
    </row>
    <row r="188" spans="1:17">
      <c r="A188" s="3193"/>
      <c r="B188" s="3"/>
      <c r="C188" s="182" t="s">
        <v>3063</v>
      </c>
      <c r="D188" s="3193"/>
      <c r="E188" s="3193"/>
      <c r="F188" s="3193"/>
      <c r="G188" s="3193"/>
      <c r="H188" s="3193"/>
      <c r="I188" s="3292">
        <v>40273</v>
      </c>
      <c r="J188" s="3293">
        <v>96965</v>
      </c>
      <c r="K188" s="3193"/>
      <c r="L188" s="3193"/>
      <c r="M188" s="3193"/>
      <c r="N188" s="3193"/>
      <c r="O188" s="3193"/>
      <c r="P188" s="3193"/>
      <c r="Q188" s="3193"/>
    </row>
    <row r="189" spans="1:17">
      <c r="A189" s="3193"/>
      <c r="B189" s="3"/>
      <c r="C189" s="182" t="s">
        <v>3064</v>
      </c>
      <c r="D189" s="3193"/>
      <c r="E189" s="3193"/>
      <c r="F189" s="3193"/>
      <c r="G189" s="3193"/>
      <c r="H189" s="3193"/>
      <c r="I189" s="3292">
        <v>40273</v>
      </c>
      <c r="J189" s="3293">
        <v>45902</v>
      </c>
      <c r="K189" s="3193"/>
      <c r="L189" s="3193"/>
      <c r="M189" s="3193"/>
      <c r="N189" s="3193"/>
      <c r="O189" s="3193"/>
      <c r="P189" s="3193"/>
      <c r="Q189" s="3193"/>
    </row>
    <row r="190" spans="1:17">
      <c r="A190" s="3193"/>
      <c r="B190" s="3"/>
      <c r="C190" s="182" t="s">
        <v>3065</v>
      </c>
      <c r="D190" s="3193"/>
      <c r="E190" s="3193"/>
      <c r="F190" s="3193"/>
      <c r="G190" s="3193"/>
      <c r="H190" s="3193"/>
      <c r="I190" s="3292">
        <v>40250</v>
      </c>
      <c r="J190" s="3293">
        <v>122444</v>
      </c>
      <c r="K190" s="3193"/>
      <c r="L190" s="3193"/>
      <c r="M190" s="3193"/>
      <c r="N190" s="3193"/>
      <c r="O190" s="3193"/>
      <c r="P190" s="3193"/>
      <c r="Q190" s="3193"/>
    </row>
    <row r="191" spans="1:17">
      <c r="A191" s="3193"/>
      <c r="B191" s="3"/>
      <c r="C191" s="182" t="s">
        <v>3066</v>
      </c>
      <c r="D191" s="3193"/>
      <c r="E191" s="3193"/>
      <c r="F191" s="3193"/>
      <c r="G191" s="3193"/>
      <c r="H191" s="3193"/>
      <c r="I191" s="3292">
        <v>40182</v>
      </c>
      <c r="J191" s="3293">
        <v>100241</v>
      </c>
      <c r="K191" s="3193"/>
      <c r="L191" s="3193"/>
      <c r="M191" s="3193"/>
      <c r="N191" s="3193"/>
      <c r="O191" s="3193"/>
      <c r="P191" s="3193"/>
      <c r="Q191" s="3193"/>
    </row>
    <row r="192" spans="1:17">
      <c r="A192" s="3193"/>
      <c r="B192" s="3"/>
      <c r="C192" s="182" t="s">
        <v>3067</v>
      </c>
      <c r="D192" s="3193"/>
      <c r="E192" s="3193"/>
      <c r="F192" s="3193"/>
      <c r="G192" s="3193"/>
      <c r="H192" s="3193"/>
      <c r="I192" s="3292">
        <v>40138</v>
      </c>
      <c r="J192" s="3293">
        <v>23956</v>
      </c>
      <c r="K192" s="3193"/>
      <c r="L192" s="3193"/>
      <c r="M192" s="3193"/>
      <c r="N192" s="3193"/>
      <c r="O192" s="3193"/>
      <c r="P192" s="3193"/>
      <c r="Q192" s="3193"/>
    </row>
    <row r="193" spans="1:17">
      <c r="A193" s="3193"/>
      <c r="B193" s="3"/>
      <c r="C193" s="182" t="s">
        <v>3068</v>
      </c>
      <c r="D193" s="3193"/>
      <c r="E193" s="3193"/>
      <c r="F193" s="3193"/>
      <c r="G193" s="3193"/>
      <c r="H193" s="3193"/>
      <c r="I193" s="3292">
        <v>40125</v>
      </c>
      <c r="J193" s="3293">
        <v>113684</v>
      </c>
      <c r="K193" s="3193"/>
      <c r="L193" s="3193"/>
      <c r="M193" s="3193"/>
      <c r="N193" s="3193"/>
      <c r="O193" s="3193"/>
      <c r="P193" s="3193"/>
      <c r="Q193" s="3193"/>
    </row>
    <row r="194" spans="1:17">
      <c r="A194" s="3193"/>
      <c r="B194" s="3"/>
      <c r="C194" s="182" t="s">
        <v>3069</v>
      </c>
      <c r="D194" s="3193"/>
      <c r="E194" s="3193"/>
      <c r="F194" s="3193"/>
      <c r="G194" s="3193"/>
      <c r="H194" s="3193"/>
      <c r="I194" s="3292">
        <v>40111</v>
      </c>
      <c r="J194" s="3293">
        <v>27154</v>
      </c>
      <c r="K194" s="3193"/>
      <c r="L194" s="3193"/>
      <c r="M194" s="3193"/>
      <c r="N194" s="3193"/>
      <c r="O194" s="3193"/>
      <c r="P194" s="3193"/>
      <c r="Q194" s="3193"/>
    </row>
    <row r="195" spans="1:17">
      <c r="A195" s="3193"/>
      <c r="B195" s="3"/>
      <c r="C195" s="182" t="s">
        <v>3070</v>
      </c>
      <c r="D195" s="3193"/>
      <c r="E195" s="3193"/>
      <c r="F195" s="3193"/>
      <c r="G195" s="3193"/>
      <c r="H195" s="3193"/>
      <c r="I195" s="3292">
        <v>40096</v>
      </c>
      <c r="J195" s="3293">
        <v>25774</v>
      </c>
      <c r="K195" s="3193"/>
      <c r="L195" s="3193"/>
      <c r="M195" s="3193"/>
      <c r="N195" s="3193"/>
      <c r="O195" s="3193"/>
      <c r="P195" s="3193"/>
      <c r="Q195" s="3193"/>
    </row>
    <row r="196" spans="1:17">
      <c r="A196" s="3193"/>
      <c r="B196" s="3"/>
      <c r="C196" s="182" t="s">
        <v>3071</v>
      </c>
      <c r="D196" s="3193"/>
      <c r="E196" s="3193"/>
      <c r="F196" s="3193"/>
      <c r="G196" s="3193"/>
      <c r="H196" s="3193"/>
      <c r="I196" s="3292">
        <v>40085</v>
      </c>
      <c r="J196" s="3293">
        <v>79344</v>
      </c>
      <c r="K196" s="3193"/>
      <c r="L196" s="3193"/>
      <c r="M196" s="3193"/>
      <c r="N196" s="3193"/>
      <c r="O196" s="3193"/>
      <c r="P196" s="3193"/>
      <c r="Q196" s="3193"/>
    </row>
    <row r="197" spans="1:17">
      <c r="A197" s="3193"/>
      <c r="B197" s="3"/>
      <c r="C197" s="182" t="s">
        <v>3072</v>
      </c>
      <c r="D197" s="3193"/>
      <c r="E197" s="3193"/>
      <c r="F197" s="3193"/>
      <c r="G197" s="3193"/>
      <c r="H197" s="3193"/>
      <c r="I197" s="3292">
        <v>40068</v>
      </c>
      <c r="J197" s="3293">
        <v>145176</v>
      </c>
      <c r="K197" s="3193"/>
      <c r="L197" s="3193"/>
      <c r="M197" s="3193"/>
      <c r="N197" s="3193"/>
      <c r="O197" s="3193"/>
      <c r="P197" s="3193"/>
      <c r="Q197" s="3193"/>
    </row>
    <row r="198" spans="1:17">
      <c r="A198" s="3193"/>
      <c r="B198" s="3"/>
      <c r="C198" s="182" t="s">
        <v>3073</v>
      </c>
      <c r="D198" s="3193"/>
      <c r="E198" s="3193"/>
      <c r="F198" s="3193"/>
      <c r="G198" s="3193"/>
      <c r="H198" s="3193"/>
      <c r="I198" s="3292">
        <v>40048</v>
      </c>
      <c r="J198" s="3293">
        <v>7657</v>
      </c>
      <c r="K198" s="3193"/>
      <c r="L198" s="3193"/>
      <c r="M198" s="3193"/>
      <c r="N198" s="3193"/>
      <c r="O198" s="3193"/>
      <c r="P198" s="3193"/>
      <c r="Q198" s="3193"/>
    </row>
    <row r="199" spans="1:17">
      <c r="A199" s="3193"/>
      <c r="B199" s="3"/>
      <c r="C199" s="182" t="s">
        <v>3074</v>
      </c>
      <c r="D199" s="3193"/>
      <c r="E199" s="3193"/>
      <c r="F199" s="3193"/>
      <c r="G199" s="3193"/>
      <c r="H199" s="3193"/>
      <c r="I199" s="3292">
        <v>40044</v>
      </c>
      <c r="J199" s="3293">
        <v>45164</v>
      </c>
      <c r="K199" s="3193"/>
      <c r="L199" s="3193"/>
      <c r="M199" s="3193"/>
      <c r="N199" s="3193"/>
      <c r="O199" s="3193"/>
      <c r="P199" s="3193"/>
      <c r="Q199" s="3193"/>
    </row>
    <row r="200" spans="1:17">
      <c r="A200" s="3193"/>
      <c r="B200" s="3"/>
      <c r="C200" s="182" t="s">
        <v>3075</v>
      </c>
      <c r="D200" s="3193"/>
      <c r="E200" s="3193"/>
      <c r="F200" s="3193"/>
      <c r="G200" s="3193"/>
      <c r="H200" s="3193"/>
      <c r="I200" s="3292">
        <v>40020</v>
      </c>
      <c r="J200" s="3293">
        <v>105218</v>
      </c>
      <c r="K200" s="3193"/>
      <c r="L200" s="3193"/>
      <c r="M200" s="3193"/>
      <c r="N200" s="3193"/>
      <c r="O200" s="3193"/>
      <c r="P200" s="3193"/>
      <c r="Q200" s="3193"/>
    </row>
    <row r="201" spans="1:17">
      <c r="A201" s="3193"/>
      <c r="B201" s="3"/>
      <c r="C201" s="182" t="s">
        <v>3076</v>
      </c>
      <c r="D201" s="3193"/>
      <c r="E201" s="3193"/>
      <c r="F201" s="3193"/>
      <c r="G201" s="3193"/>
      <c r="H201" s="3193"/>
      <c r="I201" s="3292">
        <v>39788</v>
      </c>
      <c r="J201" s="3293">
        <v>59780</v>
      </c>
      <c r="K201" s="3193"/>
      <c r="L201" s="3193"/>
      <c r="M201" s="3193"/>
      <c r="N201" s="3193"/>
      <c r="O201" s="3193"/>
      <c r="P201" s="3193"/>
      <c r="Q201" s="3193"/>
    </row>
    <row r="202" spans="1:17">
      <c r="A202" s="3193"/>
      <c r="B202" s="3"/>
      <c r="C202" s="182" t="s">
        <v>3077</v>
      </c>
      <c r="D202" s="3193"/>
      <c r="E202" s="3193"/>
      <c r="F202" s="3193"/>
      <c r="G202" s="3193"/>
      <c r="H202" s="3193"/>
      <c r="I202" s="3292">
        <v>39787</v>
      </c>
      <c r="J202" s="3293">
        <v>75563</v>
      </c>
      <c r="K202" s="3193"/>
      <c r="L202" s="3193"/>
      <c r="M202" s="3193"/>
      <c r="N202" s="3193"/>
      <c r="O202" s="3193"/>
      <c r="P202" s="3193"/>
      <c r="Q202" s="3193"/>
    </row>
    <row r="203" spans="1:17">
      <c r="A203" s="3193"/>
      <c r="B203" s="3"/>
      <c r="C203" s="182" t="s">
        <v>3078</v>
      </c>
      <c r="D203" s="3193"/>
      <c r="E203" s="3193"/>
      <c r="F203" s="3193"/>
      <c r="G203" s="3193"/>
      <c r="H203" s="3193"/>
      <c r="I203" s="3292">
        <v>39787</v>
      </c>
      <c r="J203" s="3293">
        <v>15781</v>
      </c>
      <c r="K203" s="3193"/>
      <c r="L203" s="3193"/>
      <c r="M203" s="3193"/>
      <c r="N203" s="3193"/>
      <c r="O203" s="3193"/>
      <c r="P203" s="3193"/>
      <c r="Q203" s="3193"/>
    </row>
    <row r="204" spans="1:17">
      <c r="A204" s="3193"/>
      <c r="B204" s="3"/>
      <c r="C204" s="182" t="s">
        <v>3079</v>
      </c>
      <c r="D204" s="3193"/>
      <c r="E204" s="3193"/>
      <c r="F204" s="3193"/>
      <c r="G204" s="3193"/>
      <c r="H204" s="3193"/>
      <c r="I204" s="3193"/>
      <c r="J204" s="3193"/>
      <c r="K204" s="3193"/>
      <c r="L204" s="3193"/>
      <c r="M204" s="3193"/>
      <c r="N204" s="3193"/>
      <c r="O204" s="3193"/>
      <c r="P204" s="3193"/>
      <c r="Q204" s="3193"/>
    </row>
    <row r="205" spans="1:17" ht="20.100000000000001" customHeight="1">
      <c r="B205" s="3193"/>
      <c r="C205" s="3193"/>
      <c r="D205" s="3193"/>
      <c r="E205" s="356"/>
      <c r="F205" s="356"/>
      <c r="G205" s="3193"/>
      <c r="H205" s="3193"/>
      <c r="I205" s="3193"/>
      <c r="J205" s="3193"/>
      <c r="K205" s="3193"/>
      <c r="L205" s="3193"/>
      <c r="M205" s="3193"/>
      <c r="N205" s="3193"/>
      <c r="O205" s="3193"/>
      <c r="P205" s="3193"/>
      <c r="Q205" s="3193"/>
    </row>
    <row r="206" spans="1:17" ht="20.100000000000001" customHeight="1">
      <c r="B206" s="3193"/>
      <c r="C206" s="3295" t="s">
        <v>558</v>
      </c>
      <c r="D206" s="3193"/>
      <c r="E206" s="356"/>
      <c r="F206" s="356"/>
      <c r="G206" s="3193"/>
      <c r="H206" s="3193"/>
      <c r="I206" s="3193"/>
      <c r="J206" s="3193"/>
      <c r="K206" s="3193"/>
      <c r="L206" s="3193"/>
      <c r="M206" s="3193"/>
      <c r="N206" s="3193"/>
      <c r="O206" s="3193"/>
      <c r="P206" s="3193"/>
      <c r="Q206" s="3193"/>
    </row>
    <row r="207" spans="1:17" ht="20.100000000000001" customHeight="1">
      <c r="B207" s="3193"/>
      <c r="C207" s="3193"/>
      <c r="D207" s="3193"/>
      <c r="E207" s="356"/>
      <c r="F207" s="356"/>
      <c r="G207" s="3193"/>
      <c r="H207" s="3193"/>
      <c r="I207" s="3193"/>
      <c r="J207" s="3193"/>
      <c r="K207" s="3193"/>
      <c r="L207" s="3193"/>
      <c r="M207" s="3193"/>
      <c r="N207" s="3193"/>
      <c r="O207" s="3193"/>
      <c r="P207" s="3193"/>
      <c r="Q207" s="3193"/>
    </row>
    <row r="208" spans="1:17" ht="20.100000000000001" customHeight="1">
      <c r="B208" s="3193"/>
      <c r="C208" s="3193"/>
      <c r="D208" s="3193"/>
      <c r="E208" s="356"/>
      <c r="F208" s="356"/>
      <c r="G208" s="3193"/>
      <c r="H208" s="3193"/>
      <c r="I208" s="3193"/>
      <c r="J208" s="3193"/>
      <c r="K208" s="3193"/>
      <c r="L208" s="3193"/>
      <c r="M208" s="3193"/>
      <c r="N208" s="3193"/>
      <c r="O208" s="3193"/>
      <c r="P208" s="3193"/>
      <c r="Q208" s="3193"/>
    </row>
    <row r="209" spans="1:1310" ht="20.100000000000001" customHeight="1">
      <c r="B209" s="3193"/>
      <c r="C209" s="3193"/>
      <c r="D209" s="3193"/>
      <c r="E209" s="356"/>
      <c r="F209" s="356"/>
      <c r="G209" s="3193"/>
      <c r="H209" s="3193"/>
      <c r="I209" s="3193"/>
      <c r="J209" s="3193"/>
      <c r="K209" s="3193"/>
      <c r="L209" s="3193"/>
      <c r="M209" s="3193"/>
      <c r="N209" s="3193"/>
      <c r="O209" s="3193"/>
      <c r="P209" s="3193"/>
      <c r="Q209" s="3193"/>
    </row>
    <row r="210" spans="1:1310" ht="20.100000000000001" customHeight="1">
      <c r="B210" s="3193"/>
      <c r="C210" s="3193"/>
      <c r="D210" s="3193"/>
      <c r="E210" s="356"/>
      <c r="F210" s="356"/>
      <c r="G210" s="3193"/>
      <c r="H210" s="3193"/>
      <c r="I210" s="3193"/>
      <c r="J210" s="3193"/>
      <c r="K210" s="3193"/>
      <c r="L210" s="3193"/>
      <c r="M210" s="3193"/>
      <c r="N210" s="3193"/>
      <c r="O210" s="3193"/>
      <c r="P210" s="3193"/>
      <c r="Q210" s="3193"/>
    </row>
    <row r="211" spans="1:1310" ht="20.100000000000001" customHeight="1">
      <c r="B211" s="3193"/>
      <c r="C211" s="3193"/>
      <c r="D211" s="3193"/>
      <c r="E211" s="356"/>
      <c r="F211" s="356"/>
      <c r="G211" s="3193"/>
      <c r="H211" s="3193"/>
      <c r="I211" s="3193"/>
      <c r="J211" s="3193"/>
      <c r="K211" s="3193"/>
      <c r="L211" s="3193"/>
      <c r="M211" s="3193"/>
      <c r="N211" s="3193"/>
      <c r="O211" s="3193"/>
      <c r="P211" s="3193"/>
      <c r="Q211" s="3193"/>
    </row>
    <row r="212" spans="1:1310" ht="20.100000000000001" customHeight="1">
      <c r="B212" s="3193"/>
      <c r="C212" s="3193"/>
      <c r="D212" s="3193"/>
      <c r="E212" s="356"/>
      <c r="F212" s="356"/>
      <c r="G212" s="3193"/>
      <c r="H212" s="3193"/>
      <c r="I212" s="3193"/>
      <c r="J212" s="3193"/>
      <c r="K212" s="3193"/>
      <c r="L212" s="3193"/>
      <c r="M212" s="3193"/>
      <c r="N212" s="3193"/>
      <c r="O212" s="3193"/>
      <c r="P212" s="3193"/>
      <c r="Q212" s="3193"/>
    </row>
    <row r="213" spans="1:1310" ht="20.100000000000001" customHeight="1">
      <c r="B213" s="3193"/>
      <c r="C213" s="3193"/>
      <c r="D213" s="3193"/>
      <c r="E213" s="356"/>
      <c r="F213" s="356"/>
      <c r="G213" s="3193"/>
      <c r="H213" s="3193"/>
      <c r="I213" s="3193"/>
      <c r="J213" s="3193"/>
      <c r="K213" s="3193"/>
      <c r="L213" s="3193"/>
      <c r="M213" s="3193"/>
      <c r="N213" s="3193"/>
      <c r="O213" s="3193"/>
      <c r="P213" s="3193"/>
      <c r="Q213" s="3193"/>
    </row>
    <row r="214" spans="1:1310" ht="20.100000000000001" customHeight="1">
      <c r="B214" s="3193"/>
      <c r="C214" s="3193"/>
      <c r="D214" s="3193"/>
      <c r="E214" s="356"/>
      <c r="F214" s="356"/>
      <c r="G214" s="3193"/>
      <c r="H214" s="3193"/>
      <c r="I214" s="3193"/>
      <c r="J214" s="3193"/>
      <c r="K214" s="3193"/>
      <c r="L214" s="3193"/>
      <c r="M214" s="3193"/>
      <c r="N214" s="3193"/>
      <c r="O214" s="3193"/>
      <c r="P214" s="3193"/>
      <c r="Q214" s="3193"/>
    </row>
    <row r="215" spans="1:1310" ht="20.100000000000001" customHeight="1">
      <c r="B215" s="3193"/>
      <c r="C215" s="3193"/>
      <c r="D215" s="3193"/>
      <c r="E215" s="356"/>
      <c r="F215" s="356"/>
      <c r="G215" s="3193"/>
      <c r="H215" s="3193"/>
      <c r="I215" s="3193"/>
      <c r="J215" s="3193"/>
      <c r="K215" s="3193"/>
      <c r="L215" s="3193"/>
      <c r="M215" s="3193"/>
      <c r="N215" s="3193"/>
      <c r="O215" s="3193"/>
      <c r="P215" s="3193"/>
      <c r="Q215" s="3193"/>
    </row>
    <row r="216" spans="1:1310" ht="20.100000000000001" customHeight="1">
      <c r="B216" s="3193"/>
      <c r="C216" s="3193"/>
      <c r="D216" s="3193"/>
      <c r="E216" s="356"/>
      <c r="F216" s="356"/>
      <c r="G216" s="3193"/>
      <c r="H216" s="3193"/>
      <c r="I216" s="3193"/>
      <c r="J216" s="3193"/>
      <c r="K216" s="3193"/>
      <c r="L216" s="3193"/>
      <c r="M216" s="3193"/>
      <c r="N216" s="3193"/>
      <c r="O216" s="3193"/>
      <c r="P216" s="3193"/>
      <c r="Q216" s="3193"/>
    </row>
    <row r="217" spans="1:1310" ht="20.100000000000001" customHeight="1">
      <c r="B217" s="3193"/>
      <c r="C217" s="3193"/>
      <c r="D217" s="3193"/>
      <c r="E217" s="356"/>
      <c r="F217" s="356"/>
      <c r="G217" s="3193"/>
      <c r="H217" s="3193"/>
      <c r="I217" s="3193"/>
      <c r="J217" s="3193"/>
      <c r="K217" s="3193"/>
      <c r="L217" s="3193"/>
      <c r="M217" s="3193"/>
      <c r="N217" s="3193"/>
      <c r="O217" s="3193"/>
      <c r="P217" s="3193"/>
      <c r="Q217" s="3193"/>
    </row>
    <row r="218" spans="1:1310" ht="20.100000000000001" customHeight="1">
      <c r="B218" s="3193"/>
      <c r="C218" s="3193"/>
      <c r="D218" s="3193"/>
      <c r="E218" s="356"/>
      <c r="F218" s="356"/>
      <c r="G218" s="3193"/>
      <c r="H218" s="3193"/>
      <c r="I218" s="3193"/>
      <c r="J218" s="3193"/>
      <c r="K218" s="3193"/>
      <c r="L218" s="3193"/>
      <c r="M218" s="3193"/>
      <c r="N218" s="3193"/>
      <c r="O218" s="3193"/>
      <c r="P218" s="3193"/>
      <c r="Q218" s="3193"/>
    </row>
    <row r="219" spans="1:1310" s="3298" customFormat="1" ht="23.25" customHeight="1">
      <c r="A219" s="3296">
        <v>1</v>
      </c>
      <c r="B219" s="6642" t="s">
        <v>3080</v>
      </c>
      <c r="C219" s="6642"/>
      <c r="D219" s="6642"/>
      <c r="E219" s="6642"/>
      <c r="F219" s="6642"/>
      <c r="G219" s="6642"/>
      <c r="H219" s="6642"/>
      <c r="I219" s="6642"/>
      <c r="J219" s="6642"/>
      <c r="K219" s="6642"/>
      <c r="L219" s="6642"/>
      <c r="M219" s="6642"/>
      <c r="N219" s="6642"/>
      <c r="O219" s="6642"/>
      <c r="P219" s="6642"/>
      <c r="Q219" s="6642"/>
      <c r="R219" s="443"/>
      <c r="S219" s="443"/>
      <c r="T219" s="443"/>
      <c r="U219" s="443"/>
      <c r="V219" s="443"/>
      <c r="W219" s="443"/>
      <c r="X219" s="443"/>
      <c r="Y219" s="443"/>
      <c r="Z219" s="443"/>
      <c r="AA219" s="443"/>
      <c r="AB219" s="443"/>
      <c r="AC219" s="443"/>
      <c r="AD219" s="3297"/>
      <c r="AE219" s="3297"/>
      <c r="AF219" s="3297"/>
      <c r="AG219" s="3297"/>
      <c r="AH219" s="3297"/>
      <c r="AI219" s="3297"/>
      <c r="AJ219" s="3297"/>
      <c r="AK219" s="3297"/>
      <c r="AL219" s="3297"/>
      <c r="AM219" s="3297"/>
      <c r="AN219" s="3297"/>
      <c r="AO219" s="3297"/>
      <c r="AP219" s="3297"/>
      <c r="AQ219" s="3297"/>
      <c r="AR219" s="3297"/>
      <c r="AS219" s="3297"/>
      <c r="AT219" s="3297"/>
      <c r="AU219" s="3297"/>
      <c r="AV219" s="3297"/>
      <c r="AW219" s="3297"/>
      <c r="AX219" s="3297"/>
      <c r="AY219" s="3297"/>
      <c r="AZ219" s="3297"/>
      <c r="BA219" s="3297"/>
      <c r="BB219" s="3297"/>
      <c r="BC219" s="3297"/>
      <c r="BD219" s="3297"/>
      <c r="BE219" s="3297"/>
      <c r="BF219" s="3297"/>
      <c r="BG219" s="3297"/>
      <c r="BH219" s="3297"/>
      <c r="BI219" s="3297"/>
      <c r="BJ219" s="3297"/>
      <c r="BK219" s="3297"/>
      <c r="BL219" s="3297"/>
      <c r="BM219" s="3297"/>
      <c r="BN219" s="3297"/>
      <c r="BO219" s="3297"/>
      <c r="BP219" s="3297"/>
      <c r="BQ219" s="3297"/>
      <c r="BR219" s="3297"/>
      <c r="BS219" s="3297"/>
      <c r="BT219" s="3297"/>
      <c r="BU219" s="3297"/>
      <c r="BV219" s="3297"/>
      <c r="BW219" s="3297"/>
      <c r="BX219" s="3297"/>
      <c r="BY219" s="3297"/>
      <c r="BZ219" s="3297"/>
      <c r="CA219" s="3297"/>
      <c r="CB219" s="3297"/>
      <c r="CC219" s="3297"/>
      <c r="CD219" s="3297"/>
      <c r="CE219" s="3297"/>
      <c r="CF219" s="3297"/>
      <c r="CG219" s="3297"/>
      <c r="CH219" s="3297"/>
      <c r="CI219" s="3297"/>
      <c r="CJ219" s="3297"/>
      <c r="CK219" s="3297"/>
      <c r="CL219" s="3297"/>
      <c r="CM219" s="3297"/>
      <c r="CN219" s="3297"/>
      <c r="CO219" s="3297"/>
      <c r="CP219" s="3297"/>
      <c r="CQ219" s="3297"/>
      <c r="CR219" s="3297"/>
      <c r="CS219" s="3297"/>
      <c r="CT219" s="3297"/>
      <c r="CU219" s="3297"/>
      <c r="CV219" s="3297"/>
      <c r="CW219" s="3297"/>
      <c r="CX219" s="3297"/>
      <c r="CY219" s="3297"/>
      <c r="CZ219" s="3297"/>
      <c r="DA219" s="3297"/>
      <c r="DB219" s="3297"/>
      <c r="DC219" s="3297"/>
      <c r="DD219" s="3297"/>
      <c r="DE219" s="3297"/>
      <c r="DF219" s="3297"/>
      <c r="DG219" s="3297"/>
      <c r="DH219" s="3297"/>
      <c r="DI219" s="3297"/>
      <c r="DJ219" s="3297"/>
      <c r="DK219" s="3297"/>
      <c r="DL219" s="3297"/>
      <c r="DM219" s="3297"/>
      <c r="DN219" s="3297"/>
      <c r="DO219" s="3297"/>
      <c r="DP219" s="3297"/>
      <c r="DQ219" s="3297"/>
      <c r="DR219" s="3297"/>
      <c r="DS219" s="3297"/>
      <c r="DT219" s="3297"/>
      <c r="DU219" s="3297"/>
      <c r="DV219" s="3297"/>
      <c r="DW219" s="3297"/>
      <c r="DX219" s="3297"/>
      <c r="DY219" s="3297"/>
      <c r="DZ219" s="3297"/>
      <c r="EA219" s="3297"/>
      <c r="EB219" s="3297"/>
      <c r="EC219" s="3297"/>
      <c r="ED219" s="3297"/>
      <c r="EE219" s="3297"/>
      <c r="EF219" s="3297"/>
      <c r="EG219" s="3297"/>
      <c r="EH219" s="3297"/>
      <c r="EI219" s="3297"/>
      <c r="EJ219" s="3297"/>
      <c r="EK219" s="3297"/>
      <c r="EL219" s="3297"/>
      <c r="EM219" s="3297"/>
      <c r="EN219" s="3297"/>
      <c r="EO219" s="3297"/>
      <c r="EP219" s="3297"/>
      <c r="EQ219" s="3297"/>
      <c r="ER219" s="3297"/>
      <c r="ES219" s="3297"/>
      <c r="ET219" s="3297"/>
      <c r="EU219" s="3297"/>
      <c r="EV219" s="3297"/>
      <c r="EW219" s="3297"/>
      <c r="EX219" s="3297"/>
      <c r="EY219" s="3297"/>
      <c r="EZ219" s="3297"/>
      <c r="FA219" s="3297"/>
      <c r="FB219" s="3297"/>
      <c r="FC219" s="3297"/>
      <c r="FD219" s="3297"/>
      <c r="FE219" s="3297"/>
      <c r="FF219" s="3297"/>
      <c r="FG219" s="3297"/>
      <c r="FH219" s="3297"/>
      <c r="FI219" s="3297"/>
      <c r="FJ219" s="3297"/>
      <c r="FK219" s="3297"/>
      <c r="FL219" s="3297"/>
      <c r="FM219" s="3297"/>
      <c r="FN219" s="3297"/>
      <c r="FO219" s="3297"/>
      <c r="FP219" s="3297"/>
      <c r="FQ219" s="3297"/>
      <c r="FR219" s="3297"/>
      <c r="FS219" s="3297"/>
      <c r="FT219" s="3297"/>
      <c r="FU219" s="3297"/>
      <c r="FV219" s="3297"/>
      <c r="FW219" s="3297"/>
      <c r="FX219" s="3297"/>
      <c r="FY219" s="3297"/>
      <c r="FZ219" s="3297"/>
      <c r="GA219" s="3297"/>
      <c r="GB219" s="3297"/>
      <c r="GC219" s="3297"/>
      <c r="GD219" s="3297"/>
      <c r="GE219" s="3297"/>
      <c r="GF219" s="3297"/>
      <c r="GG219" s="3297"/>
      <c r="GH219" s="3297"/>
      <c r="GI219" s="3297"/>
      <c r="GJ219" s="3297"/>
      <c r="GK219" s="3297"/>
      <c r="GL219" s="3297"/>
      <c r="GM219" s="3297"/>
      <c r="GN219" s="3297"/>
      <c r="GO219" s="3297"/>
      <c r="GP219" s="3297"/>
      <c r="GQ219" s="3297"/>
      <c r="GR219" s="3297"/>
      <c r="GS219" s="3297"/>
      <c r="GT219" s="3297"/>
      <c r="GU219" s="3297"/>
      <c r="GV219" s="3297"/>
      <c r="GW219" s="3297"/>
      <c r="GX219" s="3297"/>
      <c r="GY219" s="3297"/>
      <c r="GZ219" s="3297"/>
      <c r="HA219" s="3297"/>
      <c r="HB219" s="3297"/>
      <c r="HC219" s="3297"/>
      <c r="HD219" s="3297"/>
      <c r="HE219" s="3297"/>
      <c r="HF219" s="3297"/>
      <c r="HG219" s="3297"/>
      <c r="HH219" s="3297"/>
      <c r="HI219" s="3297"/>
      <c r="HJ219" s="3297"/>
      <c r="HK219" s="3297"/>
      <c r="HL219" s="3297"/>
      <c r="HM219" s="3297"/>
      <c r="HN219" s="3297"/>
      <c r="HO219" s="3297"/>
      <c r="HP219" s="3297"/>
      <c r="HQ219" s="3297"/>
      <c r="HR219" s="3297"/>
      <c r="HS219" s="3297"/>
      <c r="HT219" s="3297"/>
      <c r="HU219" s="3297"/>
      <c r="HV219" s="3297"/>
      <c r="HW219" s="3297"/>
      <c r="HX219" s="3297"/>
      <c r="HY219" s="3297"/>
      <c r="HZ219" s="3297"/>
      <c r="IA219" s="3297"/>
      <c r="IB219" s="3297"/>
      <c r="IC219" s="3297"/>
      <c r="ID219" s="3297"/>
      <c r="IE219" s="3297"/>
      <c r="IF219" s="3297"/>
      <c r="IG219" s="3297"/>
      <c r="IH219" s="3297"/>
      <c r="II219" s="3297"/>
      <c r="IJ219" s="3297"/>
      <c r="IK219" s="3297"/>
      <c r="IL219" s="3297"/>
      <c r="IM219" s="3297"/>
      <c r="IN219" s="3297"/>
      <c r="IO219" s="3297"/>
      <c r="IP219" s="3297"/>
      <c r="IQ219" s="3297"/>
      <c r="IR219" s="3297"/>
      <c r="IS219" s="3297"/>
      <c r="IT219" s="3297"/>
      <c r="IU219" s="3297"/>
      <c r="IV219" s="3297"/>
      <c r="IW219" s="3297"/>
      <c r="IX219" s="3297"/>
      <c r="IY219" s="3297"/>
      <c r="IZ219" s="3297"/>
      <c r="JA219" s="3297"/>
      <c r="JB219" s="3297"/>
      <c r="JC219" s="3297"/>
      <c r="JD219" s="3297"/>
      <c r="JE219" s="3297"/>
      <c r="JF219" s="3297"/>
      <c r="JG219" s="3297"/>
      <c r="JH219" s="3297"/>
      <c r="JI219" s="3297"/>
      <c r="JJ219" s="3297"/>
      <c r="JK219" s="3297"/>
      <c r="JL219" s="3297"/>
      <c r="JM219" s="3297"/>
      <c r="JN219" s="3297"/>
      <c r="JO219" s="3297"/>
      <c r="JP219" s="3297"/>
      <c r="JQ219" s="3297"/>
      <c r="JR219" s="3297"/>
      <c r="JS219" s="3297"/>
      <c r="JT219" s="3297"/>
      <c r="JU219" s="3297"/>
      <c r="JV219" s="3297"/>
      <c r="JW219" s="3297"/>
      <c r="JX219" s="3297"/>
      <c r="JY219" s="3297"/>
      <c r="JZ219" s="3297"/>
      <c r="KA219" s="3297"/>
      <c r="KB219" s="3297"/>
      <c r="KC219" s="3297"/>
      <c r="KD219" s="3297"/>
      <c r="KE219" s="3297"/>
      <c r="KF219" s="3297"/>
      <c r="KG219" s="3297"/>
      <c r="KH219" s="3297"/>
      <c r="KI219" s="3297"/>
      <c r="KJ219" s="3297"/>
      <c r="KK219" s="3297"/>
      <c r="KL219" s="3297"/>
      <c r="KM219" s="3297"/>
      <c r="KN219" s="3297"/>
      <c r="KO219" s="3297"/>
      <c r="KP219" s="3297"/>
      <c r="KQ219" s="3297"/>
      <c r="KR219" s="3297"/>
      <c r="KS219" s="3297"/>
      <c r="KT219" s="3297"/>
      <c r="KU219" s="3297"/>
      <c r="KV219" s="3297"/>
      <c r="KW219" s="3297"/>
      <c r="KX219" s="3297"/>
      <c r="KY219" s="3297"/>
      <c r="KZ219" s="3297"/>
      <c r="LA219" s="3297"/>
      <c r="LB219" s="3297"/>
      <c r="LC219" s="3297"/>
      <c r="LD219" s="3297"/>
      <c r="LE219" s="3297"/>
      <c r="LF219" s="3297"/>
      <c r="LG219" s="3297"/>
      <c r="LH219" s="3297"/>
      <c r="LI219" s="3297"/>
      <c r="LJ219" s="3297"/>
      <c r="LK219" s="3297"/>
      <c r="LL219" s="3297"/>
      <c r="LM219" s="3297"/>
      <c r="LN219" s="3297"/>
      <c r="LO219" s="3297"/>
      <c r="LP219" s="3297"/>
      <c r="LQ219" s="3297"/>
      <c r="LR219" s="3297"/>
      <c r="LS219" s="3297"/>
      <c r="LT219" s="3297"/>
      <c r="LU219" s="3297"/>
      <c r="LV219" s="3297"/>
      <c r="LW219" s="3297"/>
      <c r="LX219" s="3297"/>
      <c r="LY219" s="3297"/>
      <c r="LZ219" s="3297"/>
      <c r="MA219" s="3297"/>
      <c r="MB219" s="3297"/>
      <c r="MC219" s="3297"/>
      <c r="MD219" s="3297"/>
      <c r="ME219" s="3297"/>
      <c r="MF219" s="3297"/>
      <c r="MG219" s="3297"/>
      <c r="MH219" s="3297"/>
      <c r="MI219" s="3297"/>
      <c r="MJ219" s="3297"/>
      <c r="MK219" s="3297"/>
      <c r="ML219" s="3297"/>
      <c r="MM219" s="3297"/>
      <c r="MN219" s="3297"/>
      <c r="MO219" s="3297"/>
      <c r="MP219" s="3297"/>
      <c r="MQ219" s="3297"/>
      <c r="MR219" s="3297"/>
      <c r="MS219" s="3297"/>
      <c r="MT219" s="3297"/>
      <c r="MU219" s="3297"/>
      <c r="MV219" s="3297"/>
      <c r="MW219" s="3297"/>
      <c r="MX219" s="3297"/>
      <c r="MY219" s="3297"/>
      <c r="MZ219" s="3297"/>
      <c r="NA219" s="3297"/>
      <c r="NB219" s="3297"/>
      <c r="NC219" s="3297"/>
      <c r="ND219" s="3297"/>
      <c r="NE219" s="3297"/>
      <c r="NF219" s="3297"/>
      <c r="NG219" s="3297"/>
      <c r="NH219" s="3297"/>
      <c r="NI219" s="3297"/>
      <c r="NJ219" s="3297"/>
      <c r="NK219" s="3297"/>
      <c r="NL219" s="3297"/>
      <c r="NM219" s="3297"/>
      <c r="NN219" s="3297"/>
      <c r="NO219" s="3297"/>
      <c r="NP219" s="3297"/>
      <c r="NQ219" s="3297"/>
      <c r="NR219" s="3297"/>
      <c r="NS219" s="3297"/>
      <c r="NT219" s="3297"/>
      <c r="NU219" s="3297"/>
      <c r="NV219" s="3297"/>
      <c r="NW219" s="3297"/>
      <c r="NX219" s="3297"/>
      <c r="NY219" s="3297"/>
      <c r="NZ219" s="3297"/>
      <c r="OA219" s="3297"/>
      <c r="OB219" s="3297"/>
      <c r="OC219" s="3297"/>
      <c r="OD219" s="3297"/>
      <c r="OE219" s="3297"/>
      <c r="OF219" s="3297"/>
      <c r="OG219" s="3297"/>
      <c r="OH219" s="3297"/>
      <c r="OI219" s="3297"/>
      <c r="OJ219" s="3297"/>
      <c r="OK219" s="3297"/>
      <c r="OL219" s="3297"/>
      <c r="OM219" s="3297"/>
      <c r="ON219" s="3297"/>
      <c r="OO219" s="3297"/>
      <c r="OP219" s="3297"/>
      <c r="OQ219" s="3297"/>
      <c r="OR219" s="3297"/>
      <c r="OS219" s="3297"/>
      <c r="OT219" s="3297"/>
      <c r="OU219" s="3297"/>
      <c r="OV219" s="3297"/>
      <c r="OW219" s="3297"/>
      <c r="OX219" s="3297"/>
      <c r="OY219" s="3297"/>
      <c r="OZ219" s="3297"/>
      <c r="PA219" s="3297"/>
      <c r="PB219" s="3297"/>
      <c r="PC219" s="3297"/>
      <c r="PD219" s="3297"/>
      <c r="PE219" s="3297"/>
      <c r="PF219" s="3297"/>
      <c r="PG219" s="3297"/>
      <c r="PH219" s="3297"/>
      <c r="PI219" s="3297"/>
      <c r="PJ219" s="3297"/>
      <c r="PK219" s="3297"/>
      <c r="PL219" s="3297"/>
      <c r="PM219" s="3297"/>
      <c r="PN219" s="3297"/>
      <c r="PO219" s="3297"/>
      <c r="PP219" s="3297"/>
      <c r="PQ219" s="3297"/>
      <c r="PR219" s="3297"/>
      <c r="PS219" s="3297"/>
      <c r="PT219" s="3297"/>
      <c r="PU219" s="3297"/>
      <c r="PV219" s="3297"/>
      <c r="PW219" s="3297"/>
      <c r="PX219" s="3297"/>
      <c r="PY219" s="3297"/>
      <c r="PZ219" s="3297"/>
      <c r="QA219" s="3297"/>
      <c r="QB219" s="3297"/>
      <c r="QC219" s="3297"/>
      <c r="QD219" s="3297"/>
      <c r="QE219" s="3297"/>
      <c r="QF219" s="3297"/>
      <c r="QG219" s="3297"/>
      <c r="QH219" s="3297"/>
      <c r="QI219" s="3297"/>
      <c r="QJ219" s="3297"/>
      <c r="QK219" s="3297"/>
      <c r="QL219" s="3297"/>
      <c r="QM219" s="3297"/>
      <c r="QN219" s="3297"/>
      <c r="QO219" s="3297"/>
      <c r="QP219" s="3297"/>
      <c r="QQ219" s="3297"/>
      <c r="QR219" s="3297"/>
      <c r="QS219" s="3297"/>
      <c r="QT219" s="3297"/>
      <c r="QU219" s="3297"/>
      <c r="QV219" s="3297"/>
      <c r="QW219" s="3297"/>
      <c r="QX219" s="3297"/>
      <c r="QY219" s="3297"/>
      <c r="QZ219" s="3297"/>
      <c r="RA219" s="3297"/>
      <c r="RB219" s="3297"/>
      <c r="RC219" s="3297"/>
      <c r="RD219" s="3297"/>
      <c r="RE219" s="3297"/>
      <c r="RF219" s="3297"/>
      <c r="RG219" s="3297"/>
      <c r="RH219" s="3297"/>
      <c r="RI219" s="3297"/>
      <c r="RJ219" s="3297"/>
      <c r="RK219" s="3297"/>
      <c r="RL219" s="3297"/>
      <c r="RM219" s="3297"/>
      <c r="RN219" s="3297"/>
      <c r="RO219" s="3297"/>
      <c r="RP219" s="3297"/>
      <c r="RQ219" s="3297"/>
      <c r="RR219" s="3297"/>
      <c r="RS219" s="3297"/>
      <c r="RT219" s="3297"/>
      <c r="RU219" s="3297"/>
      <c r="RV219" s="3297"/>
      <c r="RW219" s="3297"/>
      <c r="RX219" s="3297"/>
      <c r="RY219" s="3297"/>
      <c r="RZ219" s="3297"/>
      <c r="SA219" s="3297"/>
      <c r="SB219" s="3297"/>
      <c r="SC219" s="3297"/>
      <c r="SD219" s="3297"/>
      <c r="SE219" s="3297"/>
      <c r="SF219" s="3297"/>
      <c r="SG219" s="3297"/>
      <c r="SH219" s="3297"/>
      <c r="SI219" s="3297"/>
      <c r="SJ219" s="3297"/>
      <c r="SK219" s="3297"/>
      <c r="SL219" s="3297"/>
      <c r="SM219" s="3297"/>
      <c r="SN219" s="3297"/>
      <c r="SO219" s="3297"/>
      <c r="SP219" s="3297"/>
      <c r="SQ219" s="3297"/>
      <c r="SR219" s="3297"/>
      <c r="SS219" s="3297"/>
      <c r="ST219" s="3297"/>
      <c r="SU219" s="3297"/>
      <c r="SV219" s="3297"/>
      <c r="SW219" s="3297"/>
      <c r="SX219" s="3297"/>
      <c r="SY219" s="3297"/>
      <c r="SZ219" s="3297"/>
      <c r="TA219" s="3297"/>
      <c r="TB219" s="3297"/>
      <c r="TC219" s="3297"/>
      <c r="TD219" s="3297"/>
      <c r="TE219" s="3297"/>
      <c r="TF219" s="3297"/>
      <c r="TG219" s="3297"/>
      <c r="TH219" s="3297"/>
      <c r="TI219" s="3297"/>
      <c r="TJ219" s="3297"/>
      <c r="TK219" s="3297"/>
      <c r="TL219" s="3297"/>
      <c r="TM219" s="3297"/>
      <c r="TN219" s="3297"/>
      <c r="TO219" s="3297"/>
      <c r="TP219" s="3297"/>
      <c r="TQ219" s="3297"/>
      <c r="TR219" s="3297"/>
      <c r="TS219" s="3297"/>
      <c r="TT219" s="3297"/>
      <c r="TU219" s="3297"/>
      <c r="TV219" s="3297"/>
      <c r="TW219" s="3297"/>
      <c r="TX219" s="3297"/>
      <c r="TY219" s="3297"/>
      <c r="TZ219" s="3297"/>
      <c r="UA219" s="3297"/>
      <c r="UB219" s="3297"/>
      <c r="UC219" s="3297"/>
      <c r="UD219" s="3297"/>
      <c r="UE219" s="3297"/>
      <c r="UF219" s="3297"/>
      <c r="UG219" s="3297"/>
      <c r="UH219" s="3297"/>
      <c r="UI219" s="3297"/>
      <c r="UJ219" s="3297"/>
      <c r="UK219" s="3297"/>
      <c r="UL219" s="3297"/>
      <c r="UM219" s="3297"/>
      <c r="UN219" s="3297"/>
      <c r="UO219" s="3297"/>
      <c r="UP219" s="3297"/>
      <c r="UQ219" s="3297"/>
      <c r="UR219" s="3297"/>
      <c r="US219" s="3297"/>
      <c r="UT219" s="3297"/>
      <c r="UU219" s="3297"/>
      <c r="UV219" s="3297"/>
      <c r="UW219" s="3297"/>
      <c r="UX219" s="3297"/>
      <c r="UY219" s="3297"/>
      <c r="UZ219" s="3297"/>
      <c r="VA219" s="3297"/>
      <c r="VB219" s="3297"/>
      <c r="VC219" s="3297"/>
      <c r="VD219" s="3297"/>
      <c r="VE219" s="3297"/>
      <c r="VF219" s="3297"/>
      <c r="VG219" s="3297"/>
      <c r="VH219" s="3297"/>
      <c r="VI219" s="3297"/>
      <c r="VJ219" s="3297"/>
      <c r="VK219" s="3297"/>
      <c r="VL219" s="3297"/>
      <c r="VM219" s="3297"/>
      <c r="VN219" s="3297"/>
      <c r="VO219" s="3297"/>
      <c r="VP219" s="3297"/>
      <c r="VQ219" s="3297"/>
      <c r="VR219" s="3297"/>
      <c r="VS219" s="3297"/>
      <c r="VT219" s="3297"/>
      <c r="VU219" s="3297"/>
      <c r="VV219" s="3297"/>
      <c r="VW219" s="3297"/>
      <c r="VX219" s="3297"/>
      <c r="VY219" s="3297"/>
      <c r="VZ219" s="3297"/>
      <c r="WA219" s="3297"/>
      <c r="WB219" s="3297"/>
      <c r="WC219" s="3297"/>
      <c r="WD219" s="3297"/>
      <c r="WE219" s="3297"/>
      <c r="WF219" s="3297"/>
      <c r="WG219" s="3297"/>
      <c r="WH219" s="3297"/>
      <c r="WI219" s="3297"/>
      <c r="WJ219" s="3297"/>
      <c r="WK219" s="3297"/>
      <c r="WL219" s="3297"/>
      <c r="WM219" s="3297"/>
      <c r="WN219" s="3297"/>
      <c r="WO219" s="3297"/>
      <c r="WP219" s="3297"/>
      <c r="WQ219" s="3297"/>
      <c r="WR219" s="3297"/>
      <c r="WS219" s="3297"/>
      <c r="WT219" s="3297"/>
      <c r="WU219" s="3297"/>
      <c r="WV219" s="3297"/>
      <c r="WW219" s="3297"/>
      <c r="WX219" s="3297"/>
      <c r="WY219" s="3297"/>
      <c r="WZ219" s="3297"/>
      <c r="XA219" s="3297"/>
      <c r="XB219" s="3297"/>
      <c r="XC219" s="3297"/>
      <c r="XD219" s="3297"/>
      <c r="XE219" s="3297"/>
      <c r="XF219" s="3297"/>
      <c r="XG219" s="3297"/>
      <c r="XH219" s="3297"/>
      <c r="XI219" s="3297"/>
      <c r="XJ219" s="3297"/>
      <c r="XK219" s="3297"/>
      <c r="XL219" s="3297"/>
      <c r="XM219" s="3297"/>
      <c r="XN219" s="3297"/>
      <c r="XO219" s="3297"/>
      <c r="XP219" s="3297"/>
      <c r="XQ219" s="3297"/>
      <c r="XR219" s="3297"/>
      <c r="XS219" s="3297"/>
      <c r="XT219" s="3297"/>
      <c r="XU219" s="3297"/>
      <c r="XV219" s="3297"/>
      <c r="XW219" s="3297"/>
      <c r="XX219" s="3297"/>
      <c r="XY219" s="3297"/>
      <c r="XZ219" s="3297"/>
      <c r="YA219" s="3297"/>
      <c r="YB219" s="3297"/>
      <c r="YC219" s="3297"/>
      <c r="YD219" s="3297"/>
      <c r="YE219" s="3297"/>
      <c r="YF219" s="3297"/>
      <c r="YG219" s="3297"/>
      <c r="YH219" s="3297"/>
      <c r="YI219" s="3297"/>
      <c r="YJ219" s="3297"/>
      <c r="YK219" s="3297"/>
      <c r="YL219" s="3297"/>
      <c r="YM219" s="3297"/>
      <c r="YN219" s="3297"/>
      <c r="YO219" s="3297"/>
      <c r="YP219" s="3297"/>
      <c r="YQ219" s="3297"/>
      <c r="YR219" s="3297"/>
      <c r="YS219" s="3297"/>
      <c r="YT219" s="3297"/>
      <c r="YU219" s="3297"/>
      <c r="YV219" s="3297"/>
      <c r="YW219" s="3297"/>
      <c r="YX219" s="3297"/>
      <c r="YY219" s="3297"/>
      <c r="YZ219" s="3297"/>
      <c r="ZA219" s="3297"/>
      <c r="ZB219" s="3297"/>
      <c r="ZC219" s="3297"/>
      <c r="ZD219" s="3297"/>
      <c r="ZE219" s="3297"/>
      <c r="ZF219" s="3297"/>
      <c r="ZG219" s="3297"/>
      <c r="ZH219" s="3297"/>
      <c r="ZI219" s="3297"/>
      <c r="ZJ219" s="3297"/>
      <c r="ZK219" s="3297"/>
      <c r="ZL219" s="3297"/>
      <c r="ZM219" s="3297"/>
      <c r="ZN219" s="3297"/>
      <c r="ZO219" s="3297"/>
      <c r="ZP219" s="3297"/>
      <c r="ZQ219" s="3297"/>
      <c r="ZR219" s="3297"/>
      <c r="ZS219" s="3297"/>
      <c r="ZT219" s="3297"/>
      <c r="ZU219" s="3297"/>
      <c r="ZV219" s="3297"/>
      <c r="ZW219" s="3297"/>
      <c r="ZX219" s="3297"/>
      <c r="ZY219" s="3297"/>
      <c r="ZZ219" s="3297"/>
      <c r="AAA219" s="3297"/>
      <c r="AAB219" s="3297"/>
      <c r="AAC219" s="3297"/>
      <c r="AAD219" s="3297"/>
      <c r="AAE219" s="3297"/>
      <c r="AAF219" s="3297"/>
      <c r="AAG219" s="3297"/>
      <c r="AAH219" s="3297"/>
      <c r="AAI219" s="3297"/>
      <c r="AAJ219" s="3297"/>
      <c r="AAK219" s="3297"/>
      <c r="AAL219" s="3297"/>
      <c r="AAM219" s="3297"/>
      <c r="AAN219" s="3297"/>
      <c r="AAO219" s="3297"/>
      <c r="AAP219" s="3297"/>
      <c r="AAQ219" s="3297"/>
      <c r="AAR219" s="3297"/>
      <c r="AAS219" s="3297"/>
      <c r="AAT219" s="3297"/>
      <c r="AAU219" s="3297"/>
      <c r="AAV219" s="3297"/>
      <c r="AAW219" s="3297"/>
      <c r="AAX219" s="3297"/>
      <c r="AAY219" s="3297"/>
      <c r="AAZ219" s="3297"/>
      <c r="ABA219" s="3297"/>
      <c r="ABB219" s="3297"/>
      <c r="ABC219" s="3297"/>
      <c r="ABD219" s="3297"/>
      <c r="ABE219" s="3297"/>
      <c r="ABF219" s="3297"/>
      <c r="ABG219" s="3297"/>
      <c r="ABH219" s="3297"/>
      <c r="ABI219" s="3297"/>
      <c r="ABJ219" s="3297"/>
      <c r="ABK219" s="3297"/>
      <c r="ABL219" s="3297"/>
      <c r="ABM219" s="3297"/>
      <c r="ABN219" s="3297"/>
      <c r="ABO219" s="3297"/>
      <c r="ABP219" s="3297"/>
      <c r="ABQ219" s="3297"/>
      <c r="ABR219" s="3297"/>
      <c r="ABS219" s="3297"/>
      <c r="ABT219" s="3297"/>
      <c r="ABU219" s="3297"/>
      <c r="ABV219" s="3297"/>
      <c r="ABW219" s="3297"/>
      <c r="ABX219" s="3297"/>
      <c r="ABY219" s="3297"/>
      <c r="ABZ219" s="3297"/>
      <c r="ACA219" s="3297"/>
      <c r="ACB219" s="3297"/>
      <c r="ACC219" s="3297"/>
      <c r="ACD219" s="3297"/>
      <c r="ACE219" s="3297"/>
      <c r="ACF219" s="3297"/>
      <c r="ACG219" s="3297"/>
      <c r="ACH219" s="3297"/>
      <c r="ACI219" s="3297"/>
      <c r="ACJ219" s="3297"/>
      <c r="ACK219" s="3297"/>
      <c r="ACL219" s="3297"/>
      <c r="ACM219" s="3297"/>
      <c r="ACN219" s="3297"/>
      <c r="ACO219" s="3297"/>
      <c r="ACP219" s="3297"/>
      <c r="ACQ219" s="3297"/>
      <c r="ACR219" s="3297"/>
      <c r="ACS219" s="3297"/>
      <c r="ACT219" s="3297"/>
      <c r="ACU219" s="3297"/>
      <c r="ACV219" s="3297"/>
      <c r="ACW219" s="3297"/>
      <c r="ACX219" s="3297"/>
      <c r="ACY219" s="3297"/>
      <c r="ACZ219" s="3297"/>
      <c r="ADA219" s="3297"/>
      <c r="ADB219" s="3297"/>
      <c r="ADC219" s="3297"/>
      <c r="ADD219" s="3297"/>
      <c r="ADE219" s="3297"/>
      <c r="ADF219" s="3297"/>
      <c r="ADG219" s="3297"/>
      <c r="ADH219" s="3297"/>
      <c r="ADI219" s="3297"/>
      <c r="ADJ219" s="3297"/>
      <c r="ADK219" s="3297"/>
      <c r="ADL219" s="3297"/>
      <c r="ADM219" s="3297"/>
      <c r="ADN219" s="3297"/>
      <c r="ADO219" s="3297"/>
      <c r="ADP219" s="3297"/>
      <c r="ADQ219" s="3297"/>
      <c r="ADR219" s="3297"/>
      <c r="ADS219" s="3297"/>
      <c r="ADT219" s="3297"/>
      <c r="ADU219" s="3297"/>
      <c r="ADV219" s="3297"/>
      <c r="ADW219" s="3297"/>
      <c r="ADX219" s="3297"/>
      <c r="ADY219" s="3297"/>
      <c r="ADZ219" s="3297"/>
      <c r="AEA219" s="3297"/>
      <c r="AEB219" s="3297"/>
      <c r="AEC219" s="3297"/>
      <c r="AED219" s="3297"/>
      <c r="AEE219" s="3297"/>
      <c r="AEF219" s="3297"/>
      <c r="AEG219" s="3297"/>
      <c r="AEH219" s="3297"/>
      <c r="AEI219" s="3297"/>
      <c r="AEJ219" s="3297"/>
      <c r="AEK219" s="3297"/>
      <c r="AEL219" s="3297"/>
      <c r="AEM219" s="3297"/>
      <c r="AEN219" s="3297"/>
      <c r="AEO219" s="3297"/>
      <c r="AEP219" s="3297"/>
      <c r="AEQ219" s="3297"/>
      <c r="AER219" s="3297"/>
      <c r="AES219" s="3297"/>
      <c r="AET219" s="3297"/>
      <c r="AEU219" s="3297"/>
      <c r="AEV219" s="3297"/>
      <c r="AEW219" s="3297"/>
      <c r="AEX219" s="3297"/>
      <c r="AEY219" s="3297"/>
      <c r="AEZ219" s="3297"/>
      <c r="AFA219" s="3297"/>
      <c r="AFB219" s="3297"/>
      <c r="AFC219" s="3297"/>
      <c r="AFD219" s="3297"/>
      <c r="AFE219" s="3297"/>
      <c r="AFF219" s="3297"/>
      <c r="AFG219" s="3297"/>
      <c r="AFH219" s="3297"/>
      <c r="AFI219" s="3297"/>
      <c r="AFJ219" s="3297"/>
      <c r="AFK219" s="3297"/>
      <c r="AFL219" s="3297"/>
      <c r="AFM219" s="3297"/>
      <c r="AFN219" s="3297"/>
      <c r="AFO219" s="3297"/>
      <c r="AFP219" s="3297"/>
      <c r="AFQ219" s="3297"/>
      <c r="AFR219" s="3297"/>
      <c r="AFS219" s="3297"/>
      <c r="AFT219" s="3297"/>
      <c r="AFU219" s="3297"/>
      <c r="AFV219" s="3297"/>
      <c r="AFW219" s="3297"/>
      <c r="AFX219" s="3297"/>
      <c r="AFY219" s="3297"/>
      <c r="AFZ219" s="3297"/>
      <c r="AGA219" s="3297"/>
      <c r="AGB219" s="3297"/>
      <c r="AGC219" s="3297"/>
      <c r="AGD219" s="3297"/>
      <c r="AGE219" s="3297"/>
      <c r="AGF219" s="3297"/>
      <c r="AGG219" s="3297"/>
      <c r="AGH219" s="3297"/>
      <c r="AGI219" s="3297"/>
      <c r="AGJ219" s="3297"/>
      <c r="AGK219" s="3297"/>
      <c r="AGL219" s="3297"/>
      <c r="AGM219" s="3297"/>
      <c r="AGN219" s="3297"/>
      <c r="AGO219" s="3297"/>
      <c r="AGP219" s="3297"/>
      <c r="AGQ219" s="3297"/>
      <c r="AGR219" s="3297"/>
      <c r="AGS219" s="3297"/>
      <c r="AGT219" s="3297"/>
      <c r="AGU219" s="3297"/>
      <c r="AGV219" s="3297"/>
      <c r="AGW219" s="3297"/>
      <c r="AGX219" s="3297"/>
      <c r="AGY219" s="3297"/>
      <c r="AGZ219" s="3297"/>
      <c r="AHA219" s="3297"/>
      <c r="AHB219" s="3297"/>
      <c r="AHC219" s="3297"/>
      <c r="AHD219" s="3297"/>
      <c r="AHE219" s="3297"/>
      <c r="AHF219" s="3297"/>
      <c r="AHG219" s="3297"/>
      <c r="AHH219" s="3297"/>
      <c r="AHI219" s="3297"/>
      <c r="AHJ219" s="3297"/>
      <c r="AHK219" s="3297"/>
      <c r="AHL219" s="3297"/>
      <c r="AHM219" s="3297"/>
      <c r="AHN219" s="3297"/>
      <c r="AHO219" s="3297"/>
      <c r="AHP219" s="3297"/>
      <c r="AHQ219" s="3297"/>
      <c r="AHR219" s="3297"/>
      <c r="AHS219" s="3297"/>
      <c r="AHT219" s="3297"/>
      <c r="AHU219" s="3297"/>
      <c r="AHV219" s="3297"/>
      <c r="AHW219" s="3297"/>
      <c r="AHX219" s="3297"/>
      <c r="AHY219" s="3297"/>
      <c r="AHZ219" s="3297"/>
      <c r="AIA219" s="3297"/>
      <c r="AIB219" s="3297"/>
      <c r="AIC219" s="3297"/>
      <c r="AID219" s="3297"/>
      <c r="AIE219" s="3297"/>
      <c r="AIF219" s="3297"/>
      <c r="AIG219" s="3297"/>
      <c r="AIH219" s="3297"/>
      <c r="AII219" s="3297"/>
      <c r="AIJ219" s="3297"/>
      <c r="AIK219" s="3297"/>
      <c r="AIL219" s="3297"/>
      <c r="AIM219" s="3297"/>
      <c r="AIN219" s="3297"/>
      <c r="AIO219" s="3297"/>
      <c r="AIP219" s="3297"/>
      <c r="AIQ219" s="3297"/>
      <c r="AIR219" s="3297"/>
      <c r="AIS219" s="3297"/>
      <c r="AIT219" s="3297"/>
      <c r="AIU219" s="3297"/>
      <c r="AIV219" s="3297"/>
      <c r="AIW219" s="3297"/>
      <c r="AIX219" s="3297"/>
      <c r="AIY219" s="3297"/>
      <c r="AIZ219" s="3297"/>
      <c r="AJA219" s="3297"/>
      <c r="AJB219" s="3297"/>
      <c r="AJC219" s="3297"/>
      <c r="AJD219" s="3297"/>
      <c r="AJE219" s="3297"/>
      <c r="AJF219" s="3297"/>
      <c r="AJG219" s="3297"/>
      <c r="AJH219" s="3297"/>
      <c r="AJI219" s="3297"/>
      <c r="AJJ219" s="3297"/>
      <c r="AJK219" s="3297"/>
      <c r="AJL219" s="3297"/>
      <c r="AJM219" s="3297"/>
      <c r="AJN219" s="3297"/>
      <c r="AJO219" s="3297"/>
      <c r="AJP219" s="3297"/>
      <c r="AJQ219" s="3297"/>
      <c r="AJR219" s="3297"/>
      <c r="AJS219" s="3297"/>
      <c r="AJT219" s="3297"/>
      <c r="AJU219" s="3297"/>
      <c r="AJV219" s="3297"/>
      <c r="AJW219" s="3297"/>
      <c r="AJX219" s="3297"/>
      <c r="AJY219" s="3297"/>
      <c r="AJZ219" s="3297"/>
      <c r="AKA219" s="3297"/>
      <c r="AKB219" s="3297"/>
      <c r="AKC219" s="3297"/>
      <c r="AKD219" s="3297"/>
      <c r="AKE219" s="3297"/>
      <c r="AKF219" s="3297"/>
      <c r="AKG219" s="3297"/>
      <c r="AKH219" s="3297"/>
      <c r="AKI219" s="3297"/>
      <c r="AKJ219" s="3297"/>
      <c r="AKK219" s="3297"/>
      <c r="AKL219" s="3297"/>
      <c r="AKM219" s="3297"/>
      <c r="AKN219" s="3297"/>
      <c r="AKO219" s="3297"/>
      <c r="AKP219" s="3297"/>
      <c r="AKQ219" s="3297"/>
      <c r="AKR219" s="3297"/>
      <c r="AKS219" s="3297"/>
      <c r="AKT219" s="3297"/>
      <c r="AKU219" s="3297"/>
      <c r="AKV219" s="3297"/>
      <c r="AKW219" s="3297"/>
      <c r="AKX219" s="3297"/>
      <c r="AKY219" s="3297"/>
      <c r="AKZ219" s="3297"/>
      <c r="ALA219" s="3297"/>
      <c r="ALB219" s="3297"/>
      <c r="ALC219" s="3297"/>
      <c r="ALD219" s="3297"/>
      <c r="ALE219" s="3297"/>
      <c r="ALF219" s="3297"/>
      <c r="ALG219" s="3297"/>
      <c r="ALH219" s="3297"/>
      <c r="ALI219" s="3297"/>
      <c r="ALJ219" s="3297"/>
      <c r="ALK219" s="3297"/>
      <c r="ALL219" s="3297"/>
      <c r="ALM219" s="3297"/>
      <c r="ALN219" s="3297"/>
      <c r="ALO219" s="3297"/>
      <c r="ALP219" s="3297"/>
      <c r="ALQ219" s="3297"/>
      <c r="ALR219" s="3297"/>
      <c r="ALS219" s="3297"/>
      <c r="ALT219" s="3297"/>
      <c r="ALU219" s="3297"/>
      <c r="ALV219" s="3297"/>
      <c r="ALW219" s="3297"/>
      <c r="ALX219" s="3297"/>
      <c r="ALY219" s="3297"/>
      <c r="ALZ219" s="3297"/>
      <c r="AMA219" s="3297"/>
      <c r="AMB219" s="3297"/>
      <c r="AMC219" s="3297"/>
      <c r="AMD219" s="3297"/>
      <c r="AME219" s="3297"/>
      <c r="AMF219" s="3297"/>
      <c r="AMG219" s="3297"/>
      <c r="AMH219" s="3297"/>
      <c r="AMI219" s="3297"/>
      <c r="AMJ219" s="3297"/>
      <c r="AMK219" s="3297"/>
      <c r="AML219" s="3297"/>
      <c r="AMM219" s="3297"/>
      <c r="AMN219" s="3297"/>
      <c r="AMO219" s="3297"/>
      <c r="AMP219" s="3297"/>
      <c r="AMQ219" s="3297"/>
      <c r="AMR219" s="3297"/>
      <c r="AMS219" s="3297"/>
      <c r="AMT219" s="3297"/>
      <c r="AMU219" s="3297"/>
      <c r="AMV219" s="3297"/>
      <c r="AMW219" s="3297"/>
      <c r="AMX219" s="3297"/>
      <c r="AMY219" s="3297"/>
      <c r="AMZ219" s="3297"/>
      <c r="ANA219" s="3297"/>
      <c r="ANB219" s="3297"/>
      <c r="ANC219" s="3297"/>
      <c r="AND219" s="3297"/>
      <c r="ANE219" s="3297"/>
      <c r="ANF219" s="3297"/>
      <c r="ANG219" s="3297"/>
      <c r="ANH219" s="3297"/>
      <c r="ANI219" s="3297"/>
      <c r="ANJ219" s="3297"/>
      <c r="ANK219" s="3297"/>
      <c r="ANL219" s="3297"/>
      <c r="ANM219" s="3297"/>
      <c r="ANN219" s="3297"/>
      <c r="ANO219" s="3297"/>
      <c r="ANP219" s="3297"/>
      <c r="ANQ219" s="3297"/>
      <c r="ANR219" s="3297"/>
      <c r="ANS219" s="3297"/>
      <c r="ANT219" s="3297"/>
      <c r="ANU219" s="3297"/>
      <c r="ANV219" s="3297"/>
      <c r="ANW219" s="3297"/>
      <c r="ANX219" s="3297"/>
      <c r="ANY219" s="3297"/>
      <c r="ANZ219" s="3297"/>
      <c r="AOA219" s="3297"/>
      <c r="AOB219" s="3297"/>
      <c r="AOC219" s="3297"/>
      <c r="AOD219" s="3297"/>
      <c r="AOE219" s="3297"/>
      <c r="AOF219" s="3297"/>
      <c r="AOG219" s="3297"/>
      <c r="AOH219" s="3297"/>
      <c r="AOI219" s="3297"/>
      <c r="AOJ219" s="3297"/>
      <c r="AOK219" s="3297"/>
      <c r="AOL219" s="3297"/>
      <c r="AOM219" s="3297"/>
      <c r="AON219" s="3297"/>
      <c r="AOO219" s="3297"/>
      <c r="AOP219" s="3297"/>
      <c r="AOQ219" s="3297"/>
      <c r="AOR219" s="3297"/>
      <c r="AOS219" s="3297"/>
      <c r="AOT219" s="3297"/>
      <c r="AOU219" s="3297"/>
      <c r="AOV219" s="3297"/>
      <c r="AOW219" s="3297"/>
      <c r="AOX219" s="3297"/>
      <c r="AOY219" s="3297"/>
      <c r="AOZ219" s="3297"/>
      <c r="APA219" s="3297"/>
      <c r="APB219" s="3297"/>
      <c r="APC219" s="3297"/>
      <c r="APD219" s="3297"/>
      <c r="APE219" s="3297"/>
      <c r="APF219" s="3297"/>
      <c r="APG219" s="3297"/>
      <c r="APH219" s="3297"/>
      <c r="API219" s="3297"/>
      <c r="APJ219" s="3297"/>
      <c r="APK219" s="3297"/>
      <c r="APL219" s="3297"/>
      <c r="APM219" s="3297"/>
      <c r="APN219" s="3297"/>
      <c r="APO219" s="3297"/>
      <c r="APP219" s="3297"/>
      <c r="APQ219" s="3297"/>
      <c r="APR219" s="3297"/>
      <c r="APS219" s="3297"/>
      <c r="APT219" s="3297"/>
      <c r="APU219" s="3297"/>
      <c r="APV219" s="3297"/>
      <c r="APW219" s="3297"/>
      <c r="APX219" s="3297"/>
      <c r="APY219" s="3297"/>
      <c r="APZ219" s="3297"/>
      <c r="AQA219" s="3297"/>
      <c r="AQB219" s="3297"/>
      <c r="AQC219" s="3297"/>
      <c r="AQD219" s="3297"/>
      <c r="AQE219" s="3297"/>
      <c r="AQF219" s="3297"/>
      <c r="AQG219" s="3297"/>
      <c r="AQH219" s="3297"/>
      <c r="AQI219" s="3297"/>
      <c r="AQJ219" s="3297"/>
      <c r="AQK219" s="3297"/>
      <c r="AQL219" s="3297"/>
      <c r="AQM219" s="3297"/>
      <c r="AQN219" s="3297"/>
      <c r="AQO219" s="3297"/>
      <c r="AQP219" s="3297"/>
      <c r="AQQ219" s="3297"/>
      <c r="AQR219" s="3297"/>
      <c r="AQS219" s="3297"/>
      <c r="AQT219" s="3297"/>
      <c r="AQU219" s="3297"/>
      <c r="AQV219" s="3297"/>
      <c r="AQW219" s="3297"/>
      <c r="AQX219" s="3297"/>
      <c r="AQY219" s="3297"/>
      <c r="AQZ219" s="3297"/>
      <c r="ARA219" s="3297"/>
      <c r="ARB219" s="3297"/>
      <c r="ARC219" s="3297"/>
      <c r="ARD219" s="3297"/>
      <c r="ARE219" s="3297"/>
      <c r="ARF219" s="3297"/>
      <c r="ARG219" s="3297"/>
      <c r="ARH219" s="3297"/>
      <c r="ARI219" s="3297"/>
      <c r="ARJ219" s="3297"/>
      <c r="ARK219" s="3297"/>
      <c r="ARL219" s="3297"/>
      <c r="ARM219" s="3297"/>
      <c r="ARN219" s="3297"/>
      <c r="ARO219" s="3297"/>
      <c r="ARP219" s="3297"/>
      <c r="ARQ219" s="3297"/>
      <c r="ARR219" s="3297"/>
      <c r="ARS219" s="3297"/>
      <c r="ART219" s="3297"/>
      <c r="ARU219" s="3297"/>
      <c r="ARV219" s="3297"/>
      <c r="ARW219" s="3297"/>
      <c r="ARX219" s="3297"/>
      <c r="ARY219" s="3297"/>
      <c r="ARZ219" s="3297"/>
      <c r="ASA219" s="3297"/>
      <c r="ASB219" s="3297"/>
      <c r="ASC219" s="3297"/>
      <c r="ASD219" s="3297"/>
      <c r="ASE219" s="3297"/>
      <c r="ASF219" s="3297"/>
      <c r="ASG219" s="3297"/>
      <c r="ASH219" s="3297"/>
      <c r="ASI219" s="3297"/>
      <c r="ASJ219" s="3297"/>
      <c r="ASK219" s="3297"/>
      <c r="ASL219" s="3297"/>
      <c r="ASM219" s="3297"/>
      <c r="ASN219" s="3297"/>
      <c r="ASO219" s="3297"/>
      <c r="ASP219" s="3297"/>
      <c r="ASQ219" s="3297"/>
      <c r="ASR219" s="3297"/>
      <c r="ASS219" s="3297"/>
      <c r="AST219" s="3297"/>
      <c r="ASU219" s="3297"/>
      <c r="ASV219" s="3297"/>
      <c r="ASW219" s="3297"/>
      <c r="ASX219" s="3297"/>
      <c r="ASY219" s="3297"/>
      <c r="ASZ219" s="3297"/>
      <c r="ATA219" s="3297"/>
      <c r="ATB219" s="3297"/>
      <c r="ATC219" s="3297"/>
      <c r="ATD219" s="3297"/>
      <c r="ATE219" s="3297"/>
      <c r="ATF219" s="3297"/>
      <c r="ATG219" s="3297"/>
      <c r="ATH219" s="3297"/>
      <c r="ATI219" s="3297"/>
      <c r="ATJ219" s="3297"/>
      <c r="ATK219" s="3297"/>
      <c r="ATL219" s="3297"/>
      <c r="ATM219" s="3297"/>
      <c r="ATN219" s="3297"/>
      <c r="ATO219" s="3297"/>
      <c r="ATP219" s="3297"/>
      <c r="ATQ219" s="3297"/>
      <c r="ATR219" s="3297"/>
      <c r="ATS219" s="3297"/>
      <c r="ATT219" s="3297"/>
      <c r="ATU219" s="3297"/>
      <c r="ATV219" s="3297"/>
      <c r="ATW219" s="3297"/>
      <c r="ATX219" s="3297"/>
      <c r="ATY219" s="3297"/>
      <c r="ATZ219" s="3297"/>
      <c r="AUA219" s="3297"/>
      <c r="AUB219" s="3297"/>
      <c r="AUC219" s="3297"/>
      <c r="AUD219" s="3297"/>
      <c r="AUE219" s="3297"/>
      <c r="AUF219" s="3297"/>
      <c r="AUG219" s="3297"/>
      <c r="AUH219" s="3297"/>
      <c r="AUI219" s="3297"/>
      <c r="AUJ219" s="3297"/>
      <c r="AUK219" s="3297"/>
      <c r="AUL219" s="3297"/>
      <c r="AUM219" s="3297"/>
      <c r="AUN219" s="3297"/>
      <c r="AUO219" s="3297"/>
      <c r="AUP219" s="3297"/>
      <c r="AUQ219" s="3297"/>
      <c r="AUR219" s="3297"/>
      <c r="AUS219" s="3297"/>
      <c r="AUT219" s="3297"/>
      <c r="AUU219" s="3297"/>
      <c r="AUV219" s="3297"/>
      <c r="AUW219" s="3297"/>
      <c r="AUX219" s="3297"/>
      <c r="AUY219" s="3297"/>
      <c r="AUZ219" s="3297"/>
      <c r="AVA219" s="3297"/>
      <c r="AVB219" s="3297"/>
      <c r="AVC219" s="3297"/>
      <c r="AVD219" s="3297"/>
      <c r="AVE219" s="3297"/>
      <c r="AVF219" s="3297"/>
      <c r="AVG219" s="3297"/>
      <c r="AVH219" s="3297"/>
      <c r="AVI219" s="3297"/>
      <c r="AVJ219" s="3297"/>
      <c r="AVK219" s="3297"/>
      <c r="AVL219" s="3297"/>
      <c r="AVM219" s="3297"/>
      <c r="AVN219" s="3297"/>
      <c r="AVO219" s="3297"/>
      <c r="AVP219" s="3297"/>
      <c r="AVQ219" s="3297"/>
      <c r="AVR219" s="3297"/>
      <c r="AVS219" s="3297"/>
      <c r="AVT219" s="3297"/>
      <c r="AVU219" s="3297"/>
      <c r="AVV219" s="3297"/>
      <c r="AVW219" s="3297"/>
      <c r="AVX219" s="3297"/>
      <c r="AVY219" s="3297"/>
      <c r="AVZ219" s="3297"/>
      <c r="AWA219" s="3297"/>
      <c r="AWB219" s="3297"/>
      <c r="AWC219" s="3297"/>
      <c r="AWD219" s="3297"/>
      <c r="AWE219" s="3297"/>
      <c r="AWF219" s="3297"/>
      <c r="AWG219" s="3297"/>
      <c r="AWH219" s="3297"/>
      <c r="AWI219" s="3297"/>
      <c r="AWJ219" s="3297"/>
      <c r="AWK219" s="3297"/>
      <c r="AWL219" s="3297"/>
      <c r="AWM219" s="3297"/>
      <c r="AWN219" s="3297"/>
      <c r="AWO219" s="3297"/>
      <c r="AWP219" s="3297"/>
      <c r="AWQ219" s="3297"/>
      <c r="AWR219" s="3297"/>
      <c r="AWS219" s="3297"/>
      <c r="AWT219" s="3297"/>
      <c r="AWU219" s="3297"/>
      <c r="AWV219" s="3297"/>
      <c r="AWW219" s="3297"/>
      <c r="AWX219" s="3297"/>
      <c r="AWY219" s="3297"/>
      <c r="AWZ219" s="3297"/>
      <c r="AXA219" s="3297"/>
      <c r="AXB219" s="3297"/>
      <c r="AXC219" s="3297"/>
      <c r="AXD219" s="3297"/>
      <c r="AXE219" s="3297"/>
      <c r="AXF219" s="3297"/>
      <c r="AXG219" s="3297"/>
      <c r="AXH219" s="3297"/>
      <c r="AXI219" s="3297"/>
      <c r="AXJ219" s="3297"/>
    </row>
    <row r="220" spans="1:1310" s="3298" customFormat="1" ht="23.25" customHeight="1">
      <c r="A220" s="468"/>
      <c r="B220" s="6643" t="s">
        <v>3081</v>
      </c>
      <c r="C220" s="6643"/>
      <c r="D220" s="6643"/>
      <c r="E220" s="6643"/>
      <c r="F220" s="6643"/>
      <c r="G220" s="6643"/>
      <c r="H220" s="6643"/>
      <c r="I220" s="6643"/>
      <c r="J220" s="6643"/>
      <c r="K220" s="6643"/>
      <c r="L220" s="6643"/>
      <c r="M220" s="6643"/>
      <c r="N220" s="6643"/>
      <c r="O220" s="6643"/>
      <c r="P220" s="6643"/>
      <c r="Q220" s="6643"/>
      <c r="R220" s="443"/>
      <c r="S220" s="443"/>
      <c r="T220" s="443"/>
      <c r="U220" s="443"/>
      <c r="V220" s="443"/>
      <c r="W220" s="443"/>
      <c r="X220" s="443"/>
      <c r="Y220" s="443"/>
      <c r="Z220" s="443"/>
      <c r="AA220" s="443"/>
      <c r="AB220" s="443"/>
      <c r="AC220" s="443"/>
      <c r="AD220" s="3297"/>
      <c r="AE220" s="3297"/>
      <c r="AF220" s="3297"/>
      <c r="AG220" s="3297"/>
      <c r="AH220" s="3297"/>
      <c r="AI220" s="3297"/>
      <c r="AJ220" s="3297"/>
      <c r="AK220" s="3297"/>
      <c r="AL220" s="3297"/>
      <c r="AM220" s="3297"/>
      <c r="AN220" s="3297"/>
      <c r="AO220" s="3297"/>
      <c r="AP220" s="3297"/>
      <c r="AQ220" s="3297"/>
      <c r="AR220" s="3297"/>
      <c r="AS220" s="3297"/>
      <c r="AT220" s="3297"/>
      <c r="AU220" s="3297"/>
      <c r="AV220" s="3297"/>
      <c r="AW220" s="3297"/>
      <c r="AX220" s="3297"/>
      <c r="AY220" s="3297"/>
      <c r="AZ220" s="3297"/>
      <c r="BA220" s="3297"/>
      <c r="BB220" s="3297"/>
      <c r="BC220" s="3297"/>
      <c r="BD220" s="3297"/>
      <c r="BE220" s="3297"/>
      <c r="BF220" s="3297"/>
      <c r="BG220" s="3297"/>
      <c r="BH220" s="3297"/>
      <c r="BI220" s="3297"/>
      <c r="BJ220" s="3297"/>
      <c r="BK220" s="3297"/>
      <c r="BL220" s="3297"/>
      <c r="BM220" s="3297"/>
      <c r="BN220" s="3297"/>
      <c r="BO220" s="3297"/>
      <c r="BP220" s="3297"/>
      <c r="BQ220" s="3297"/>
      <c r="BR220" s="3297"/>
      <c r="BS220" s="3297"/>
      <c r="BT220" s="3297"/>
      <c r="BU220" s="3297"/>
      <c r="BV220" s="3297"/>
      <c r="BW220" s="3297"/>
      <c r="BX220" s="3297"/>
      <c r="BY220" s="3297"/>
      <c r="BZ220" s="3297"/>
      <c r="CA220" s="3297"/>
      <c r="CB220" s="3297"/>
      <c r="CC220" s="3297"/>
      <c r="CD220" s="3297"/>
      <c r="CE220" s="3297"/>
      <c r="CF220" s="3297"/>
      <c r="CG220" s="3297"/>
      <c r="CH220" s="3297"/>
      <c r="CI220" s="3297"/>
      <c r="CJ220" s="3297"/>
      <c r="CK220" s="3297"/>
      <c r="CL220" s="3297"/>
      <c r="CM220" s="3297"/>
      <c r="CN220" s="3297"/>
      <c r="CO220" s="3297"/>
      <c r="CP220" s="3297"/>
      <c r="CQ220" s="3297"/>
      <c r="CR220" s="3297"/>
      <c r="CS220" s="3297"/>
      <c r="CT220" s="3297"/>
      <c r="CU220" s="3297"/>
      <c r="CV220" s="3297"/>
      <c r="CW220" s="3297"/>
      <c r="CX220" s="3297"/>
      <c r="CY220" s="3297"/>
      <c r="CZ220" s="3297"/>
      <c r="DA220" s="3297"/>
      <c r="DB220" s="3297"/>
      <c r="DC220" s="3297"/>
      <c r="DD220" s="3297"/>
      <c r="DE220" s="3297"/>
      <c r="DF220" s="3297"/>
      <c r="DG220" s="3297"/>
      <c r="DH220" s="3297"/>
      <c r="DI220" s="3297"/>
      <c r="DJ220" s="3297"/>
      <c r="DK220" s="3297"/>
      <c r="DL220" s="3297"/>
      <c r="DM220" s="3297"/>
      <c r="DN220" s="3297"/>
      <c r="DO220" s="3297"/>
      <c r="DP220" s="3297"/>
      <c r="DQ220" s="3297"/>
      <c r="DR220" s="3297"/>
      <c r="DS220" s="3297"/>
      <c r="DT220" s="3297"/>
      <c r="DU220" s="3297"/>
      <c r="DV220" s="3297"/>
      <c r="DW220" s="3297"/>
      <c r="DX220" s="3297"/>
      <c r="DY220" s="3297"/>
      <c r="DZ220" s="3297"/>
      <c r="EA220" s="3297"/>
      <c r="EB220" s="3297"/>
      <c r="EC220" s="3297"/>
      <c r="ED220" s="3297"/>
      <c r="EE220" s="3297"/>
      <c r="EF220" s="3297"/>
      <c r="EG220" s="3297"/>
      <c r="EH220" s="3297"/>
      <c r="EI220" s="3297"/>
      <c r="EJ220" s="3297"/>
      <c r="EK220" s="3297"/>
      <c r="EL220" s="3297"/>
      <c r="EM220" s="3297"/>
      <c r="EN220" s="3297"/>
      <c r="EO220" s="3297"/>
      <c r="EP220" s="3297"/>
      <c r="EQ220" s="3297"/>
      <c r="ER220" s="3297"/>
      <c r="ES220" s="3297"/>
      <c r="ET220" s="3297"/>
      <c r="EU220" s="3297"/>
      <c r="EV220" s="3297"/>
      <c r="EW220" s="3297"/>
      <c r="EX220" s="3297"/>
      <c r="EY220" s="3297"/>
      <c r="EZ220" s="3297"/>
      <c r="FA220" s="3297"/>
      <c r="FB220" s="3297"/>
      <c r="FC220" s="3297"/>
      <c r="FD220" s="3297"/>
      <c r="FE220" s="3297"/>
      <c r="FF220" s="3297"/>
      <c r="FG220" s="3297"/>
      <c r="FH220" s="3297"/>
      <c r="FI220" s="3297"/>
      <c r="FJ220" s="3297"/>
      <c r="FK220" s="3297"/>
      <c r="FL220" s="3297"/>
      <c r="FM220" s="3297"/>
      <c r="FN220" s="3297"/>
      <c r="FO220" s="3297"/>
      <c r="FP220" s="3297"/>
      <c r="FQ220" s="3297"/>
      <c r="FR220" s="3297"/>
      <c r="FS220" s="3297"/>
      <c r="FT220" s="3297"/>
      <c r="FU220" s="3297"/>
      <c r="FV220" s="3297"/>
      <c r="FW220" s="3297"/>
      <c r="FX220" s="3297"/>
      <c r="FY220" s="3297"/>
      <c r="FZ220" s="3297"/>
      <c r="GA220" s="3297"/>
      <c r="GB220" s="3297"/>
      <c r="GC220" s="3297"/>
      <c r="GD220" s="3297"/>
      <c r="GE220" s="3297"/>
      <c r="GF220" s="3297"/>
      <c r="GG220" s="3297"/>
      <c r="GH220" s="3297"/>
      <c r="GI220" s="3297"/>
      <c r="GJ220" s="3297"/>
      <c r="GK220" s="3297"/>
      <c r="GL220" s="3297"/>
      <c r="GM220" s="3297"/>
      <c r="GN220" s="3297"/>
      <c r="GO220" s="3297"/>
      <c r="GP220" s="3297"/>
      <c r="GQ220" s="3297"/>
      <c r="GR220" s="3297"/>
      <c r="GS220" s="3297"/>
      <c r="GT220" s="3297"/>
      <c r="GU220" s="3297"/>
      <c r="GV220" s="3297"/>
      <c r="GW220" s="3297"/>
      <c r="GX220" s="3297"/>
      <c r="GY220" s="3297"/>
      <c r="GZ220" s="3297"/>
      <c r="HA220" s="3297"/>
      <c r="HB220" s="3297"/>
      <c r="HC220" s="3297"/>
      <c r="HD220" s="3297"/>
      <c r="HE220" s="3297"/>
      <c r="HF220" s="3297"/>
      <c r="HG220" s="3297"/>
      <c r="HH220" s="3297"/>
      <c r="HI220" s="3297"/>
      <c r="HJ220" s="3297"/>
      <c r="HK220" s="3297"/>
      <c r="HL220" s="3297"/>
      <c r="HM220" s="3297"/>
      <c r="HN220" s="3297"/>
      <c r="HO220" s="3297"/>
      <c r="HP220" s="3297"/>
      <c r="HQ220" s="3297"/>
      <c r="HR220" s="3297"/>
      <c r="HS220" s="3297"/>
      <c r="HT220" s="3297"/>
      <c r="HU220" s="3297"/>
      <c r="HV220" s="3297"/>
      <c r="HW220" s="3297"/>
      <c r="HX220" s="3297"/>
      <c r="HY220" s="3297"/>
      <c r="HZ220" s="3297"/>
      <c r="IA220" s="3297"/>
      <c r="IB220" s="3297"/>
      <c r="IC220" s="3297"/>
      <c r="ID220" s="3297"/>
      <c r="IE220" s="3297"/>
      <c r="IF220" s="3297"/>
      <c r="IG220" s="3297"/>
      <c r="IH220" s="3297"/>
      <c r="II220" s="3297"/>
      <c r="IJ220" s="3297"/>
      <c r="IK220" s="3297"/>
      <c r="IL220" s="3297"/>
      <c r="IM220" s="3297"/>
      <c r="IN220" s="3297"/>
      <c r="IO220" s="3297"/>
      <c r="IP220" s="3297"/>
      <c r="IQ220" s="3297"/>
      <c r="IR220" s="3297"/>
      <c r="IS220" s="3297"/>
      <c r="IT220" s="3297"/>
      <c r="IU220" s="3297"/>
      <c r="IV220" s="3297"/>
      <c r="IW220" s="3297"/>
      <c r="IX220" s="3297"/>
      <c r="IY220" s="3297"/>
      <c r="IZ220" s="3297"/>
      <c r="JA220" s="3297"/>
      <c r="JB220" s="3297"/>
      <c r="JC220" s="3297"/>
      <c r="JD220" s="3297"/>
      <c r="JE220" s="3297"/>
      <c r="JF220" s="3297"/>
      <c r="JG220" s="3297"/>
      <c r="JH220" s="3297"/>
      <c r="JI220" s="3297"/>
      <c r="JJ220" s="3297"/>
      <c r="JK220" s="3297"/>
      <c r="JL220" s="3297"/>
      <c r="JM220" s="3297"/>
      <c r="JN220" s="3297"/>
      <c r="JO220" s="3297"/>
      <c r="JP220" s="3297"/>
      <c r="JQ220" s="3297"/>
      <c r="JR220" s="3297"/>
      <c r="JS220" s="3297"/>
      <c r="JT220" s="3297"/>
      <c r="JU220" s="3297"/>
      <c r="JV220" s="3297"/>
      <c r="JW220" s="3297"/>
      <c r="JX220" s="3297"/>
      <c r="JY220" s="3297"/>
      <c r="JZ220" s="3297"/>
      <c r="KA220" s="3297"/>
      <c r="KB220" s="3297"/>
      <c r="KC220" s="3297"/>
      <c r="KD220" s="3297"/>
      <c r="KE220" s="3297"/>
      <c r="KF220" s="3297"/>
      <c r="KG220" s="3297"/>
      <c r="KH220" s="3297"/>
      <c r="KI220" s="3297"/>
      <c r="KJ220" s="3297"/>
      <c r="KK220" s="3297"/>
      <c r="KL220" s="3297"/>
      <c r="KM220" s="3297"/>
      <c r="KN220" s="3297"/>
      <c r="KO220" s="3297"/>
      <c r="KP220" s="3297"/>
      <c r="KQ220" s="3297"/>
      <c r="KR220" s="3297"/>
      <c r="KS220" s="3297"/>
      <c r="KT220" s="3297"/>
      <c r="KU220" s="3297"/>
      <c r="KV220" s="3297"/>
      <c r="KW220" s="3297"/>
      <c r="KX220" s="3297"/>
      <c r="KY220" s="3297"/>
      <c r="KZ220" s="3297"/>
      <c r="LA220" s="3297"/>
      <c r="LB220" s="3297"/>
      <c r="LC220" s="3297"/>
      <c r="LD220" s="3297"/>
      <c r="LE220" s="3297"/>
      <c r="LF220" s="3297"/>
      <c r="LG220" s="3297"/>
      <c r="LH220" s="3297"/>
      <c r="LI220" s="3297"/>
      <c r="LJ220" s="3297"/>
      <c r="LK220" s="3297"/>
      <c r="LL220" s="3297"/>
      <c r="LM220" s="3297"/>
      <c r="LN220" s="3297"/>
      <c r="LO220" s="3297"/>
      <c r="LP220" s="3297"/>
      <c r="LQ220" s="3297"/>
      <c r="LR220" s="3297"/>
      <c r="LS220" s="3297"/>
      <c r="LT220" s="3297"/>
      <c r="LU220" s="3297"/>
      <c r="LV220" s="3297"/>
      <c r="LW220" s="3297"/>
      <c r="LX220" s="3297"/>
      <c r="LY220" s="3297"/>
      <c r="LZ220" s="3297"/>
      <c r="MA220" s="3297"/>
      <c r="MB220" s="3297"/>
      <c r="MC220" s="3297"/>
      <c r="MD220" s="3297"/>
      <c r="ME220" s="3297"/>
      <c r="MF220" s="3297"/>
      <c r="MG220" s="3297"/>
      <c r="MH220" s="3297"/>
      <c r="MI220" s="3297"/>
      <c r="MJ220" s="3297"/>
      <c r="MK220" s="3297"/>
      <c r="ML220" s="3297"/>
      <c r="MM220" s="3297"/>
      <c r="MN220" s="3297"/>
      <c r="MO220" s="3297"/>
      <c r="MP220" s="3297"/>
      <c r="MQ220" s="3297"/>
      <c r="MR220" s="3297"/>
      <c r="MS220" s="3297"/>
      <c r="MT220" s="3297"/>
      <c r="MU220" s="3297"/>
      <c r="MV220" s="3297"/>
      <c r="MW220" s="3297"/>
      <c r="MX220" s="3297"/>
      <c r="MY220" s="3297"/>
      <c r="MZ220" s="3297"/>
      <c r="NA220" s="3297"/>
      <c r="NB220" s="3297"/>
      <c r="NC220" s="3297"/>
      <c r="ND220" s="3297"/>
      <c r="NE220" s="3297"/>
      <c r="NF220" s="3297"/>
      <c r="NG220" s="3297"/>
      <c r="NH220" s="3297"/>
      <c r="NI220" s="3297"/>
      <c r="NJ220" s="3297"/>
      <c r="NK220" s="3297"/>
      <c r="NL220" s="3297"/>
      <c r="NM220" s="3297"/>
      <c r="NN220" s="3297"/>
      <c r="NO220" s="3297"/>
      <c r="NP220" s="3297"/>
      <c r="NQ220" s="3297"/>
      <c r="NR220" s="3297"/>
      <c r="NS220" s="3297"/>
      <c r="NT220" s="3297"/>
      <c r="NU220" s="3297"/>
      <c r="NV220" s="3297"/>
      <c r="NW220" s="3297"/>
      <c r="NX220" s="3297"/>
      <c r="NY220" s="3297"/>
      <c r="NZ220" s="3297"/>
      <c r="OA220" s="3297"/>
      <c r="OB220" s="3297"/>
      <c r="OC220" s="3297"/>
      <c r="OD220" s="3297"/>
      <c r="OE220" s="3297"/>
      <c r="OF220" s="3297"/>
      <c r="OG220" s="3297"/>
      <c r="OH220" s="3297"/>
      <c r="OI220" s="3297"/>
      <c r="OJ220" s="3297"/>
      <c r="OK220" s="3297"/>
      <c r="OL220" s="3297"/>
      <c r="OM220" s="3297"/>
      <c r="ON220" s="3297"/>
      <c r="OO220" s="3297"/>
      <c r="OP220" s="3297"/>
      <c r="OQ220" s="3297"/>
      <c r="OR220" s="3297"/>
      <c r="OS220" s="3297"/>
      <c r="OT220" s="3297"/>
      <c r="OU220" s="3297"/>
      <c r="OV220" s="3297"/>
      <c r="OW220" s="3297"/>
      <c r="OX220" s="3297"/>
      <c r="OY220" s="3297"/>
      <c r="OZ220" s="3297"/>
      <c r="PA220" s="3297"/>
      <c r="PB220" s="3297"/>
      <c r="PC220" s="3297"/>
      <c r="PD220" s="3297"/>
      <c r="PE220" s="3297"/>
      <c r="PF220" s="3297"/>
      <c r="PG220" s="3297"/>
      <c r="PH220" s="3297"/>
      <c r="PI220" s="3297"/>
      <c r="PJ220" s="3297"/>
      <c r="PK220" s="3297"/>
      <c r="PL220" s="3297"/>
      <c r="PM220" s="3297"/>
      <c r="PN220" s="3297"/>
      <c r="PO220" s="3297"/>
      <c r="PP220" s="3297"/>
      <c r="PQ220" s="3297"/>
      <c r="PR220" s="3297"/>
      <c r="PS220" s="3297"/>
      <c r="PT220" s="3297"/>
      <c r="PU220" s="3297"/>
      <c r="PV220" s="3297"/>
      <c r="PW220" s="3297"/>
      <c r="PX220" s="3297"/>
      <c r="PY220" s="3297"/>
      <c r="PZ220" s="3297"/>
      <c r="QA220" s="3297"/>
      <c r="QB220" s="3297"/>
      <c r="QC220" s="3297"/>
      <c r="QD220" s="3297"/>
      <c r="QE220" s="3297"/>
      <c r="QF220" s="3297"/>
      <c r="QG220" s="3297"/>
      <c r="QH220" s="3297"/>
      <c r="QI220" s="3297"/>
      <c r="QJ220" s="3297"/>
      <c r="QK220" s="3297"/>
      <c r="QL220" s="3297"/>
      <c r="QM220" s="3297"/>
      <c r="QN220" s="3297"/>
      <c r="QO220" s="3297"/>
      <c r="QP220" s="3297"/>
      <c r="QQ220" s="3297"/>
      <c r="QR220" s="3297"/>
      <c r="QS220" s="3297"/>
      <c r="QT220" s="3297"/>
      <c r="QU220" s="3297"/>
      <c r="QV220" s="3297"/>
      <c r="QW220" s="3297"/>
      <c r="QX220" s="3297"/>
      <c r="QY220" s="3297"/>
      <c r="QZ220" s="3297"/>
      <c r="RA220" s="3297"/>
      <c r="RB220" s="3297"/>
      <c r="RC220" s="3297"/>
      <c r="RD220" s="3297"/>
      <c r="RE220" s="3297"/>
      <c r="RF220" s="3297"/>
      <c r="RG220" s="3297"/>
      <c r="RH220" s="3297"/>
      <c r="RI220" s="3297"/>
      <c r="RJ220" s="3297"/>
      <c r="RK220" s="3297"/>
      <c r="RL220" s="3297"/>
      <c r="RM220" s="3297"/>
      <c r="RN220" s="3297"/>
      <c r="RO220" s="3297"/>
      <c r="RP220" s="3297"/>
      <c r="RQ220" s="3297"/>
      <c r="RR220" s="3297"/>
      <c r="RS220" s="3297"/>
      <c r="RT220" s="3297"/>
      <c r="RU220" s="3297"/>
      <c r="RV220" s="3297"/>
      <c r="RW220" s="3297"/>
      <c r="RX220" s="3297"/>
      <c r="RY220" s="3297"/>
      <c r="RZ220" s="3297"/>
      <c r="SA220" s="3297"/>
      <c r="SB220" s="3297"/>
      <c r="SC220" s="3297"/>
      <c r="SD220" s="3297"/>
      <c r="SE220" s="3297"/>
      <c r="SF220" s="3297"/>
      <c r="SG220" s="3297"/>
      <c r="SH220" s="3297"/>
      <c r="SI220" s="3297"/>
      <c r="SJ220" s="3297"/>
      <c r="SK220" s="3297"/>
      <c r="SL220" s="3297"/>
      <c r="SM220" s="3297"/>
      <c r="SN220" s="3297"/>
      <c r="SO220" s="3297"/>
      <c r="SP220" s="3297"/>
      <c r="SQ220" s="3297"/>
      <c r="SR220" s="3297"/>
      <c r="SS220" s="3297"/>
      <c r="ST220" s="3297"/>
      <c r="SU220" s="3297"/>
      <c r="SV220" s="3297"/>
      <c r="SW220" s="3297"/>
      <c r="SX220" s="3297"/>
      <c r="SY220" s="3297"/>
      <c r="SZ220" s="3297"/>
      <c r="TA220" s="3297"/>
      <c r="TB220" s="3297"/>
      <c r="TC220" s="3297"/>
      <c r="TD220" s="3297"/>
      <c r="TE220" s="3297"/>
      <c r="TF220" s="3297"/>
      <c r="TG220" s="3297"/>
      <c r="TH220" s="3297"/>
      <c r="TI220" s="3297"/>
      <c r="TJ220" s="3297"/>
      <c r="TK220" s="3297"/>
      <c r="TL220" s="3297"/>
      <c r="TM220" s="3297"/>
      <c r="TN220" s="3297"/>
      <c r="TO220" s="3297"/>
      <c r="TP220" s="3297"/>
      <c r="TQ220" s="3297"/>
      <c r="TR220" s="3297"/>
      <c r="TS220" s="3297"/>
      <c r="TT220" s="3297"/>
      <c r="TU220" s="3297"/>
      <c r="TV220" s="3297"/>
      <c r="TW220" s="3297"/>
      <c r="TX220" s="3297"/>
      <c r="TY220" s="3297"/>
      <c r="TZ220" s="3297"/>
      <c r="UA220" s="3297"/>
      <c r="UB220" s="3297"/>
      <c r="UC220" s="3297"/>
      <c r="UD220" s="3297"/>
      <c r="UE220" s="3297"/>
      <c r="UF220" s="3297"/>
      <c r="UG220" s="3297"/>
      <c r="UH220" s="3297"/>
      <c r="UI220" s="3297"/>
      <c r="UJ220" s="3297"/>
      <c r="UK220" s="3297"/>
      <c r="UL220" s="3297"/>
      <c r="UM220" s="3297"/>
      <c r="UN220" s="3297"/>
      <c r="UO220" s="3297"/>
      <c r="UP220" s="3297"/>
      <c r="UQ220" s="3297"/>
      <c r="UR220" s="3297"/>
      <c r="US220" s="3297"/>
      <c r="UT220" s="3297"/>
      <c r="UU220" s="3297"/>
      <c r="UV220" s="3297"/>
      <c r="UW220" s="3297"/>
      <c r="UX220" s="3297"/>
      <c r="UY220" s="3297"/>
      <c r="UZ220" s="3297"/>
      <c r="VA220" s="3297"/>
      <c r="VB220" s="3297"/>
      <c r="VC220" s="3297"/>
      <c r="VD220" s="3297"/>
      <c r="VE220" s="3297"/>
      <c r="VF220" s="3297"/>
      <c r="VG220" s="3297"/>
      <c r="VH220" s="3297"/>
      <c r="VI220" s="3297"/>
      <c r="VJ220" s="3297"/>
      <c r="VK220" s="3297"/>
      <c r="VL220" s="3297"/>
      <c r="VM220" s="3297"/>
      <c r="VN220" s="3297"/>
      <c r="VO220" s="3297"/>
      <c r="VP220" s="3297"/>
      <c r="VQ220" s="3297"/>
      <c r="VR220" s="3297"/>
      <c r="VS220" s="3297"/>
      <c r="VT220" s="3297"/>
      <c r="VU220" s="3297"/>
      <c r="VV220" s="3297"/>
      <c r="VW220" s="3297"/>
      <c r="VX220" s="3297"/>
      <c r="VY220" s="3297"/>
      <c r="VZ220" s="3297"/>
      <c r="WA220" s="3297"/>
      <c r="WB220" s="3297"/>
      <c r="WC220" s="3297"/>
      <c r="WD220" s="3297"/>
      <c r="WE220" s="3297"/>
      <c r="WF220" s="3297"/>
      <c r="WG220" s="3297"/>
      <c r="WH220" s="3297"/>
      <c r="WI220" s="3297"/>
      <c r="WJ220" s="3297"/>
      <c r="WK220" s="3297"/>
      <c r="WL220" s="3297"/>
      <c r="WM220" s="3297"/>
      <c r="WN220" s="3297"/>
      <c r="WO220" s="3297"/>
      <c r="WP220" s="3297"/>
      <c r="WQ220" s="3297"/>
      <c r="WR220" s="3297"/>
      <c r="WS220" s="3297"/>
      <c r="WT220" s="3297"/>
      <c r="WU220" s="3297"/>
      <c r="WV220" s="3297"/>
      <c r="WW220" s="3297"/>
      <c r="WX220" s="3297"/>
      <c r="WY220" s="3297"/>
      <c r="WZ220" s="3297"/>
      <c r="XA220" s="3297"/>
      <c r="XB220" s="3297"/>
      <c r="XC220" s="3297"/>
      <c r="XD220" s="3297"/>
      <c r="XE220" s="3297"/>
      <c r="XF220" s="3297"/>
      <c r="XG220" s="3297"/>
      <c r="XH220" s="3297"/>
      <c r="XI220" s="3297"/>
      <c r="XJ220" s="3297"/>
      <c r="XK220" s="3297"/>
      <c r="XL220" s="3297"/>
      <c r="XM220" s="3297"/>
      <c r="XN220" s="3297"/>
      <c r="XO220" s="3297"/>
      <c r="XP220" s="3297"/>
      <c r="XQ220" s="3297"/>
      <c r="XR220" s="3297"/>
      <c r="XS220" s="3297"/>
      <c r="XT220" s="3297"/>
      <c r="XU220" s="3297"/>
      <c r="XV220" s="3297"/>
      <c r="XW220" s="3297"/>
      <c r="XX220" s="3297"/>
      <c r="XY220" s="3297"/>
      <c r="XZ220" s="3297"/>
      <c r="YA220" s="3297"/>
      <c r="YB220" s="3297"/>
      <c r="YC220" s="3297"/>
      <c r="YD220" s="3297"/>
      <c r="YE220" s="3297"/>
      <c r="YF220" s="3297"/>
      <c r="YG220" s="3297"/>
      <c r="YH220" s="3297"/>
      <c r="YI220" s="3297"/>
      <c r="YJ220" s="3297"/>
      <c r="YK220" s="3297"/>
      <c r="YL220" s="3297"/>
      <c r="YM220" s="3297"/>
      <c r="YN220" s="3297"/>
      <c r="YO220" s="3297"/>
      <c r="YP220" s="3297"/>
      <c r="YQ220" s="3297"/>
      <c r="YR220" s="3297"/>
      <c r="YS220" s="3297"/>
      <c r="YT220" s="3297"/>
      <c r="YU220" s="3297"/>
      <c r="YV220" s="3297"/>
      <c r="YW220" s="3297"/>
      <c r="YX220" s="3297"/>
      <c r="YY220" s="3297"/>
      <c r="YZ220" s="3297"/>
      <c r="ZA220" s="3297"/>
      <c r="ZB220" s="3297"/>
      <c r="ZC220" s="3297"/>
      <c r="ZD220" s="3297"/>
      <c r="ZE220" s="3297"/>
      <c r="ZF220" s="3297"/>
      <c r="ZG220" s="3297"/>
      <c r="ZH220" s="3297"/>
      <c r="ZI220" s="3297"/>
      <c r="ZJ220" s="3297"/>
      <c r="ZK220" s="3297"/>
      <c r="ZL220" s="3297"/>
      <c r="ZM220" s="3297"/>
      <c r="ZN220" s="3297"/>
      <c r="ZO220" s="3297"/>
      <c r="ZP220" s="3297"/>
      <c r="ZQ220" s="3297"/>
      <c r="ZR220" s="3297"/>
      <c r="ZS220" s="3297"/>
      <c r="ZT220" s="3297"/>
      <c r="ZU220" s="3297"/>
      <c r="ZV220" s="3297"/>
      <c r="ZW220" s="3297"/>
      <c r="ZX220" s="3297"/>
      <c r="ZY220" s="3297"/>
      <c r="ZZ220" s="3297"/>
      <c r="AAA220" s="3297"/>
      <c r="AAB220" s="3297"/>
      <c r="AAC220" s="3297"/>
      <c r="AAD220" s="3297"/>
      <c r="AAE220" s="3297"/>
      <c r="AAF220" s="3297"/>
      <c r="AAG220" s="3297"/>
      <c r="AAH220" s="3297"/>
      <c r="AAI220" s="3297"/>
      <c r="AAJ220" s="3297"/>
      <c r="AAK220" s="3297"/>
      <c r="AAL220" s="3297"/>
      <c r="AAM220" s="3297"/>
      <c r="AAN220" s="3297"/>
      <c r="AAO220" s="3297"/>
      <c r="AAP220" s="3297"/>
      <c r="AAQ220" s="3297"/>
      <c r="AAR220" s="3297"/>
      <c r="AAS220" s="3297"/>
      <c r="AAT220" s="3297"/>
      <c r="AAU220" s="3297"/>
      <c r="AAV220" s="3297"/>
      <c r="AAW220" s="3297"/>
      <c r="AAX220" s="3297"/>
      <c r="AAY220" s="3297"/>
      <c r="AAZ220" s="3297"/>
      <c r="ABA220" s="3297"/>
      <c r="ABB220" s="3297"/>
      <c r="ABC220" s="3297"/>
      <c r="ABD220" s="3297"/>
      <c r="ABE220" s="3297"/>
      <c r="ABF220" s="3297"/>
      <c r="ABG220" s="3297"/>
      <c r="ABH220" s="3297"/>
      <c r="ABI220" s="3297"/>
      <c r="ABJ220" s="3297"/>
      <c r="ABK220" s="3297"/>
      <c r="ABL220" s="3297"/>
      <c r="ABM220" s="3297"/>
      <c r="ABN220" s="3297"/>
      <c r="ABO220" s="3297"/>
      <c r="ABP220" s="3297"/>
      <c r="ABQ220" s="3297"/>
      <c r="ABR220" s="3297"/>
      <c r="ABS220" s="3297"/>
      <c r="ABT220" s="3297"/>
      <c r="ABU220" s="3297"/>
      <c r="ABV220" s="3297"/>
      <c r="ABW220" s="3297"/>
      <c r="ABX220" s="3297"/>
      <c r="ABY220" s="3297"/>
      <c r="ABZ220" s="3297"/>
      <c r="ACA220" s="3297"/>
      <c r="ACB220" s="3297"/>
      <c r="ACC220" s="3297"/>
      <c r="ACD220" s="3297"/>
      <c r="ACE220" s="3297"/>
      <c r="ACF220" s="3297"/>
      <c r="ACG220" s="3297"/>
      <c r="ACH220" s="3297"/>
      <c r="ACI220" s="3297"/>
      <c r="ACJ220" s="3297"/>
      <c r="ACK220" s="3297"/>
      <c r="ACL220" s="3297"/>
      <c r="ACM220" s="3297"/>
      <c r="ACN220" s="3297"/>
      <c r="ACO220" s="3297"/>
      <c r="ACP220" s="3297"/>
      <c r="ACQ220" s="3297"/>
      <c r="ACR220" s="3297"/>
      <c r="ACS220" s="3297"/>
      <c r="ACT220" s="3297"/>
      <c r="ACU220" s="3297"/>
      <c r="ACV220" s="3297"/>
      <c r="ACW220" s="3297"/>
      <c r="ACX220" s="3297"/>
      <c r="ACY220" s="3297"/>
      <c r="ACZ220" s="3297"/>
      <c r="ADA220" s="3297"/>
      <c r="ADB220" s="3297"/>
      <c r="ADC220" s="3297"/>
      <c r="ADD220" s="3297"/>
      <c r="ADE220" s="3297"/>
      <c r="ADF220" s="3297"/>
      <c r="ADG220" s="3297"/>
      <c r="ADH220" s="3297"/>
      <c r="ADI220" s="3297"/>
      <c r="ADJ220" s="3297"/>
      <c r="ADK220" s="3297"/>
      <c r="ADL220" s="3297"/>
      <c r="ADM220" s="3297"/>
      <c r="ADN220" s="3297"/>
      <c r="ADO220" s="3297"/>
      <c r="ADP220" s="3297"/>
      <c r="ADQ220" s="3297"/>
      <c r="ADR220" s="3297"/>
      <c r="ADS220" s="3297"/>
      <c r="ADT220" s="3297"/>
      <c r="ADU220" s="3297"/>
      <c r="ADV220" s="3297"/>
      <c r="ADW220" s="3297"/>
      <c r="ADX220" s="3297"/>
      <c r="ADY220" s="3297"/>
      <c r="ADZ220" s="3297"/>
      <c r="AEA220" s="3297"/>
      <c r="AEB220" s="3297"/>
      <c r="AEC220" s="3297"/>
      <c r="AED220" s="3297"/>
      <c r="AEE220" s="3297"/>
      <c r="AEF220" s="3297"/>
      <c r="AEG220" s="3297"/>
      <c r="AEH220" s="3297"/>
      <c r="AEI220" s="3297"/>
      <c r="AEJ220" s="3297"/>
      <c r="AEK220" s="3297"/>
      <c r="AEL220" s="3297"/>
      <c r="AEM220" s="3297"/>
      <c r="AEN220" s="3297"/>
      <c r="AEO220" s="3297"/>
      <c r="AEP220" s="3297"/>
      <c r="AEQ220" s="3297"/>
      <c r="AER220" s="3297"/>
      <c r="AES220" s="3297"/>
      <c r="AET220" s="3297"/>
      <c r="AEU220" s="3297"/>
      <c r="AEV220" s="3297"/>
      <c r="AEW220" s="3297"/>
      <c r="AEX220" s="3297"/>
      <c r="AEY220" s="3297"/>
      <c r="AEZ220" s="3297"/>
      <c r="AFA220" s="3297"/>
      <c r="AFB220" s="3297"/>
      <c r="AFC220" s="3297"/>
      <c r="AFD220" s="3297"/>
      <c r="AFE220" s="3297"/>
      <c r="AFF220" s="3297"/>
      <c r="AFG220" s="3297"/>
      <c r="AFH220" s="3297"/>
      <c r="AFI220" s="3297"/>
      <c r="AFJ220" s="3297"/>
      <c r="AFK220" s="3297"/>
      <c r="AFL220" s="3297"/>
      <c r="AFM220" s="3297"/>
      <c r="AFN220" s="3297"/>
      <c r="AFO220" s="3297"/>
      <c r="AFP220" s="3297"/>
      <c r="AFQ220" s="3297"/>
      <c r="AFR220" s="3297"/>
      <c r="AFS220" s="3297"/>
      <c r="AFT220" s="3297"/>
      <c r="AFU220" s="3297"/>
      <c r="AFV220" s="3297"/>
      <c r="AFW220" s="3297"/>
      <c r="AFX220" s="3297"/>
      <c r="AFY220" s="3297"/>
      <c r="AFZ220" s="3297"/>
      <c r="AGA220" s="3297"/>
      <c r="AGB220" s="3297"/>
      <c r="AGC220" s="3297"/>
      <c r="AGD220" s="3297"/>
      <c r="AGE220" s="3297"/>
      <c r="AGF220" s="3297"/>
      <c r="AGG220" s="3297"/>
      <c r="AGH220" s="3297"/>
      <c r="AGI220" s="3297"/>
      <c r="AGJ220" s="3297"/>
      <c r="AGK220" s="3297"/>
      <c r="AGL220" s="3297"/>
      <c r="AGM220" s="3297"/>
      <c r="AGN220" s="3297"/>
      <c r="AGO220" s="3297"/>
      <c r="AGP220" s="3297"/>
      <c r="AGQ220" s="3297"/>
      <c r="AGR220" s="3297"/>
      <c r="AGS220" s="3297"/>
      <c r="AGT220" s="3297"/>
      <c r="AGU220" s="3297"/>
      <c r="AGV220" s="3297"/>
      <c r="AGW220" s="3297"/>
      <c r="AGX220" s="3297"/>
      <c r="AGY220" s="3297"/>
      <c r="AGZ220" s="3297"/>
      <c r="AHA220" s="3297"/>
      <c r="AHB220" s="3297"/>
      <c r="AHC220" s="3297"/>
      <c r="AHD220" s="3297"/>
      <c r="AHE220" s="3297"/>
      <c r="AHF220" s="3297"/>
      <c r="AHG220" s="3297"/>
      <c r="AHH220" s="3297"/>
      <c r="AHI220" s="3297"/>
      <c r="AHJ220" s="3297"/>
      <c r="AHK220" s="3297"/>
      <c r="AHL220" s="3297"/>
      <c r="AHM220" s="3297"/>
      <c r="AHN220" s="3297"/>
      <c r="AHO220" s="3297"/>
      <c r="AHP220" s="3297"/>
      <c r="AHQ220" s="3297"/>
      <c r="AHR220" s="3297"/>
      <c r="AHS220" s="3297"/>
      <c r="AHT220" s="3297"/>
      <c r="AHU220" s="3297"/>
      <c r="AHV220" s="3297"/>
      <c r="AHW220" s="3297"/>
      <c r="AHX220" s="3297"/>
      <c r="AHY220" s="3297"/>
      <c r="AHZ220" s="3297"/>
      <c r="AIA220" s="3297"/>
      <c r="AIB220" s="3297"/>
      <c r="AIC220" s="3297"/>
      <c r="AID220" s="3297"/>
      <c r="AIE220" s="3297"/>
      <c r="AIF220" s="3297"/>
      <c r="AIG220" s="3297"/>
      <c r="AIH220" s="3297"/>
      <c r="AII220" s="3297"/>
      <c r="AIJ220" s="3297"/>
      <c r="AIK220" s="3297"/>
      <c r="AIL220" s="3297"/>
      <c r="AIM220" s="3297"/>
      <c r="AIN220" s="3297"/>
      <c r="AIO220" s="3297"/>
      <c r="AIP220" s="3297"/>
      <c r="AIQ220" s="3297"/>
      <c r="AIR220" s="3297"/>
      <c r="AIS220" s="3297"/>
      <c r="AIT220" s="3297"/>
      <c r="AIU220" s="3297"/>
      <c r="AIV220" s="3297"/>
      <c r="AIW220" s="3297"/>
      <c r="AIX220" s="3297"/>
      <c r="AIY220" s="3297"/>
      <c r="AIZ220" s="3297"/>
      <c r="AJA220" s="3297"/>
      <c r="AJB220" s="3297"/>
      <c r="AJC220" s="3297"/>
      <c r="AJD220" s="3297"/>
      <c r="AJE220" s="3297"/>
      <c r="AJF220" s="3297"/>
      <c r="AJG220" s="3297"/>
      <c r="AJH220" s="3297"/>
      <c r="AJI220" s="3297"/>
      <c r="AJJ220" s="3297"/>
      <c r="AJK220" s="3297"/>
      <c r="AJL220" s="3297"/>
      <c r="AJM220" s="3297"/>
      <c r="AJN220" s="3297"/>
      <c r="AJO220" s="3297"/>
      <c r="AJP220" s="3297"/>
      <c r="AJQ220" s="3297"/>
      <c r="AJR220" s="3297"/>
      <c r="AJS220" s="3297"/>
      <c r="AJT220" s="3297"/>
      <c r="AJU220" s="3297"/>
      <c r="AJV220" s="3297"/>
      <c r="AJW220" s="3297"/>
      <c r="AJX220" s="3297"/>
      <c r="AJY220" s="3297"/>
      <c r="AJZ220" s="3297"/>
      <c r="AKA220" s="3297"/>
      <c r="AKB220" s="3297"/>
      <c r="AKC220" s="3297"/>
      <c r="AKD220" s="3297"/>
      <c r="AKE220" s="3297"/>
      <c r="AKF220" s="3297"/>
      <c r="AKG220" s="3297"/>
      <c r="AKH220" s="3297"/>
      <c r="AKI220" s="3297"/>
      <c r="AKJ220" s="3297"/>
      <c r="AKK220" s="3297"/>
      <c r="AKL220" s="3297"/>
      <c r="AKM220" s="3297"/>
      <c r="AKN220" s="3297"/>
      <c r="AKO220" s="3297"/>
      <c r="AKP220" s="3297"/>
      <c r="AKQ220" s="3297"/>
      <c r="AKR220" s="3297"/>
      <c r="AKS220" s="3297"/>
      <c r="AKT220" s="3297"/>
      <c r="AKU220" s="3297"/>
      <c r="AKV220" s="3297"/>
      <c r="AKW220" s="3297"/>
      <c r="AKX220" s="3297"/>
      <c r="AKY220" s="3297"/>
      <c r="AKZ220" s="3297"/>
      <c r="ALA220" s="3297"/>
      <c r="ALB220" s="3297"/>
      <c r="ALC220" s="3297"/>
      <c r="ALD220" s="3297"/>
      <c r="ALE220" s="3297"/>
      <c r="ALF220" s="3297"/>
      <c r="ALG220" s="3297"/>
      <c r="ALH220" s="3297"/>
      <c r="ALI220" s="3297"/>
      <c r="ALJ220" s="3297"/>
      <c r="ALK220" s="3297"/>
      <c r="ALL220" s="3297"/>
      <c r="ALM220" s="3297"/>
      <c r="ALN220" s="3297"/>
      <c r="ALO220" s="3297"/>
      <c r="ALP220" s="3297"/>
      <c r="ALQ220" s="3297"/>
      <c r="ALR220" s="3297"/>
      <c r="ALS220" s="3297"/>
      <c r="ALT220" s="3297"/>
      <c r="ALU220" s="3297"/>
      <c r="ALV220" s="3297"/>
      <c r="ALW220" s="3297"/>
      <c r="ALX220" s="3297"/>
      <c r="ALY220" s="3297"/>
      <c r="ALZ220" s="3297"/>
      <c r="AMA220" s="3297"/>
      <c r="AMB220" s="3297"/>
      <c r="AMC220" s="3297"/>
      <c r="AMD220" s="3297"/>
      <c r="AME220" s="3297"/>
      <c r="AMF220" s="3297"/>
      <c r="AMG220" s="3297"/>
      <c r="AMH220" s="3297"/>
      <c r="AMI220" s="3297"/>
      <c r="AMJ220" s="3297"/>
      <c r="AMK220" s="3297"/>
      <c r="AML220" s="3297"/>
      <c r="AMM220" s="3297"/>
      <c r="AMN220" s="3297"/>
      <c r="AMO220" s="3297"/>
      <c r="AMP220" s="3297"/>
      <c r="AMQ220" s="3297"/>
      <c r="AMR220" s="3297"/>
      <c r="AMS220" s="3297"/>
      <c r="AMT220" s="3297"/>
      <c r="AMU220" s="3297"/>
      <c r="AMV220" s="3297"/>
      <c r="AMW220" s="3297"/>
      <c r="AMX220" s="3297"/>
      <c r="AMY220" s="3297"/>
      <c r="AMZ220" s="3297"/>
      <c r="ANA220" s="3297"/>
      <c r="ANB220" s="3297"/>
      <c r="ANC220" s="3297"/>
      <c r="AND220" s="3297"/>
      <c r="ANE220" s="3297"/>
      <c r="ANF220" s="3297"/>
      <c r="ANG220" s="3297"/>
      <c r="ANH220" s="3297"/>
      <c r="ANI220" s="3297"/>
      <c r="ANJ220" s="3297"/>
      <c r="ANK220" s="3297"/>
      <c r="ANL220" s="3297"/>
      <c r="ANM220" s="3297"/>
      <c r="ANN220" s="3297"/>
      <c r="ANO220" s="3297"/>
      <c r="ANP220" s="3297"/>
      <c r="ANQ220" s="3297"/>
      <c r="ANR220" s="3297"/>
      <c r="ANS220" s="3297"/>
      <c r="ANT220" s="3297"/>
      <c r="ANU220" s="3297"/>
      <c r="ANV220" s="3297"/>
      <c r="ANW220" s="3297"/>
      <c r="ANX220" s="3297"/>
      <c r="ANY220" s="3297"/>
      <c r="ANZ220" s="3297"/>
      <c r="AOA220" s="3297"/>
      <c r="AOB220" s="3297"/>
      <c r="AOC220" s="3297"/>
      <c r="AOD220" s="3297"/>
      <c r="AOE220" s="3297"/>
      <c r="AOF220" s="3297"/>
      <c r="AOG220" s="3297"/>
      <c r="AOH220" s="3297"/>
      <c r="AOI220" s="3297"/>
      <c r="AOJ220" s="3297"/>
      <c r="AOK220" s="3297"/>
      <c r="AOL220" s="3297"/>
      <c r="AOM220" s="3297"/>
      <c r="AON220" s="3297"/>
      <c r="AOO220" s="3297"/>
      <c r="AOP220" s="3297"/>
      <c r="AOQ220" s="3297"/>
      <c r="AOR220" s="3297"/>
      <c r="AOS220" s="3297"/>
      <c r="AOT220" s="3297"/>
      <c r="AOU220" s="3297"/>
      <c r="AOV220" s="3297"/>
      <c r="AOW220" s="3297"/>
      <c r="AOX220" s="3297"/>
      <c r="AOY220" s="3297"/>
      <c r="AOZ220" s="3297"/>
      <c r="APA220" s="3297"/>
      <c r="APB220" s="3297"/>
      <c r="APC220" s="3297"/>
      <c r="APD220" s="3297"/>
      <c r="APE220" s="3297"/>
      <c r="APF220" s="3297"/>
      <c r="APG220" s="3297"/>
      <c r="APH220" s="3297"/>
      <c r="API220" s="3297"/>
      <c r="APJ220" s="3297"/>
      <c r="APK220" s="3297"/>
      <c r="APL220" s="3297"/>
      <c r="APM220" s="3297"/>
      <c r="APN220" s="3297"/>
      <c r="APO220" s="3297"/>
      <c r="APP220" s="3297"/>
      <c r="APQ220" s="3297"/>
      <c r="APR220" s="3297"/>
      <c r="APS220" s="3297"/>
      <c r="APT220" s="3297"/>
      <c r="APU220" s="3297"/>
      <c r="APV220" s="3297"/>
      <c r="APW220" s="3297"/>
      <c r="APX220" s="3297"/>
      <c r="APY220" s="3297"/>
      <c r="APZ220" s="3297"/>
      <c r="AQA220" s="3297"/>
      <c r="AQB220" s="3297"/>
      <c r="AQC220" s="3297"/>
      <c r="AQD220" s="3297"/>
      <c r="AQE220" s="3297"/>
      <c r="AQF220" s="3297"/>
      <c r="AQG220" s="3297"/>
      <c r="AQH220" s="3297"/>
      <c r="AQI220" s="3297"/>
      <c r="AQJ220" s="3297"/>
      <c r="AQK220" s="3297"/>
      <c r="AQL220" s="3297"/>
      <c r="AQM220" s="3297"/>
      <c r="AQN220" s="3297"/>
      <c r="AQO220" s="3297"/>
      <c r="AQP220" s="3297"/>
      <c r="AQQ220" s="3297"/>
      <c r="AQR220" s="3297"/>
      <c r="AQS220" s="3297"/>
      <c r="AQT220" s="3297"/>
      <c r="AQU220" s="3297"/>
      <c r="AQV220" s="3297"/>
      <c r="AQW220" s="3297"/>
      <c r="AQX220" s="3297"/>
      <c r="AQY220" s="3297"/>
      <c r="AQZ220" s="3297"/>
      <c r="ARA220" s="3297"/>
      <c r="ARB220" s="3297"/>
      <c r="ARC220" s="3297"/>
      <c r="ARD220" s="3297"/>
      <c r="ARE220" s="3297"/>
      <c r="ARF220" s="3297"/>
      <c r="ARG220" s="3297"/>
      <c r="ARH220" s="3297"/>
      <c r="ARI220" s="3297"/>
      <c r="ARJ220" s="3297"/>
      <c r="ARK220" s="3297"/>
      <c r="ARL220" s="3297"/>
      <c r="ARM220" s="3297"/>
      <c r="ARN220" s="3297"/>
      <c r="ARO220" s="3297"/>
      <c r="ARP220" s="3297"/>
      <c r="ARQ220" s="3297"/>
      <c r="ARR220" s="3297"/>
      <c r="ARS220" s="3297"/>
      <c r="ART220" s="3297"/>
      <c r="ARU220" s="3297"/>
      <c r="ARV220" s="3297"/>
      <c r="ARW220" s="3297"/>
      <c r="ARX220" s="3297"/>
      <c r="ARY220" s="3297"/>
      <c r="ARZ220" s="3297"/>
      <c r="ASA220" s="3297"/>
      <c r="ASB220" s="3297"/>
      <c r="ASC220" s="3297"/>
      <c r="ASD220" s="3297"/>
      <c r="ASE220" s="3297"/>
      <c r="ASF220" s="3297"/>
      <c r="ASG220" s="3297"/>
      <c r="ASH220" s="3297"/>
      <c r="ASI220" s="3297"/>
      <c r="ASJ220" s="3297"/>
      <c r="ASK220" s="3297"/>
      <c r="ASL220" s="3297"/>
      <c r="ASM220" s="3297"/>
      <c r="ASN220" s="3297"/>
      <c r="ASO220" s="3297"/>
      <c r="ASP220" s="3297"/>
      <c r="ASQ220" s="3297"/>
      <c r="ASR220" s="3297"/>
      <c r="ASS220" s="3297"/>
      <c r="AST220" s="3297"/>
      <c r="ASU220" s="3297"/>
      <c r="ASV220" s="3297"/>
      <c r="ASW220" s="3297"/>
      <c r="ASX220" s="3297"/>
      <c r="ASY220" s="3297"/>
      <c r="ASZ220" s="3297"/>
      <c r="ATA220" s="3297"/>
      <c r="ATB220" s="3297"/>
      <c r="ATC220" s="3297"/>
      <c r="ATD220" s="3297"/>
      <c r="ATE220" s="3297"/>
      <c r="ATF220" s="3297"/>
      <c r="ATG220" s="3297"/>
      <c r="ATH220" s="3297"/>
      <c r="ATI220" s="3297"/>
      <c r="ATJ220" s="3297"/>
      <c r="ATK220" s="3297"/>
      <c r="ATL220" s="3297"/>
      <c r="ATM220" s="3297"/>
      <c r="ATN220" s="3297"/>
      <c r="ATO220" s="3297"/>
      <c r="ATP220" s="3297"/>
      <c r="ATQ220" s="3297"/>
      <c r="ATR220" s="3297"/>
      <c r="ATS220" s="3297"/>
      <c r="ATT220" s="3297"/>
      <c r="ATU220" s="3297"/>
      <c r="ATV220" s="3297"/>
      <c r="ATW220" s="3297"/>
      <c r="ATX220" s="3297"/>
      <c r="ATY220" s="3297"/>
      <c r="ATZ220" s="3297"/>
      <c r="AUA220" s="3297"/>
      <c r="AUB220" s="3297"/>
      <c r="AUC220" s="3297"/>
      <c r="AUD220" s="3297"/>
      <c r="AUE220" s="3297"/>
      <c r="AUF220" s="3297"/>
      <c r="AUG220" s="3297"/>
      <c r="AUH220" s="3297"/>
      <c r="AUI220" s="3297"/>
      <c r="AUJ220" s="3297"/>
      <c r="AUK220" s="3297"/>
      <c r="AUL220" s="3297"/>
      <c r="AUM220" s="3297"/>
      <c r="AUN220" s="3297"/>
      <c r="AUO220" s="3297"/>
      <c r="AUP220" s="3297"/>
      <c r="AUQ220" s="3297"/>
      <c r="AUR220" s="3297"/>
      <c r="AUS220" s="3297"/>
      <c r="AUT220" s="3297"/>
      <c r="AUU220" s="3297"/>
      <c r="AUV220" s="3297"/>
      <c r="AUW220" s="3297"/>
      <c r="AUX220" s="3297"/>
      <c r="AUY220" s="3297"/>
      <c r="AUZ220" s="3297"/>
      <c r="AVA220" s="3297"/>
      <c r="AVB220" s="3297"/>
      <c r="AVC220" s="3297"/>
      <c r="AVD220" s="3297"/>
      <c r="AVE220" s="3297"/>
      <c r="AVF220" s="3297"/>
      <c r="AVG220" s="3297"/>
      <c r="AVH220" s="3297"/>
      <c r="AVI220" s="3297"/>
      <c r="AVJ220" s="3297"/>
      <c r="AVK220" s="3297"/>
      <c r="AVL220" s="3297"/>
      <c r="AVM220" s="3297"/>
      <c r="AVN220" s="3297"/>
      <c r="AVO220" s="3297"/>
      <c r="AVP220" s="3297"/>
      <c r="AVQ220" s="3297"/>
      <c r="AVR220" s="3297"/>
      <c r="AVS220" s="3297"/>
      <c r="AVT220" s="3297"/>
      <c r="AVU220" s="3297"/>
      <c r="AVV220" s="3297"/>
      <c r="AVW220" s="3297"/>
      <c r="AVX220" s="3297"/>
      <c r="AVY220" s="3297"/>
      <c r="AVZ220" s="3297"/>
      <c r="AWA220" s="3297"/>
      <c r="AWB220" s="3297"/>
      <c r="AWC220" s="3297"/>
      <c r="AWD220" s="3297"/>
      <c r="AWE220" s="3297"/>
      <c r="AWF220" s="3297"/>
      <c r="AWG220" s="3297"/>
      <c r="AWH220" s="3297"/>
      <c r="AWI220" s="3297"/>
      <c r="AWJ220" s="3297"/>
      <c r="AWK220" s="3297"/>
      <c r="AWL220" s="3297"/>
      <c r="AWM220" s="3297"/>
      <c r="AWN220" s="3297"/>
      <c r="AWO220" s="3297"/>
      <c r="AWP220" s="3297"/>
      <c r="AWQ220" s="3297"/>
      <c r="AWR220" s="3297"/>
      <c r="AWS220" s="3297"/>
      <c r="AWT220" s="3297"/>
      <c r="AWU220" s="3297"/>
      <c r="AWV220" s="3297"/>
      <c r="AWW220" s="3297"/>
      <c r="AWX220" s="3297"/>
      <c r="AWY220" s="3297"/>
      <c r="AWZ220" s="3297"/>
      <c r="AXA220" s="3297"/>
      <c r="AXB220" s="3297"/>
      <c r="AXC220" s="3297"/>
      <c r="AXD220" s="3297"/>
      <c r="AXE220" s="3297"/>
      <c r="AXF220" s="3297"/>
      <c r="AXG220" s="3297"/>
      <c r="AXH220" s="3297"/>
      <c r="AXI220" s="3297"/>
      <c r="AXJ220" s="3297"/>
    </row>
    <row r="221" spans="1:1310" s="3298" customFormat="1" ht="23.25" customHeight="1">
      <c r="A221" s="468"/>
      <c r="B221" s="6643"/>
      <c r="C221" s="6643"/>
      <c r="D221" s="6643"/>
      <c r="E221" s="6643"/>
      <c r="F221" s="6643"/>
      <c r="G221" s="6643"/>
      <c r="H221" s="6643"/>
      <c r="I221" s="6643"/>
      <c r="J221" s="6643"/>
      <c r="K221" s="6643"/>
      <c r="L221" s="6643"/>
      <c r="M221" s="6643"/>
      <c r="N221" s="6643"/>
      <c r="O221" s="6643"/>
      <c r="P221" s="6643"/>
      <c r="Q221" s="6643"/>
      <c r="R221" s="443"/>
      <c r="S221" s="443"/>
      <c r="T221" s="443"/>
      <c r="U221" s="443"/>
      <c r="V221" s="443"/>
      <c r="W221" s="443"/>
      <c r="X221" s="443"/>
      <c r="Y221" s="443"/>
      <c r="Z221" s="443"/>
      <c r="AA221" s="443"/>
      <c r="AB221" s="443"/>
      <c r="AC221" s="443"/>
      <c r="AD221" s="3297"/>
      <c r="AE221" s="3297"/>
      <c r="AF221" s="3297"/>
      <c r="AG221" s="3297"/>
      <c r="AH221" s="3297"/>
      <c r="AI221" s="3297"/>
      <c r="AJ221" s="3297"/>
      <c r="AK221" s="3297"/>
      <c r="AL221" s="3297"/>
      <c r="AM221" s="3297"/>
      <c r="AN221" s="3297"/>
      <c r="AO221" s="3297"/>
      <c r="AP221" s="3297"/>
      <c r="AQ221" s="3297"/>
      <c r="AR221" s="3297"/>
      <c r="AS221" s="3297"/>
      <c r="AT221" s="3297"/>
      <c r="AU221" s="3297"/>
      <c r="AV221" s="3297"/>
      <c r="AW221" s="3297"/>
      <c r="AX221" s="3297"/>
      <c r="AY221" s="3297"/>
      <c r="AZ221" s="3297"/>
      <c r="BA221" s="3297"/>
      <c r="BB221" s="3297"/>
      <c r="BC221" s="3297"/>
      <c r="BD221" s="3297"/>
      <c r="BE221" s="3297"/>
      <c r="BF221" s="3297"/>
      <c r="BG221" s="3297"/>
      <c r="BH221" s="3297"/>
      <c r="BI221" s="3297"/>
      <c r="BJ221" s="3297"/>
      <c r="BK221" s="3297"/>
      <c r="BL221" s="3297"/>
      <c r="BM221" s="3297"/>
      <c r="BN221" s="3297"/>
      <c r="BO221" s="3297"/>
      <c r="BP221" s="3297"/>
      <c r="BQ221" s="3297"/>
      <c r="BR221" s="3297"/>
      <c r="BS221" s="3297"/>
      <c r="BT221" s="3297"/>
      <c r="BU221" s="3297"/>
      <c r="BV221" s="3297"/>
      <c r="BW221" s="3297"/>
      <c r="BX221" s="3297"/>
      <c r="BY221" s="3297"/>
      <c r="BZ221" s="3297"/>
      <c r="CA221" s="3297"/>
      <c r="CB221" s="3297"/>
      <c r="CC221" s="3297"/>
      <c r="CD221" s="3297"/>
      <c r="CE221" s="3297"/>
      <c r="CF221" s="3297"/>
      <c r="CG221" s="3297"/>
      <c r="CH221" s="3297"/>
      <c r="CI221" s="3297"/>
      <c r="CJ221" s="3297"/>
      <c r="CK221" s="3297"/>
      <c r="CL221" s="3297"/>
      <c r="CM221" s="3297"/>
      <c r="CN221" s="3297"/>
      <c r="CO221" s="3297"/>
      <c r="CP221" s="3297"/>
      <c r="CQ221" s="3297"/>
      <c r="CR221" s="3297"/>
      <c r="CS221" s="3297"/>
      <c r="CT221" s="3297"/>
      <c r="CU221" s="3297"/>
      <c r="CV221" s="3297"/>
      <c r="CW221" s="3297"/>
      <c r="CX221" s="3297"/>
      <c r="CY221" s="3297"/>
      <c r="CZ221" s="3297"/>
      <c r="DA221" s="3297"/>
      <c r="DB221" s="3297"/>
      <c r="DC221" s="3297"/>
      <c r="DD221" s="3297"/>
      <c r="DE221" s="3297"/>
      <c r="DF221" s="3297"/>
      <c r="DG221" s="3297"/>
      <c r="DH221" s="3297"/>
      <c r="DI221" s="3297"/>
      <c r="DJ221" s="3297"/>
      <c r="DK221" s="3297"/>
      <c r="DL221" s="3297"/>
      <c r="DM221" s="3297"/>
      <c r="DN221" s="3297"/>
      <c r="DO221" s="3297"/>
      <c r="DP221" s="3297"/>
      <c r="DQ221" s="3297"/>
      <c r="DR221" s="3297"/>
      <c r="DS221" s="3297"/>
      <c r="DT221" s="3297"/>
      <c r="DU221" s="3297"/>
      <c r="DV221" s="3297"/>
      <c r="DW221" s="3297"/>
      <c r="DX221" s="3297"/>
      <c r="DY221" s="3297"/>
      <c r="DZ221" s="3297"/>
      <c r="EA221" s="3297"/>
      <c r="EB221" s="3297"/>
      <c r="EC221" s="3297"/>
      <c r="ED221" s="3297"/>
      <c r="EE221" s="3297"/>
      <c r="EF221" s="3297"/>
      <c r="EG221" s="3297"/>
      <c r="EH221" s="3297"/>
      <c r="EI221" s="3297"/>
      <c r="EJ221" s="3297"/>
      <c r="EK221" s="3297"/>
      <c r="EL221" s="3297"/>
      <c r="EM221" s="3297"/>
      <c r="EN221" s="3297"/>
      <c r="EO221" s="3297"/>
      <c r="EP221" s="3297"/>
      <c r="EQ221" s="3297"/>
      <c r="ER221" s="3297"/>
      <c r="ES221" s="3297"/>
      <c r="ET221" s="3297"/>
      <c r="EU221" s="3297"/>
      <c r="EV221" s="3297"/>
      <c r="EW221" s="3297"/>
      <c r="EX221" s="3297"/>
      <c r="EY221" s="3297"/>
      <c r="EZ221" s="3297"/>
      <c r="FA221" s="3297"/>
      <c r="FB221" s="3297"/>
      <c r="FC221" s="3297"/>
      <c r="FD221" s="3297"/>
      <c r="FE221" s="3297"/>
      <c r="FF221" s="3297"/>
      <c r="FG221" s="3297"/>
      <c r="FH221" s="3297"/>
      <c r="FI221" s="3297"/>
      <c r="FJ221" s="3297"/>
      <c r="FK221" s="3297"/>
      <c r="FL221" s="3297"/>
      <c r="FM221" s="3297"/>
      <c r="FN221" s="3297"/>
      <c r="FO221" s="3297"/>
      <c r="FP221" s="3297"/>
      <c r="FQ221" s="3297"/>
      <c r="FR221" s="3297"/>
      <c r="FS221" s="3297"/>
      <c r="FT221" s="3297"/>
      <c r="FU221" s="3297"/>
      <c r="FV221" s="3297"/>
      <c r="FW221" s="3297"/>
      <c r="FX221" s="3297"/>
      <c r="FY221" s="3297"/>
      <c r="FZ221" s="3297"/>
      <c r="GA221" s="3297"/>
      <c r="GB221" s="3297"/>
      <c r="GC221" s="3297"/>
      <c r="GD221" s="3297"/>
      <c r="GE221" s="3297"/>
      <c r="GF221" s="3297"/>
      <c r="GG221" s="3297"/>
      <c r="GH221" s="3297"/>
      <c r="GI221" s="3297"/>
      <c r="GJ221" s="3297"/>
      <c r="GK221" s="3297"/>
      <c r="GL221" s="3297"/>
      <c r="GM221" s="3297"/>
      <c r="GN221" s="3297"/>
      <c r="GO221" s="3297"/>
      <c r="GP221" s="3297"/>
      <c r="GQ221" s="3297"/>
      <c r="GR221" s="3297"/>
      <c r="GS221" s="3297"/>
      <c r="GT221" s="3297"/>
      <c r="GU221" s="3297"/>
      <c r="GV221" s="3297"/>
      <c r="GW221" s="3297"/>
      <c r="GX221" s="3297"/>
      <c r="GY221" s="3297"/>
      <c r="GZ221" s="3297"/>
      <c r="HA221" s="3297"/>
      <c r="HB221" s="3297"/>
      <c r="HC221" s="3297"/>
      <c r="HD221" s="3297"/>
      <c r="HE221" s="3297"/>
      <c r="HF221" s="3297"/>
      <c r="HG221" s="3297"/>
      <c r="HH221" s="3297"/>
      <c r="HI221" s="3297"/>
      <c r="HJ221" s="3297"/>
      <c r="HK221" s="3297"/>
      <c r="HL221" s="3297"/>
      <c r="HM221" s="3297"/>
      <c r="HN221" s="3297"/>
      <c r="HO221" s="3297"/>
      <c r="HP221" s="3297"/>
      <c r="HQ221" s="3297"/>
      <c r="HR221" s="3297"/>
      <c r="HS221" s="3297"/>
      <c r="HT221" s="3297"/>
      <c r="HU221" s="3297"/>
      <c r="HV221" s="3297"/>
      <c r="HW221" s="3297"/>
      <c r="HX221" s="3297"/>
      <c r="HY221" s="3297"/>
      <c r="HZ221" s="3297"/>
      <c r="IA221" s="3297"/>
      <c r="IB221" s="3297"/>
      <c r="IC221" s="3297"/>
      <c r="ID221" s="3297"/>
      <c r="IE221" s="3297"/>
      <c r="IF221" s="3297"/>
      <c r="IG221" s="3297"/>
      <c r="IH221" s="3297"/>
      <c r="II221" s="3297"/>
      <c r="IJ221" s="3297"/>
      <c r="IK221" s="3297"/>
      <c r="IL221" s="3297"/>
      <c r="IM221" s="3297"/>
      <c r="IN221" s="3297"/>
      <c r="IO221" s="3297"/>
      <c r="IP221" s="3297"/>
      <c r="IQ221" s="3297"/>
      <c r="IR221" s="3297"/>
      <c r="IS221" s="3297"/>
      <c r="IT221" s="3297"/>
      <c r="IU221" s="3297"/>
      <c r="IV221" s="3297"/>
      <c r="IW221" s="3297"/>
      <c r="IX221" s="3297"/>
      <c r="IY221" s="3297"/>
      <c r="IZ221" s="3297"/>
      <c r="JA221" s="3297"/>
      <c r="JB221" s="3297"/>
      <c r="JC221" s="3297"/>
      <c r="JD221" s="3297"/>
      <c r="JE221" s="3297"/>
      <c r="JF221" s="3297"/>
      <c r="JG221" s="3297"/>
      <c r="JH221" s="3297"/>
      <c r="JI221" s="3297"/>
      <c r="JJ221" s="3297"/>
      <c r="JK221" s="3297"/>
      <c r="JL221" s="3297"/>
      <c r="JM221" s="3297"/>
      <c r="JN221" s="3297"/>
      <c r="JO221" s="3297"/>
      <c r="JP221" s="3297"/>
      <c r="JQ221" s="3297"/>
      <c r="JR221" s="3297"/>
      <c r="JS221" s="3297"/>
      <c r="JT221" s="3297"/>
      <c r="JU221" s="3297"/>
      <c r="JV221" s="3297"/>
      <c r="JW221" s="3297"/>
      <c r="JX221" s="3297"/>
      <c r="JY221" s="3297"/>
      <c r="JZ221" s="3297"/>
      <c r="KA221" s="3297"/>
      <c r="KB221" s="3297"/>
      <c r="KC221" s="3297"/>
      <c r="KD221" s="3297"/>
      <c r="KE221" s="3297"/>
      <c r="KF221" s="3297"/>
      <c r="KG221" s="3297"/>
      <c r="KH221" s="3297"/>
      <c r="KI221" s="3297"/>
      <c r="KJ221" s="3297"/>
      <c r="KK221" s="3297"/>
      <c r="KL221" s="3297"/>
      <c r="KM221" s="3297"/>
      <c r="KN221" s="3297"/>
      <c r="KO221" s="3297"/>
      <c r="KP221" s="3297"/>
      <c r="KQ221" s="3297"/>
      <c r="KR221" s="3297"/>
      <c r="KS221" s="3297"/>
      <c r="KT221" s="3297"/>
      <c r="KU221" s="3297"/>
      <c r="KV221" s="3297"/>
      <c r="KW221" s="3297"/>
      <c r="KX221" s="3297"/>
      <c r="KY221" s="3297"/>
      <c r="KZ221" s="3297"/>
      <c r="LA221" s="3297"/>
      <c r="LB221" s="3297"/>
      <c r="LC221" s="3297"/>
      <c r="LD221" s="3297"/>
      <c r="LE221" s="3297"/>
      <c r="LF221" s="3297"/>
      <c r="LG221" s="3297"/>
      <c r="LH221" s="3297"/>
      <c r="LI221" s="3297"/>
      <c r="LJ221" s="3297"/>
      <c r="LK221" s="3297"/>
      <c r="LL221" s="3297"/>
      <c r="LM221" s="3297"/>
      <c r="LN221" s="3297"/>
      <c r="LO221" s="3297"/>
      <c r="LP221" s="3297"/>
      <c r="LQ221" s="3297"/>
      <c r="LR221" s="3297"/>
      <c r="LS221" s="3297"/>
      <c r="LT221" s="3297"/>
      <c r="LU221" s="3297"/>
      <c r="LV221" s="3297"/>
      <c r="LW221" s="3297"/>
      <c r="LX221" s="3297"/>
      <c r="LY221" s="3297"/>
      <c r="LZ221" s="3297"/>
      <c r="MA221" s="3297"/>
      <c r="MB221" s="3297"/>
      <c r="MC221" s="3297"/>
      <c r="MD221" s="3297"/>
      <c r="ME221" s="3297"/>
      <c r="MF221" s="3297"/>
      <c r="MG221" s="3297"/>
      <c r="MH221" s="3297"/>
      <c r="MI221" s="3297"/>
      <c r="MJ221" s="3297"/>
      <c r="MK221" s="3297"/>
      <c r="ML221" s="3297"/>
      <c r="MM221" s="3297"/>
      <c r="MN221" s="3297"/>
      <c r="MO221" s="3297"/>
      <c r="MP221" s="3297"/>
      <c r="MQ221" s="3297"/>
      <c r="MR221" s="3297"/>
      <c r="MS221" s="3297"/>
      <c r="MT221" s="3297"/>
      <c r="MU221" s="3297"/>
      <c r="MV221" s="3297"/>
      <c r="MW221" s="3297"/>
      <c r="MX221" s="3297"/>
      <c r="MY221" s="3297"/>
      <c r="MZ221" s="3297"/>
      <c r="NA221" s="3297"/>
      <c r="NB221" s="3297"/>
      <c r="NC221" s="3297"/>
      <c r="ND221" s="3297"/>
      <c r="NE221" s="3297"/>
      <c r="NF221" s="3297"/>
      <c r="NG221" s="3297"/>
      <c r="NH221" s="3297"/>
      <c r="NI221" s="3297"/>
      <c r="NJ221" s="3297"/>
      <c r="NK221" s="3297"/>
      <c r="NL221" s="3297"/>
      <c r="NM221" s="3297"/>
      <c r="NN221" s="3297"/>
      <c r="NO221" s="3297"/>
      <c r="NP221" s="3297"/>
      <c r="NQ221" s="3297"/>
      <c r="NR221" s="3297"/>
      <c r="NS221" s="3297"/>
      <c r="NT221" s="3297"/>
      <c r="NU221" s="3297"/>
      <c r="NV221" s="3297"/>
      <c r="NW221" s="3297"/>
      <c r="NX221" s="3297"/>
      <c r="NY221" s="3297"/>
      <c r="NZ221" s="3297"/>
      <c r="OA221" s="3297"/>
      <c r="OB221" s="3297"/>
      <c r="OC221" s="3297"/>
      <c r="OD221" s="3297"/>
      <c r="OE221" s="3297"/>
      <c r="OF221" s="3297"/>
      <c r="OG221" s="3297"/>
      <c r="OH221" s="3297"/>
      <c r="OI221" s="3297"/>
      <c r="OJ221" s="3297"/>
      <c r="OK221" s="3297"/>
      <c r="OL221" s="3297"/>
      <c r="OM221" s="3297"/>
      <c r="ON221" s="3297"/>
      <c r="OO221" s="3297"/>
      <c r="OP221" s="3297"/>
      <c r="OQ221" s="3297"/>
      <c r="OR221" s="3297"/>
      <c r="OS221" s="3297"/>
      <c r="OT221" s="3297"/>
      <c r="OU221" s="3297"/>
      <c r="OV221" s="3297"/>
      <c r="OW221" s="3297"/>
      <c r="OX221" s="3297"/>
      <c r="OY221" s="3297"/>
      <c r="OZ221" s="3297"/>
      <c r="PA221" s="3297"/>
      <c r="PB221" s="3297"/>
      <c r="PC221" s="3297"/>
      <c r="PD221" s="3297"/>
      <c r="PE221" s="3297"/>
      <c r="PF221" s="3297"/>
      <c r="PG221" s="3297"/>
      <c r="PH221" s="3297"/>
      <c r="PI221" s="3297"/>
      <c r="PJ221" s="3297"/>
      <c r="PK221" s="3297"/>
      <c r="PL221" s="3297"/>
      <c r="PM221" s="3297"/>
      <c r="PN221" s="3297"/>
      <c r="PO221" s="3297"/>
      <c r="PP221" s="3297"/>
      <c r="PQ221" s="3297"/>
      <c r="PR221" s="3297"/>
      <c r="PS221" s="3297"/>
      <c r="PT221" s="3297"/>
      <c r="PU221" s="3297"/>
      <c r="PV221" s="3297"/>
      <c r="PW221" s="3297"/>
      <c r="PX221" s="3297"/>
      <c r="PY221" s="3297"/>
      <c r="PZ221" s="3297"/>
      <c r="QA221" s="3297"/>
      <c r="QB221" s="3297"/>
      <c r="QC221" s="3297"/>
      <c r="QD221" s="3297"/>
      <c r="QE221" s="3297"/>
      <c r="QF221" s="3297"/>
      <c r="QG221" s="3297"/>
      <c r="QH221" s="3297"/>
      <c r="QI221" s="3297"/>
      <c r="QJ221" s="3297"/>
      <c r="QK221" s="3297"/>
      <c r="QL221" s="3297"/>
      <c r="QM221" s="3297"/>
      <c r="QN221" s="3297"/>
      <c r="QO221" s="3297"/>
      <c r="QP221" s="3297"/>
      <c r="QQ221" s="3297"/>
      <c r="QR221" s="3297"/>
      <c r="QS221" s="3297"/>
      <c r="QT221" s="3297"/>
      <c r="QU221" s="3297"/>
      <c r="QV221" s="3297"/>
      <c r="QW221" s="3297"/>
      <c r="QX221" s="3297"/>
      <c r="QY221" s="3297"/>
      <c r="QZ221" s="3297"/>
      <c r="RA221" s="3297"/>
      <c r="RB221" s="3297"/>
      <c r="RC221" s="3297"/>
      <c r="RD221" s="3297"/>
      <c r="RE221" s="3297"/>
      <c r="RF221" s="3297"/>
      <c r="RG221" s="3297"/>
      <c r="RH221" s="3297"/>
      <c r="RI221" s="3297"/>
      <c r="RJ221" s="3297"/>
      <c r="RK221" s="3297"/>
      <c r="RL221" s="3297"/>
      <c r="RM221" s="3297"/>
      <c r="RN221" s="3297"/>
      <c r="RO221" s="3297"/>
      <c r="RP221" s="3297"/>
      <c r="RQ221" s="3297"/>
      <c r="RR221" s="3297"/>
      <c r="RS221" s="3297"/>
      <c r="RT221" s="3297"/>
      <c r="RU221" s="3297"/>
      <c r="RV221" s="3297"/>
      <c r="RW221" s="3297"/>
      <c r="RX221" s="3297"/>
      <c r="RY221" s="3297"/>
      <c r="RZ221" s="3297"/>
      <c r="SA221" s="3297"/>
      <c r="SB221" s="3297"/>
      <c r="SC221" s="3297"/>
      <c r="SD221" s="3297"/>
      <c r="SE221" s="3297"/>
      <c r="SF221" s="3297"/>
      <c r="SG221" s="3297"/>
      <c r="SH221" s="3297"/>
      <c r="SI221" s="3297"/>
      <c r="SJ221" s="3297"/>
      <c r="SK221" s="3297"/>
      <c r="SL221" s="3297"/>
      <c r="SM221" s="3297"/>
      <c r="SN221" s="3297"/>
      <c r="SO221" s="3297"/>
      <c r="SP221" s="3297"/>
      <c r="SQ221" s="3297"/>
      <c r="SR221" s="3297"/>
      <c r="SS221" s="3297"/>
      <c r="ST221" s="3297"/>
      <c r="SU221" s="3297"/>
      <c r="SV221" s="3297"/>
      <c r="SW221" s="3297"/>
      <c r="SX221" s="3297"/>
      <c r="SY221" s="3297"/>
      <c r="SZ221" s="3297"/>
      <c r="TA221" s="3297"/>
      <c r="TB221" s="3297"/>
      <c r="TC221" s="3297"/>
      <c r="TD221" s="3297"/>
      <c r="TE221" s="3297"/>
      <c r="TF221" s="3297"/>
      <c r="TG221" s="3297"/>
      <c r="TH221" s="3297"/>
      <c r="TI221" s="3297"/>
      <c r="TJ221" s="3297"/>
      <c r="TK221" s="3297"/>
      <c r="TL221" s="3297"/>
      <c r="TM221" s="3297"/>
      <c r="TN221" s="3297"/>
      <c r="TO221" s="3297"/>
      <c r="TP221" s="3297"/>
      <c r="TQ221" s="3297"/>
      <c r="TR221" s="3297"/>
      <c r="TS221" s="3297"/>
      <c r="TT221" s="3297"/>
      <c r="TU221" s="3297"/>
      <c r="TV221" s="3297"/>
      <c r="TW221" s="3297"/>
      <c r="TX221" s="3297"/>
      <c r="TY221" s="3297"/>
      <c r="TZ221" s="3297"/>
      <c r="UA221" s="3297"/>
      <c r="UB221" s="3297"/>
      <c r="UC221" s="3297"/>
      <c r="UD221" s="3297"/>
      <c r="UE221" s="3297"/>
      <c r="UF221" s="3297"/>
      <c r="UG221" s="3297"/>
      <c r="UH221" s="3297"/>
      <c r="UI221" s="3297"/>
      <c r="UJ221" s="3297"/>
      <c r="UK221" s="3297"/>
      <c r="UL221" s="3297"/>
      <c r="UM221" s="3297"/>
      <c r="UN221" s="3297"/>
      <c r="UO221" s="3297"/>
      <c r="UP221" s="3297"/>
      <c r="UQ221" s="3297"/>
      <c r="UR221" s="3297"/>
      <c r="US221" s="3297"/>
      <c r="UT221" s="3297"/>
      <c r="UU221" s="3297"/>
      <c r="UV221" s="3297"/>
      <c r="UW221" s="3297"/>
      <c r="UX221" s="3297"/>
      <c r="UY221" s="3297"/>
      <c r="UZ221" s="3297"/>
      <c r="VA221" s="3297"/>
      <c r="VB221" s="3297"/>
      <c r="VC221" s="3297"/>
      <c r="VD221" s="3297"/>
      <c r="VE221" s="3297"/>
      <c r="VF221" s="3297"/>
      <c r="VG221" s="3297"/>
      <c r="VH221" s="3297"/>
      <c r="VI221" s="3297"/>
      <c r="VJ221" s="3297"/>
      <c r="VK221" s="3297"/>
      <c r="VL221" s="3297"/>
      <c r="VM221" s="3297"/>
      <c r="VN221" s="3297"/>
      <c r="VO221" s="3297"/>
      <c r="VP221" s="3297"/>
      <c r="VQ221" s="3297"/>
      <c r="VR221" s="3297"/>
      <c r="VS221" s="3297"/>
      <c r="VT221" s="3297"/>
      <c r="VU221" s="3297"/>
      <c r="VV221" s="3297"/>
      <c r="VW221" s="3297"/>
      <c r="VX221" s="3297"/>
      <c r="VY221" s="3297"/>
      <c r="VZ221" s="3297"/>
      <c r="WA221" s="3297"/>
      <c r="WB221" s="3297"/>
      <c r="WC221" s="3297"/>
      <c r="WD221" s="3297"/>
      <c r="WE221" s="3297"/>
      <c r="WF221" s="3297"/>
      <c r="WG221" s="3297"/>
      <c r="WH221" s="3297"/>
      <c r="WI221" s="3297"/>
      <c r="WJ221" s="3297"/>
      <c r="WK221" s="3297"/>
      <c r="WL221" s="3297"/>
      <c r="WM221" s="3297"/>
      <c r="WN221" s="3297"/>
      <c r="WO221" s="3297"/>
      <c r="WP221" s="3297"/>
      <c r="WQ221" s="3297"/>
      <c r="WR221" s="3297"/>
      <c r="WS221" s="3297"/>
      <c r="WT221" s="3297"/>
      <c r="WU221" s="3297"/>
      <c r="WV221" s="3297"/>
      <c r="WW221" s="3297"/>
      <c r="WX221" s="3297"/>
      <c r="WY221" s="3297"/>
      <c r="WZ221" s="3297"/>
      <c r="XA221" s="3297"/>
      <c r="XB221" s="3297"/>
      <c r="XC221" s="3297"/>
      <c r="XD221" s="3297"/>
      <c r="XE221" s="3297"/>
      <c r="XF221" s="3297"/>
      <c r="XG221" s="3297"/>
      <c r="XH221" s="3297"/>
      <c r="XI221" s="3297"/>
      <c r="XJ221" s="3297"/>
      <c r="XK221" s="3297"/>
      <c r="XL221" s="3297"/>
      <c r="XM221" s="3297"/>
      <c r="XN221" s="3297"/>
      <c r="XO221" s="3297"/>
      <c r="XP221" s="3297"/>
      <c r="XQ221" s="3297"/>
      <c r="XR221" s="3297"/>
      <c r="XS221" s="3297"/>
      <c r="XT221" s="3297"/>
      <c r="XU221" s="3297"/>
      <c r="XV221" s="3297"/>
      <c r="XW221" s="3297"/>
      <c r="XX221" s="3297"/>
      <c r="XY221" s="3297"/>
      <c r="XZ221" s="3297"/>
      <c r="YA221" s="3297"/>
      <c r="YB221" s="3297"/>
      <c r="YC221" s="3297"/>
      <c r="YD221" s="3297"/>
      <c r="YE221" s="3297"/>
      <c r="YF221" s="3297"/>
      <c r="YG221" s="3297"/>
      <c r="YH221" s="3297"/>
      <c r="YI221" s="3297"/>
      <c r="YJ221" s="3297"/>
      <c r="YK221" s="3297"/>
      <c r="YL221" s="3297"/>
      <c r="YM221" s="3297"/>
      <c r="YN221" s="3297"/>
      <c r="YO221" s="3297"/>
      <c r="YP221" s="3297"/>
      <c r="YQ221" s="3297"/>
      <c r="YR221" s="3297"/>
      <c r="YS221" s="3297"/>
      <c r="YT221" s="3297"/>
      <c r="YU221" s="3297"/>
      <c r="YV221" s="3297"/>
      <c r="YW221" s="3297"/>
      <c r="YX221" s="3297"/>
      <c r="YY221" s="3297"/>
      <c r="YZ221" s="3297"/>
      <c r="ZA221" s="3297"/>
      <c r="ZB221" s="3297"/>
      <c r="ZC221" s="3297"/>
      <c r="ZD221" s="3297"/>
      <c r="ZE221" s="3297"/>
      <c r="ZF221" s="3297"/>
      <c r="ZG221" s="3297"/>
      <c r="ZH221" s="3297"/>
      <c r="ZI221" s="3297"/>
      <c r="ZJ221" s="3297"/>
      <c r="ZK221" s="3297"/>
      <c r="ZL221" s="3297"/>
      <c r="ZM221" s="3297"/>
      <c r="ZN221" s="3297"/>
      <c r="ZO221" s="3297"/>
      <c r="ZP221" s="3297"/>
      <c r="ZQ221" s="3297"/>
      <c r="ZR221" s="3297"/>
      <c r="ZS221" s="3297"/>
      <c r="ZT221" s="3297"/>
      <c r="ZU221" s="3297"/>
      <c r="ZV221" s="3297"/>
      <c r="ZW221" s="3297"/>
      <c r="ZX221" s="3297"/>
      <c r="ZY221" s="3297"/>
      <c r="ZZ221" s="3297"/>
      <c r="AAA221" s="3297"/>
      <c r="AAB221" s="3297"/>
      <c r="AAC221" s="3297"/>
      <c r="AAD221" s="3297"/>
      <c r="AAE221" s="3297"/>
      <c r="AAF221" s="3297"/>
      <c r="AAG221" s="3297"/>
      <c r="AAH221" s="3297"/>
      <c r="AAI221" s="3297"/>
      <c r="AAJ221" s="3297"/>
      <c r="AAK221" s="3297"/>
      <c r="AAL221" s="3297"/>
      <c r="AAM221" s="3297"/>
      <c r="AAN221" s="3297"/>
      <c r="AAO221" s="3297"/>
      <c r="AAP221" s="3297"/>
      <c r="AAQ221" s="3297"/>
      <c r="AAR221" s="3297"/>
      <c r="AAS221" s="3297"/>
      <c r="AAT221" s="3297"/>
      <c r="AAU221" s="3297"/>
      <c r="AAV221" s="3297"/>
      <c r="AAW221" s="3297"/>
      <c r="AAX221" s="3297"/>
      <c r="AAY221" s="3297"/>
      <c r="AAZ221" s="3297"/>
      <c r="ABA221" s="3297"/>
      <c r="ABB221" s="3297"/>
      <c r="ABC221" s="3297"/>
      <c r="ABD221" s="3297"/>
      <c r="ABE221" s="3297"/>
      <c r="ABF221" s="3297"/>
      <c r="ABG221" s="3297"/>
      <c r="ABH221" s="3297"/>
      <c r="ABI221" s="3297"/>
      <c r="ABJ221" s="3297"/>
      <c r="ABK221" s="3297"/>
      <c r="ABL221" s="3297"/>
      <c r="ABM221" s="3297"/>
      <c r="ABN221" s="3297"/>
      <c r="ABO221" s="3297"/>
      <c r="ABP221" s="3297"/>
      <c r="ABQ221" s="3297"/>
      <c r="ABR221" s="3297"/>
      <c r="ABS221" s="3297"/>
      <c r="ABT221" s="3297"/>
      <c r="ABU221" s="3297"/>
      <c r="ABV221" s="3297"/>
      <c r="ABW221" s="3297"/>
      <c r="ABX221" s="3297"/>
      <c r="ABY221" s="3297"/>
      <c r="ABZ221" s="3297"/>
      <c r="ACA221" s="3297"/>
      <c r="ACB221" s="3297"/>
      <c r="ACC221" s="3297"/>
      <c r="ACD221" s="3297"/>
      <c r="ACE221" s="3297"/>
      <c r="ACF221" s="3297"/>
      <c r="ACG221" s="3297"/>
      <c r="ACH221" s="3297"/>
      <c r="ACI221" s="3297"/>
      <c r="ACJ221" s="3297"/>
      <c r="ACK221" s="3297"/>
      <c r="ACL221" s="3297"/>
      <c r="ACM221" s="3297"/>
      <c r="ACN221" s="3297"/>
      <c r="ACO221" s="3297"/>
      <c r="ACP221" s="3297"/>
      <c r="ACQ221" s="3297"/>
      <c r="ACR221" s="3297"/>
      <c r="ACS221" s="3297"/>
      <c r="ACT221" s="3297"/>
      <c r="ACU221" s="3297"/>
      <c r="ACV221" s="3297"/>
      <c r="ACW221" s="3297"/>
      <c r="ACX221" s="3297"/>
      <c r="ACY221" s="3297"/>
      <c r="ACZ221" s="3297"/>
      <c r="ADA221" s="3297"/>
      <c r="ADB221" s="3297"/>
      <c r="ADC221" s="3297"/>
      <c r="ADD221" s="3297"/>
      <c r="ADE221" s="3297"/>
      <c r="ADF221" s="3297"/>
      <c r="ADG221" s="3297"/>
      <c r="ADH221" s="3297"/>
      <c r="ADI221" s="3297"/>
      <c r="ADJ221" s="3297"/>
      <c r="ADK221" s="3297"/>
      <c r="ADL221" s="3297"/>
      <c r="ADM221" s="3297"/>
      <c r="ADN221" s="3297"/>
      <c r="ADO221" s="3297"/>
      <c r="ADP221" s="3297"/>
      <c r="ADQ221" s="3297"/>
      <c r="ADR221" s="3297"/>
      <c r="ADS221" s="3297"/>
      <c r="ADT221" s="3297"/>
      <c r="ADU221" s="3297"/>
      <c r="ADV221" s="3297"/>
      <c r="ADW221" s="3297"/>
      <c r="ADX221" s="3297"/>
      <c r="ADY221" s="3297"/>
      <c r="ADZ221" s="3297"/>
      <c r="AEA221" s="3297"/>
      <c r="AEB221" s="3297"/>
      <c r="AEC221" s="3297"/>
      <c r="AED221" s="3297"/>
      <c r="AEE221" s="3297"/>
      <c r="AEF221" s="3297"/>
      <c r="AEG221" s="3297"/>
      <c r="AEH221" s="3297"/>
      <c r="AEI221" s="3297"/>
      <c r="AEJ221" s="3297"/>
      <c r="AEK221" s="3297"/>
      <c r="AEL221" s="3297"/>
      <c r="AEM221" s="3297"/>
      <c r="AEN221" s="3297"/>
      <c r="AEO221" s="3297"/>
      <c r="AEP221" s="3297"/>
      <c r="AEQ221" s="3297"/>
      <c r="AER221" s="3297"/>
      <c r="AES221" s="3297"/>
      <c r="AET221" s="3297"/>
      <c r="AEU221" s="3297"/>
      <c r="AEV221" s="3297"/>
      <c r="AEW221" s="3297"/>
      <c r="AEX221" s="3297"/>
      <c r="AEY221" s="3297"/>
      <c r="AEZ221" s="3297"/>
      <c r="AFA221" s="3297"/>
      <c r="AFB221" s="3297"/>
      <c r="AFC221" s="3297"/>
      <c r="AFD221" s="3297"/>
      <c r="AFE221" s="3297"/>
      <c r="AFF221" s="3297"/>
      <c r="AFG221" s="3297"/>
      <c r="AFH221" s="3297"/>
      <c r="AFI221" s="3297"/>
      <c r="AFJ221" s="3297"/>
      <c r="AFK221" s="3297"/>
      <c r="AFL221" s="3297"/>
      <c r="AFM221" s="3297"/>
      <c r="AFN221" s="3297"/>
      <c r="AFO221" s="3297"/>
      <c r="AFP221" s="3297"/>
      <c r="AFQ221" s="3297"/>
      <c r="AFR221" s="3297"/>
      <c r="AFS221" s="3297"/>
      <c r="AFT221" s="3297"/>
      <c r="AFU221" s="3297"/>
      <c r="AFV221" s="3297"/>
      <c r="AFW221" s="3297"/>
      <c r="AFX221" s="3297"/>
      <c r="AFY221" s="3297"/>
      <c r="AFZ221" s="3297"/>
      <c r="AGA221" s="3297"/>
      <c r="AGB221" s="3297"/>
      <c r="AGC221" s="3297"/>
      <c r="AGD221" s="3297"/>
      <c r="AGE221" s="3297"/>
      <c r="AGF221" s="3297"/>
      <c r="AGG221" s="3297"/>
      <c r="AGH221" s="3297"/>
      <c r="AGI221" s="3297"/>
      <c r="AGJ221" s="3297"/>
      <c r="AGK221" s="3297"/>
      <c r="AGL221" s="3297"/>
      <c r="AGM221" s="3297"/>
      <c r="AGN221" s="3297"/>
      <c r="AGO221" s="3297"/>
      <c r="AGP221" s="3297"/>
      <c r="AGQ221" s="3297"/>
      <c r="AGR221" s="3297"/>
      <c r="AGS221" s="3297"/>
      <c r="AGT221" s="3297"/>
      <c r="AGU221" s="3297"/>
      <c r="AGV221" s="3297"/>
      <c r="AGW221" s="3297"/>
      <c r="AGX221" s="3297"/>
      <c r="AGY221" s="3297"/>
      <c r="AGZ221" s="3297"/>
      <c r="AHA221" s="3297"/>
      <c r="AHB221" s="3297"/>
      <c r="AHC221" s="3297"/>
      <c r="AHD221" s="3297"/>
      <c r="AHE221" s="3297"/>
      <c r="AHF221" s="3297"/>
      <c r="AHG221" s="3297"/>
      <c r="AHH221" s="3297"/>
      <c r="AHI221" s="3297"/>
      <c r="AHJ221" s="3297"/>
      <c r="AHK221" s="3297"/>
      <c r="AHL221" s="3297"/>
      <c r="AHM221" s="3297"/>
      <c r="AHN221" s="3297"/>
      <c r="AHO221" s="3297"/>
      <c r="AHP221" s="3297"/>
      <c r="AHQ221" s="3297"/>
      <c r="AHR221" s="3297"/>
      <c r="AHS221" s="3297"/>
      <c r="AHT221" s="3297"/>
      <c r="AHU221" s="3297"/>
      <c r="AHV221" s="3297"/>
      <c r="AHW221" s="3297"/>
      <c r="AHX221" s="3297"/>
      <c r="AHY221" s="3297"/>
      <c r="AHZ221" s="3297"/>
      <c r="AIA221" s="3297"/>
      <c r="AIB221" s="3297"/>
      <c r="AIC221" s="3297"/>
      <c r="AID221" s="3297"/>
      <c r="AIE221" s="3297"/>
      <c r="AIF221" s="3297"/>
      <c r="AIG221" s="3297"/>
      <c r="AIH221" s="3297"/>
      <c r="AII221" s="3297"/>
      <c r="AIJ221" s="3297"/>
      <c r="AIK221" s="3297"/>
      <c r="AIL221" s="3297"/>
      <c r="AIM221" s="3297"/>
      <c r="AIN221" s="3297"/>
      <c r="AIO221" s="3297"/>
      <c r="AIP221" s="3297"/>
      <c r="AIQ221" s="3297"/>
      <c r="AIR221" s="3297"/>
      <c r="AIS221" s="3297"/>
      <c r="AIT221" s="3297"/>
      <c r="AIU221" s="3297"/>
      <c r="AIV221" s="3297"/>
      <c r="AIW221" s="3297"/>
      <c r="AIX221" s="3297"/>
      <c r="AIY221" s="3297"/>
      <c r="AIZ221" s="3297"/>
      <c r="AJA221" s="3297"/>
      <c r="AJB221" s="3297"/>
      <c r="AJC221" s="3297"/>
      <c r="AJD221" s="3297"/>
      <c r="AJE221" s="3297"/>
      <c r="AJF221" s="3297"/>
      <c r="AJG221" s="3297"/>
      <c r="AJH221" s="3297"/>
      <c r="AJI221" s="3297"/>
      <c r="AJJ221" s="3297"/>
      <c r="AJK221" s="3297"/>
      <c r="AJL221" s="3297"/>
      <c r="AJM221" s="3297"/>
      <c r="AJN221" s="3297"/>
      <c r="AJO221" s="3297"/>
      <c r="AJP221" s="3297"/>
      <c r="AJQ221" s="3297"/>
      <c r="AJR221" s="3297"/>
      <c r="AJS221" s="3297"/>
      <c r="AJT221" s="3297"/>
      <c r="AJU221" s="3297"/>
      <c r="AJV221" s="3297"/>
      <c r="AJW221" s="3297"/>
      <c r="AJX221" s="3297"/>
      <c r="AJY221" s="3297"/>
      <c r="AJZ221" s="3297"/>
      <c r="AKA221" s="3297"/>
      <c r="AKB221" s="3297"/>
      <c r="AKC221" s="3297"/>
      <c r="AKD221" s="3297"/>
      <c r="AKE221" s="3297"/>
      <c r="AKF221" s="3297"/>
      <c r="AKG221" s="3297"/>
      <c r="AKH221" s="3297"/>
      <c r="AKI221" s="3297"/>
      <c r="AKJ221" s="3297"/>
      <c r="AKK221" s="3297"/>
      <c r="AKL221" s="3297"/>
      <c r="AKM221" s="3297"/>
      <c r="AKN221" s="3297"/>
      <c r="AKO221" s="3297"/>
      <c r="AKP221" s="3297"/>
      <c r="AKQ221" s="3297"/>
      <c r="AKR221" s="3297"/>
      <c r="AKS221" s="3297"/>
      <c r="AKT221" s="3297"/>
      <c r="AKU221" s="3297"/>
      <c r="AKV221" s="3297"/>
      <c r="AKW221" s="3297"/>
      <c r="AKX221" s="3297"/>
      <c r="AKY221" s="3297"/>
      <c r="AKZ221" s="3297"/>
      <c r="ALA221" s="3297"/>
      <c r="ALB221" s="3297"/>
      <c r="ALC221" s="3297"/>
      <c r="ALD221" s="3297"/>
      <c r="ALE221" s="3297"/>
      <c r="ALF221" s="3297"/>
      <c r="ALG221" s="3297"/>
      <c r="ALH221" s="3297"/>
      <c r="ALI221" s="3297"/>
      <c r="ALJ221" s="3297"/>
      <c r="ALK221" s="3297"/>
      <c r="ALL221" s="3297"/>
      <c r="ALM221" s="3297"/>
      <c r="ALN221" s="3297"/>
      <c r="ALO221" s="3297"/>
      <c r="ALP221" s="3297"/>
      <c r="ALQ221" s="3297"/>
      <c r="ALR221" s="3297"/>
      <c r="ALS221" s="3297"/>
      <c r="ALT221" s="3297"/>
      <c r="ALU221" s="3297"/>
      <c r="ALV221" s="3297"/>
      <c r="ALW221" s="3297"/>
      <c r="ALX221" s="3297"/>
      <c r="ALY221" s="3297"/>
      <c r="ALZ221" s="3297"/>
      <c r="AMA221" s="3297"/>
      <c r="AMB221" s="3297"/>
      <c r="AMC221" s="3297"/>
      <c r="AMD221" s="3297"/>
      <c r="AME221" s="3297"/>
      <c r="AMF221" s="3297"/>
      <c r="AMG221" s="3297"/>
      <c r="AMH221" s="3297"/>
      <c r="AMI221" s="3297"/>
      <c r="AMJ221" s="3297"/>
      <c r="AMK221" s="3297"/>
      <c r="AML221" s="3297"/>
      <c r="AMM221" s="3297"/>
      <c r="AMN221" s="3297"/>
      <c r="AMO221" s="3297"/>
      <c r="AMP221" s="3297"/>
      <c r="AMQ221" s="3297"/>
      <c r="AMR221" s="3297"/>
      <c r="AMS221" s="3297"/>
      <c r="AMT221" s="3297"/>
      <c r="AMU221" s="3297"/>
      <c r="AMV221" s="3297"/>
      <c r="AMW221" s="3297"/>
      <c r="AMX221" s="3297"/>
      <c r="AMY221" s="3297"/>
      <c r="AMZ221" s="3297"/>
      <c r="ANA221" s="3297"/>
      <c r="ANB221" s="3297"/>
      <c r="ANC221" s="3297"/>
      <c r="AND221" s="3297"/>
      <c r="ANE221" s="3297"/>
      <c r="ANF221" s="3297"/>
      <c r="ANG221" s="3297"/>
      <c r="ANH221" s="3297"/>
      <c r="ANI221" s="3297"/>
      <c r="ANJ221" s="3297"/>
      <c r="ANK221" s="3297"/>
      <c r="ANL221" s="3297"/>
      <c r="ANM221" s="3297"/>
      <c r="ANN221" s="3297"/>
      <c r="ANO221" s="3297"/>
      <c r="ANP221" s="3297"/>
      <c r="ANQ221" s="3297"/>
      <c r="ANR221" s="3297"/>
      <c r="ANS221" s="3297"/>
      <c r="ANT221" s="3297"/>
      <c r="ANU221" s="3297"/>
      <c r="ANV221" s="3297"/>
      <c r="ANW221" s="3297"/>
      <c r="ANX221" s="3297"/>
      <c r="ANY221" s="3297"/>
      <c r="ANZ221" s="3297"/>
      <c r="AOA221" s="3297"/>
      <c r="AOB221" s="3297"/>
      <c r="AOC221" s="3297"/>
      <c r="AOD221" s="3297"/>
      <c r="AOE221" s="3297"/>
      <c r="AOF221" s="3297"/>
      <c r="AOG221" s="3297"/>
      <c r="AOH221" s="3297"/>
      <c r="AOI221" s="3297"/>
      <c r="AOJ221" s="3297"/>
      <c r="AOK221" s="3297"/>
      <c r="AOL221" s="3297"/>
      <c r="AOM221" s="3297"/>
      <c r="AON221" s="3297"/>
      <c r="AOO221" s="3297"/>
      <c r="AOP221" s="3297"/>
      <c r="AOQ221" s="3297"/>
      <c r="AOR221" s="3297"/>
      <c r="AOS221" s="3297"/>
      <c r="AOT221" s="3297"/>
      <c r="AOU221" s="3297"/>
      <c r="AOV221" s="3297"/>
      <c r="AOW221" s="3297"/>
      <c r="AOX221" s="3297"/>
      <c r="AOY221" s="3297"/>
      <c r="AOZ221" s="3297"/>
      <c r="APA221" s="3297"/>
      <c r="APB221" s="3297"/>
      <c r="APC221" s="3297"/>
      <c r="APD221" s="3297"/>
      <c r="APE221" s="3297"/>
      <c r="APF221" s="3297"/>
      <c r="APG221" s="3297"/>
      <c r="APH221" s="3297"/>
      <c r="API221" s="3297"/>
      <c r="APJ221" s="3297"/>
      <c r="APK221" s="3297"/>
      <c r="APL221" s="3297"/>
      <c r="APM221" s="3297"/>
      <c r="APN221" s="3297"/>
      <c r="APO221" s="3297"/>
      <c r="APP221" s="3297"/>
      <c r="APQ221" s="3297"/>
      <c r="APR221" s="3297"/>
      <c r="APS221" s="3297"/>
      <c r="APT221" s="3297"/>
      <c r="APU221" s="3297"/>
      <c r="APV221" s="3297"/>
      <c r="APW221" s="3297"/>
      <c r="APX221" s="3297"/>
      <c r="APY221" s="3297"/>
      <c r="APZ221" s="3297"/>
      <c r="AQA221" s="3297"/>
      <c r="AQB221" s="3297"/>
      <c r="AQC221" s="3297"/>
      <c r="AQD221" s="3297"/>
      <c r="AQE221" s="3297"/>
      <c r="AQF221" s="3297"/>
      <c r="AQG221" s="3297"/>
      <c r="AQH221" s="3297"/>
      <c r="AQI221" s="3297"/>
      <c r="AQJ221" s="3297"/>
      <c r="AQK221" s="3297"/>
      <c r="AQL221" s="3297"/>
      <c r="AQM221" s="3297"/>
      <c r="AQN221" s="3297"/>
      <c r="AQO221" s="3297"/>
      <c r="AQP221" s="3297"/>
      <c r="AQQ221" s="3297"/>
      <c r="AQR221" s="3297"/>
      <c r="AQS221" s="3297"/>
      <c r="AQT221" s="3297"/>
      <c r="AQU221" s="3297"/>
      <c r="AQV221" s="3297"/>
      <c r="AQW221" s="3297"/>
      <c r="AQX221" s="3297"/>
      <c r="AQY221" s="3297"/>
      <c r="AQZ221" s="3297"/>
      <c r="ARA221" s="3297"/>
      <c r="ARB221" s="3297"/>
      <c r="ARC221" s="3297"/>
      <c r="ARD221" s="3297"/>
      <c r="ARE221" s="3297"/>
      <c r="ARF221" s="3297"/>
      <c r="ARG221" s="3297"/>
      <c r="ARH221" s="3297"/>
      <c r="ARI221" s="3297"/>
      <c r="ARJ221" s="3297"/>
      <c r="ARK221" s="3297"/>
      <c r="ARL221" s="3297"/>
      <c r="ARM221" s="3297"/>
      <c r="ARN221" s="3297"/>
      <c r="ARO221" s="3297"/>
      <c r="ARP221" s="3297"/>
      <c r="ARQ221" s="3297"/>
      <c r="ARR221" s="3297"/>
      <c r="ARS221" s="3297"/>
      <c r="ART221" s="3297"/>
      <c r="ARU221" s="3297"/>
      <c r="ARV221" s="3297"/>
      <c r="ARW221" s="3297"/>
      <c r="ARX221" s="3297"/>
      <c r="ARY221" s="3297"/>
      <c r="ARZ221" s="3297"/>
      <c r="ASA221" s="3297"/>
      <c r="ASB221" s="3297"/>
      <c r="ASC221" s="3297"/>
      <c r="ASD221" s="3297"/>
      <c r="ASE221" s="3297"/>
      <c r="ASF221" s="3297"/>
      <c r="ASG221" s="3297"/>
      <c r="ASH221" s="3297"/>
      <c r="ASI221" s="3297"/>
      <c r="ASJ221" s="3297"/>
      <c r="ASK221" s="3297"/>
      <c r="ASL221" s="3297"/>
      <c r="ASM221" s="3297"/>
      <c r="ASN221" s="3297"/>
      <c r="ASO221" s="3297"/>
      <c r="ASP221" s="3297"/>
      <c r="ASQ221" s="3297"/>
      <c r="ASR221" s="3297"/>
      <c r="ASS221" s="3297"/>
      <c r="AST221" s="3297"/>
      <c r="ASU221" s="3297"/>
      <c r="ASV221" s="3297"/>
      <c r="ASW221" s="3297"/>
      <c r="ASX221" s="3297"/>
      <c r="ASY221" s="3297"/>
      <c r="ASZ221" s="3297"/>
      <c r="ATA221" s="3297"/>
      <c r="ATB221" s="3297"/>
      <c r="ATC221" s="3297"/>
      <c r="ATD221" s="3297"/>
      <c r="ATE221" s="3297"/>
      <c r="ATF221" s="3297"/>
      <c r="ATG221" s="3297"/>
      <c r="ATH221" s="3297"/>
      <c r="ATI221" s="3297"/>
      <c r="ATJ221" s="3297"/>
      <c r="ATK221" s="3297"/>
      <c r="ATL221" s="3297"/>
      <c r="ATM221" s="3297"/>
      <c r="ATN221" s="3297"/>
      <c r="ATO221" s="3297"/>
      <c r="ATP221" s="3297"/>
      <c r="ATQ221" s="3297"/>
      <c r="ATR221" s="3297"/>
      <c r="ATS221" s="3297"/>
      <c r="ATT221" s="3297"/>
      <c r="ATU221" s="3297"/>
      <c r="ATV221" s="3297"/>
      <c r="ATW221" s="3297"/>
      <c r="ATX221" s="3297"/>
      <c r="ATY221" s="3297"/>
      <c r="ATZ221" s="3297"/>
      <c r="AUA221" s="3297"/>
      <c r="AUB221" s="3297"/>
      <c r="AUC221" s="3297"/>
      <c r="AUD221" s="3297"/>
      <c r="AUE221" s="3297"/>
      <c r="AUF221" s="3297"/>
      <c r="AUG221" s="3297"/>
      <c r="AUH221" s="3297"/>
      <c r="AUI221" s="3297"/>
      <c r="AUJ221" s="3297"/>
      <c r="AUK221" s="3297"/>
      <c r="AUL221" s="3297"/>
      <c r="AUM221" s="3297"/>
      <c r="AUN221" s="3297"/>
      <c r="AUO221" s="3297"/>
      <c r="AUP221" s="3297"/>
      <c r="AUQ221" s="3297"/>
      <c r="AUR221" s="3297"/>
      <c r="AUS221" s="3297"/>
      <c r="AUT221" s="3297"/>
      <c r="AUU221" s="3297"/>
      <c r="AUV221" s="3297"/>
      <c r="AUW221" s="3297"/>
      <c r="AUX221" s="3297"/>
      <c r="AUY221" s="3297"/>
      <c r="AUZ221" s="3297"/>
      <c r="AVA221" s="3297"/>
      <c r="AVB221" s="3297"/>
      <c r="AVC221" s="3297"/>
      <c r="AVD221" s="3297"/>
      <c r="AVE221" s="3297"/>
      <c r="AVF221" s="3297"/>
      <c r="AVG221" s="3297"/>
      <c r="AVH221" s="3297"/>
      <c r="AVI221" s="3297"/>
      <c r="AVJ221" s="3297"/>
      <c r="AVK221" s="3297"/>
      <c r="AVL221" s="3297"/>
      <c r="AVM221" s="3297"/>
      <c r="AVN221" s="3297"/>
      <c r="AVO221" s="3297"/>
      <c r="AVP221" s="3297"/>
      <c r="AVQ221" s="3297"/>
      <c r="AVR221" s="3297"/>
      <c r="AVS221" s="3297"/>
      <c r="AVT221" s="3297"/>
      <c r="AVU221" s="3297"/>
      <c r="AVV221" s="3297"/>
      <c r="AVW221" s="3297"/>
      <c r="AVX221" s="3297"/>
      <c r="AVY221" s="3297"/>
      <c r="AVZ221" s="3297"/>
      <c r="AWA221" s="3297"/>
      <c r="AWB221" s="3297"/>
      <c r="AWC221" s="3297"/>
      <c r="AWD221" s="3297"/>
      <c r="AWE221" s="3297"/>
      <c r="AWF221" s="3297"/>
      <c r="AWG221" s="3297"/>
      <c r="AWH221" s="3297"/>
      <c r="AWI221" s="3297"/>
      <c r="AWJ221" s="3297"/>
      <c r="AWK221" s="3297"/>
      <c r="AWL221" s="3297"/>
      <c r="AWM221" s="3297"/>
      <c r="AWN221" s="3297"/>
      <c r="AWO221" s="3297"/>
      <c r="AWP221" s="3297"/>
      <c r="AWQ221" s="3297"/>
      <c r="AWR221" s="3297"/>
      <c r="AWS221" s="3297"/>
      <c r="AWT221" s="3297"/>
      <c r="AWU221" s="3297"/>
      <c r="AWV221" s="3297"/>
      <c r="AWW221" s="3297"/>
      <c r="AWX221" s="3297"/>
      <c r="AWY221" s="3297"/>
      <c r="AWZ221" s="3297"/>
      <c r="AXA221" s="3297"/>
      <c r="AXB221" s="3297"/>
      <c r="AXC221" s="3297"/>
      <c r="AXD221" s="3297"/>
      <c r="AXE221" s="3297"/>
      <c r="AXF221" s="3297"/>
      <c r="AXG221" s="3297"/>
      <c r="AXH221" s="3297"/>
      <c r="AXI221" s="3297"/>
      <c r="AXJ221" s="3297"/>
    </row>
    <row r="222" spans="1:1310" s="3298" customFormat="1" ht="23.25" customHeight="1">
      <c r="A222" s="468"/>
      <c r="B222" s="6644" t="s">
        <v>3082</v>
      </c>
      <c r="C222" s="6644"/>
      <c r="D222" s="6644"/>
      <c r="E222" s="6644"/>
      <c r="F222" s="6644"/>
      <c r="G222" s="6644"/>
      <c r="H222" s="6644"/>
      <c r="I222" s="6644"/>
      <c r="J222" s="6644"/>
      <c r="K222" s="6644"/>
      <c r="L222" s="6644"/>
      <c r="M222" s="6644"/>
      <c r="N222" s="6644"/>
      <c r="O222" s="6644"/>
      <c r="P222" s="6644"/>
      <c r="Q222" s="6644"/>
      <c r="R222" s="443"/>
      <c r="S222" s="443"/>
      <c r="T222" s="443"/>
      <c r="U222" s="443"/>
      <c r="V222" s="443"/>
      <c r="W222" s="443"/>
      <c r="X222" s="443"/>
      <c r="Y222" s="443"/>
      <c r="Z222" s="443"/>
      <c r="AA222" s="443"/>
      <c r="AB222" s="443"/>
      <c r="AC222" s="443"/>
      <c r="AD222" s="3297"/>
      <c r="AE222" s="3297"/>
      <c r="AF222" s="3297"/>
      <c r="AG222" s="3297"/>
      <c r="AH222" s="3297"/>
      <c r="AI222" s="3297"/>
      <c r="AJ222" s="3297"/>
      <c r="AK222" s="3297"/>
      <c r="AL222" s="3297"/>
      <c r="AM222" s="3297"/>
      <c r="AN222" s="3297"/>
      <c r="AO222" s="3297"/>
      <c r="AP222" s="3297"/>
      <c r="AQ222" s="3297"/>
      <c r="AR222" s="3297"/>
      <c r="AS222" s="3297"/>
      <c r="AT222" s="3297"/>
      <c r="AU222" s="3297"/>
      <c r="AV222" s="3297"/>
      <c r="AW222" s="3297"/>
      <c r="AX222" s="3297"/>
      <c r="AY222" s="3297"/>
      <c r="AZ222" s="3297"/>
      <c r="BA222" s="3297"/>
      <c r="BB222" s="3297"/>
      <c r="BC222" s="3297"/>
      <c r="BD222" s="3297"/>
      <c r="BE222" s="3297"/>
      <c r="BF222" s="3297"/>
      <c r="BG222" s="3297"/>
      <c r="BH222" s="3297"/>
      <c r="BI222" s="3297"/>
      <c r="BJ222" s="3297"/>
      <c r="BK222" s="3297"/>
      <c r="BL222" s="3297"/>
      <c r="BM222" s="3297"/>
      <c r="BN222" s="3297"/>
      <c r="BO222" s="3297"/>
      <c r="BP222" s="3297"/>
      <c r="BQ222" s="3297"/>
      <c r="BR222" s="3297"/>
      <c r="BS222" s="3297"/>
      <c r="BT222" s="3297"/>
      <c r="BU222" s="3297"/>
      <c r="BV222" s="3297"/>
      <c r="BW222" s="3297"/>
      <c r="BX222" s="3297"/>
      <c r="BY222" s="3297"/>
      <c r="BZ222" s="3297"/>
      <c r="CA222" s="3297"/>
      <c r="CB222" s="3297"/>
      <c r="CC222" s="3297"/>
      <c r="CD222" s="3297"/>
      <c r="CE222" s="3297"/>
      <c r="CF222" s="3297"/>
      <c r="CG222" s="3297"/>
      <c r="CH222" s="3297"/>
      <c r="CI222" s="3297"/>
      <c r="CJ222" s="3297"/>
      <c r="CK222" s="3297"/>
      <c r="CL222" s="3297"/>
      <c r="CM222" s="3297"/>
      <c r="CN222" s="3297"/>
      <c r="CO222" s="3297"/>
      <c r="CP222" s="3297"/>
      <c r="CQ222" s="3297"/>
      <c r="CR222" s="3297"/>
      <c r="CS222" s="3297"/>
      <c r="CT222" s="3297"/>
      <c r="CU222" s="3297"/>
      <c r="CV222" s="3297"/>
      <c r="CW222" s="3297"/>
      <c r="CX222" s="3297"/>
      <c r="CY222" s="3297"/>
      <c r="CZ222" s="3297"/>
      <c r="DA222" s="3297"/>
      <c r="DB222" s="3297"/>
      <c r="DC222" s="3297"/>
      <c r="DD222" s="3297"/>
      <c r="DE222" s="3297"/>
      <c r="DF222" s="3297"/>
      <c r="DG222" s="3297"/>
      <c r="DH222" s="3297"/>
      <c r="DI222" s="3297"/>
      <c r="DJ222" s="3297"/>
      <c r="DK222" s="3297"/>
      <c r="DL222" s="3297"/>
      <c r="DM222" s="3297"/>
      <c r="DN222" s="3297"/>
      <c r="DO222" s="3297"/>
      <c r="DP222" s="3297"/>
      <c r="DQ222" s="3297"/>
      <c r="DR222" s="3297"/>
      <c r="DS222" s="3297"/>
      <c r="DT222" s="3297"/>
      <c r="DU222" s="3297"/>
      <c r="DV222" s="3297"/>
      <c r="DW222" s="3297"/>
      <c r="DX222" s="3297"/>
      <c r="DY222" s="3297"/>
      <c r="DZ222" s="3297"/>
      <c r="EA222" s="3297"/>
      <c r="EB222" s="3297"/>
      <c r="EC222" s="3297"/>
      <c r="ED222" s="3297"/>
      <c r="EE222" s="3297"/>
      <c r="EF222" s="3297"/>
      <c r="EG222" s="3297"/>
      <c r="EH222" s="3297"/>
      <c r="EI222" s="3297"/>
      <c r="EJ222" s="3297"/>
      <c r="EK222" s="3297"/>
      <c r="EL222" s="3297"/>
      <c r="EM222" s="3297"/>
      <c r="EN222" s="3297"/>
      <c r="EO222" s="3297"/>
      <c r="EP222" s="3297"/>
      <c r="EQ222" s="3297"/>
      <c r="ER222" s="3297"/>
      <c r="ES222" s="3297"/>
      <c r="ET222" s="3297"/>
      <c r="EU222" s="3297"/>
      <c r="EV222" s="3297"/>
      <c r="EW222" s="3297"/>
      <c r="EX222" s="3297"/>
      <c r="EY222" s="3297"/>
      <c r="EZ222" s="3297"/>
      <c r="FA222" s="3297"/>
      <c r="FB222" s="3297"/>
      <c r="FC222" s="3297"/>
      <c r="FD222" s="3297"/>
      <c r="FE222" s="3297"/>
      <c r="FF222" s="3297"/>
      <c r="FG222" s="3297"/>
      <c r="FH222" s="3297"/>
      <c r="FI222" s="3297"/>
      <c r="FJ222" s="3297"/>
      <c r="FK222" s="3297"/>
      <c r="FL222" s="3297"/>
      <c r="FM222" s="3297"/>
      <c r="FN222" s="3297"/>
      <c r="FO222" s="3297"/>
      <c r="FP222" s="3297"/>
      <c r="FQ222" s="3297"/>
      <c r="FR222" s="3297"/>
      <c r="FS222" s="3297"/>
      <c r="FT222" s="3297"/>
      <c r="FU222" s="3297"/>
      <c r="FV222" s="3297"/>
      <c r="FW222" s="3297"/>
      <c r="FX222" s="3297"/>
      <c r="FY222" s="3297"/>
      <c r="FZ222" s="3297"/>
      <c r="GA222" s="3297"/>
      <c r="GB222" s="3297"/>
      <c r="GC222" s="3297"/>
      <c r="GD222" s="3297"/>
      <c r="GE222" s="3297"/>
      <c r="GF222" s="3297"/>
      <c r="GG222" s="3297"/>
      <c r="GH222" s="3297"/>
      <c r="GI222" s="3297"/>
      <c r="GJ222" s="3297"/>
      <c r="GK222" s="3297"/>
      <c r="GL222" s="3297"/>
      <c r="GM222" s="3297"/>
      <c r="GN222" s="3297"/>
      <c r="GO222" s="3297"/>
      <c r="GP222" s="3297"/>
      <c r="GQ222" s="3297"/>
      <c r="GR222" s="3297"/>
      <c r="GS222" s="3297"/>
      <c r="GT222" s="3297"/>
      <c r="GU222" s="3297"/>
      <c r="GV222" s="3297"/>
      <c r="GW222" s="3297"/>
      <c r="GX222" s="3297"/>
      <c r="GY222" s="3297"/>
      <c r="GZ222" s="3297"/>
      <c r="HA222" s="3297"/>
      <c r="HB222" s="3297"/>
      <c r="HC222" s="3297"/>
      <c r="HD222" s="3297"/>
      <c r="HE222" s="3297"/>
      <c r="HF222" s="3297"/>
      <c r="HG222" s="3297"/>
      <c r="HH222" s="3297"/>
      <c r="HI222" s="3297"/>
      <c r="HJ222" s="3297"/>
      <c r="HK222" s="3297"/>
      <c r="HL222" s="3297"/>
      <c r="HM222" s="3297"/>
      <c r="HN222" s="3297"/>
      <c r="HO222" s="3297"/>
      <c r="HP222" s="3297"/>
      <c r="HQ222" s="3297"/>
      <c r="HR222" s="3297"/>
      <c r="HS222" s="3297"/>
      <c r="HT222" s="3297"/>
      <c r="HU222" s="3297"/>
      <c r="HV222" s="3297"/>
      <c r="HW222" s="3297"/>
      <c r="HX222" s="3297"/>
      <c r="HY222" s="3297"/>
      <c r="HZ222" s="3297"/>
      <c r="IA222" s="3297"/>
      <c r="IB222" s="3297"/>
      <c r="IC222" s="3297"/>
      <c r="ID222" s="3297"/>
      <c r="IE222" s="3297"/>
      <c r="IF222" s="3297"/>
      <c r="IG222" s="3297"/>
      <c r="IH222" s="3297"/>
      <c r="II222" s="3297"/>
      <c r="IJ222" s="3297"/>
      <c r="IK222" s="3297"/>
      <c r="IL222" s="3297"/>
      <c r="IM222" s="3297"/>
      <c r="IN222" s="3297"/>
      <c r="IO222" s="3297"/>
      <c r="IP222" s="3297"/>
      <c r="IQ222" s="3297"/>
      <c r="IR222" s="3297"/>
      <c r="IS222" s="3297"/>
      <c r="IT222" s="3297"/>
      <c r="IU222" s="3297"/>
      <c r="IV222" s="3297"/>
      <c r="IW222" s="3297"/>
      <c r="IX222" s="3297"/>
      <c r="IY222" s="3297"/>
      <c r="IZ222" s="3297"/>
      <c r="JA222" s="3297"/>
      <c r="JB222" s="3297"/>
      <c r="JC222" s="3297"/>
      <c r="JD222" s="3297"/>
      <c r="JE222" s="3297"/>
      <c r="JF222" s="3297"/>
      <c r="JG222" s="3297"/>
      <c r="JH222" s="3297"/>
      <c r="JI222" s="3297"/>
      <c r="JJ222" s="3297"/>
      <c r="JK222" s="3297"/>
      <c r="JL222" s="3297"/>
      <c r="JM222" s="3297"/>
      <c r="JN222" s="3297"/>
      <c r="JO222" s="3297"/>
      <c r="JP222" s="3297"/>
      <c r="JQ222" s="3297"/>
      <c r="JR222" s="3297"/>
      <c r="JS222" s="3297"/>
      <c r="JT222" s="3297"/>
      <c r="JU222" s="3297"/>
      <c r="JV222" s="3297"/>
      <c r="JW222" s="3297"/>
      <c r="JX222" s="3297"/>
      <c r="JY222" s="3297"/>
      <c r="JZ222" s="3297"/>
      <c r="KA222" s="3297"/>
      <c r="KB222" s="3297"/>
      <c r="KC222" s="3297"/>
      <c r="KD222" s="3297"/>
      <c r="KE222" s="3297"/>
      <c r="KF222" s="3297"/>
      <c r="KG222" s="3297"/>
      <c r="KH222" s="3297"/>
      <c r="KI222" s="3297"/>
      <c r="KJ222" s="3297"/>
      <c r="KK222" s="3297"/>
      <c r="KL222" s="3297"/>
      <c r="KM222" s="3297"/>
      <c r="KN222" s="3297"/>
      <c r="KO222" s="3297"/>
      <c r="KP222" s="3297"/>
      <c r="KQ222" s="3297"/>
      <c r="KR222" s="3297"/>
      <c r="KS222" s="3297"/>
      <c r="KT222" s="3297"/>
      <c r="KU222" s="3297"/>
      <c r="KV222" s="3297"/>
      <c r="KW222" s="3297"/>
      <c r="KX222" s="3297"/>
      <c r="KY222" s="3297"/>
      <c r="KZ222" s="3297"/>
      <c r="LA222" s="3297"/>
      <c r="LB222" s="3297"/>
      <c r="LC222" s="3297"/>
      <c r="LD222" s="3297"/>
      <c r="LE222" s="3297"/>
      <c r="LF222" s="3297"/>
      <c r="LG222" s="3297"/>
      <c r="LH222" s="3297"/>
      <c r="LI222" s="3297"/>
      <c r="LJ222" s="3297"/>
      <c r="LK222" s="3297"/>
      <c r="LL222" s="3297"/>
      <c r="LM222" s="3297"/>
      <c r="LN222" s="3297"/>
      <c r="LO222" s="3297"/>
      <c r="LP222" s="3297"/>
      <c r="LQ222" s="3297"/>
      <c r="LR222" s="3297"/>
      <c r="LS222" s="3297"/>
      <c r="LT222" s="3297"/>
      <c r="LU222" s="3297"/>
      <c r="LV222" s="3297"/>
      <c r="LW222" s="3297"/>
      <c r="LX222" s="3297"/>
      <c r="LY222" s="3297"/>
      <c r="LZ222" s="3297"/>
      <c r="MA222" s="3297"/>
      <c r="MB222" s="3297"/>
      <c r="MC222" s="3297"/>
      <c r="MD222" s="3297"/>
      <c r="ME222" s="3297"/>
      <c r="MF222" s="3297"/>
      <c r="MG222" s="3297"/>
      <c r="MH222" s="3297"/>
      <c r="MI222" s="3297"/>
      <c r="MJ222" s="3297"/>
      <c r="MK222" s="3297"/>
      <c r="ML222" s="3297"/>
      <c r="MM222" s="3297"/>
      <c r="MN222" s="3297"/>
      <c r="MO222" s="3297"/>
      <c r="MP222" s="3297"/>
      <c r="MQ222" s="3297"/>
      <c r="MR222" s="3297"/>
      <c r="MS222" s="3297"/>
      <c r="MT222" s="3297"/>
      <c r="MU222" s="3297"/>
      <c r="MV222" s="3297"/>
      <c r="MW222" s="3297"/>
      <c r="MX222" s="3297"/>
      <c r="MY222" s="3297"/>
      <c r="MZ222" s="3297"/>
      <c r="NA222" s="3297"/>
      <c r="NB222" s="3297"/>
      <c r="NC222" s="3297"/>
      <c r="ND222" s="3297"/>
      <c r="NE222" s="3297"/>
      <c r="NF222" s="3297"/>
      <c r="NG222" s="3297"/>
      <c r="NH222" s="3297"/>
      <c r="NI222" s="3297"/>
      <c r="NJ222" s="3297"/>
      <c r="NK222" s="3297"/>
      <c r="NL222" s="3297"/>
      <c r="NM222" s="3297"/>
      <c r="NN222" s="3297"/>
      <c r="NO222" s="3297"/>
      <c r="NP222" s="3297"/>
      <c r="NQ222" s="3297"/>
      <c r="NR222" s="3297"/>
      <c r="NS222" s="3297"/>
      <c r="NT222" s="3297"/>
      <c r="NU222" s="3297"/>
      <c r="NV222" s="3297"/>
      <c r="NW222" s="3297"/>
      <c r="NX222" s="3297"/>
      <c r="NY222" s="3297"/>
      <c r="NZ222" s="3297"/>
      <c r="OA222" s="3297"/>
      <c r="OB222" s="3297"/>
      <c r="OC222" s="3297"/>
      <c r="OD222" s="3297"/>
      <c r="OE222" s="3297"/>
      <c r="OF222" s="3297"/>
      <c r="OG222" s="3297"/>
      <c r="OH222" s="3297"/>
      <c r="OI222" s="3297"/>
      <c r="OJ222" s="3297"/>
      <c r="OK222" s="3297"/>
      <c r="OL222" s="3297"/>
      <c r="OM222" s="3297"/>
      <c r="ON222" s="3297"/>
      <c r="OO222" s="3297"/>
      <c r="OP222" s="3297"/>
      <c r="OQ222" s="3297"/>
      <c r="OR222" s="3297"/>
      <c r="OS222" s="3297"/>
      <c r="OT222" s="3297"/>
      <c r="OU222" s="3297"/>
      <c r="OV222" s="3297"/>
      <c r="OW222" s="3297"/>
      <c r="OX222" s="3297"/>
      <c r="OY222" s="3297"/>
      <c r="OZ222" s="3297"/>
      <c r="PA222" s="3297"/>
      <c r="PB222" s="3297"/>
      <c r="PC222" s="3297"/>
      <c r="PD222" s="3297"/>
      <c r="PE222" s="3297"/>
      <c r="PF222" s="3297"/>
      <c r="PG222" s="3297"/>
      <c r="PH222" s="3297"/>
      <c r="PI222" s="3297"/>
      <c r="PJ222" s="3297"/>
      <c r="PK222" s="3297"/>
      <c r="PL222" s="3297"/>
      <c r="PM222" s="3297"/>
      <c r="PN222" s="3297"/>
      <c r="PO222" s="3297"/>
      <c r="PP222" s="3297"/>
      <c r="PQ222" s="3297"/>
      <c r="PR222" s="3297"/>
      <c r="PS222" s="3297"/>
      <c r="PT222" s="3297"/>
      <c r="PU222" s="3297"/>
      <c r="PV222" s="3297"/>
      <c r="PW222" s="3297"/>
      <c r="PX222" s="3297"/>
      <c r="PY222" s="3297"/>
      <c r="PZ222" s="3297"/>
      <c r="QA222" s="3297"/>
      <c r="QB222" s="3297"/>
      <c r="QC222" s="3297"/>
      <c r="QD222" s="3297"/>
      <c r="QE222" s="3297"/>
      <c r="QF222" s="3297"/>
      <c r="QG222" s="3297"/>
      <c r="QH222" s="3297"/>
      <c r="QI222" s="3297"/>
      <c r="QJ222" s="3297"/>
      <c r="QK222" s="3297"/>
      <c r="QL222" s="3297"/>
      <c r="QM222" s="3297"/>
      <c r="QN222" s="3297"/>
      <c r="QO222" s="3297"/>
      <c r="QP222" s="3297"/>
      <c r="QQ222" s="3297"/>
      <c r="QR222" s="3297"/>
      <c r="QS222" s="3297"/>
      <c r="QT222" s="3297"/>
      <c r="QU222" s="3297"/>
      <c r="QV222" s="3297"/>
      <c r="QW222" s="3297"/>
      <c r="QX222" s="3297"/>
      <c r="QY222" s="3297"/>
      <c r="QZ222" s="3297"/>
      <c r="RA222" s="3297"/>
      <c r="RB222" s="3297"/>
      <c r="RC222" s="3297"/>
      <c r="RD222" s="3297"/>
      <c r="RE222" s="3297"/>
      <c r="RF222" s="3297"/>
      <c r="RG222" s="3297"/>
      <c r="RH222" s="3297"/>
      <c r="RI222" s="3297"/>
      <c r="RJ222" s="3297"/>
      <c r="RK222" s="3297"/>
      <c r="RL222" s="3297"/>
      <c r="RM222" s="3297"/>
      <c r="RN222" s="3297"/>
      <c r="RO222" s="3297"/>
      <c r="RP222" s="3297"/>
      <c r="RQ222" s="3297"/>
      <c r="RR222" s="3297"/>
      <c r="RS222" s="3297"/>
      <c r="RT222" s="3297"/>
      <c r="RU222" s="3297"/>
      <c r="RV222" s="3297"/>
      <c r="RW222" s="3297"/>
      <c r="RX222" s="3297"/>
      <c r="RY222" s="3297"/>
      <c r="RZ222" s="3297"/>
      <c r="SA222" s="3297"/>
      <c r="SB222" s="3297"/>
      <c r="SC222" s="3297"/>
      <c r="SD222" s="3297"/>
      <c r="SE222" s="3297"/>
      <c r="SF222" s="3297"/>
      <c r="SG222" s="3297"/>
      <c r="SH222" s="3297"/>
      <c r="SI222" s="3297"/>
      <c r="SJ222" s="3297"/>
      <c r="SK222" s="3297"/>
      <c r="SL222" s="3297"/>
      <c r="SM222" s="3297"/>
      <c r="SN222" s="3297"/>
      <c r="SO222" s="3297"/>
      <c r="SP222" s="3297"/>
      <c r="SQ222" s="3297"/>
      <c r="SR222" s="3297"/>
      <c r="SS222" s="3297"/>
      <c r="ST222" s="3297"/>
      <c r="SU222" s="3297"/>
      <c r="SV222" s="3297"/>
      <c r="SW222" s="3297"/>
      <c r="SX222" s="3297"/>
      <c r="SY222" s="3297"/>
      <c r="SZ222" s="3297"/>
      <c r="TA222" s="3297"/>
      <c r="TB222" s="3297"/>
      <c r="TC222" s="3297"/>
      <c r="TD222" s="3297"/>
      <c r="TE222" s="3297"/>
      <c r="TF222" s="3297"/>
      <c r="TG222" s="3297"/>
      <c r="TH222" s="3297"/>
      <c r="TI222" s="3297"/>
      <c r="TJ222" s="3297"/>
      <c r="TK222" s="3297"/>
      <c r="TL222" s="3297"/>
      <c r="TM222" s="3297"/>
      <c r="TN222" s="3297"/>
      <c r="TO222" s="3297"/>
      <c r="TP222" s="3297"/>
      <c r="TQ222" s="3297"/>
      <c r="TR222" s="3297"/>
      <c r="TS222" s="3297"/>
      <c r="TT222" s="3297"/>
      <c r="TU222" s="3297"/>
      <c r="TV222" s="3297"/>
      <c r="TW222" s="3297"/>
      <c r="TX222" s="3297"/>
      <c r="TY222" s="3297"/>
      <c r="TZ222" s="3297"/>
      <c r="UA222" s="3297"/>
      <c r="UB222" s="3297"/>
      <c r="UC222" s="3297"/>
      <c r="UD222" s="3297"/>
      <c r="UE222" s="3297"/>
      <c r="UF222" s="3297"/>
      <c r="UG222" s="3297"/>
      <c r="UH222" s="3297"/>
      <c r="UI222" s="3297"/>
      <c r="UJ222" s="3297"/>
      <c r="UK222" s="3297"/>
      <c r="UL222" s="3297"/>
      <c r="UM222" s="3297"/>
      <c r="UN222" s="3297"/>
      <c r="UO222" s="3297"/>
      <c r="UP222" s="3297"/>
      <c r="UQ222" s="3297"/>
      <c r="UR222" s="3297"/>
      <c r="US222" s="3297"/>
      <c r="UT222" s="3297"/>
      <c r="UU222" s="3297"/>
      <c r="UV222" s="3297"/>
      <c r="UW222" s="3297"/>
      <c r="UX222" s="3297"/>
      <c r="UY222" s="3297"/>
      <c r="UZ222" s="3297"/>
      <c r="VA222" s="3297"/>
      <c r="VB222" s="3297"/>
      <c r="VC222" s="3297"/>
      <c r="VD222" s="3297"/>
      <c r="VE222" s="3297"/>
      <c r="VF222" s="3297"/>
      <c r="VG222" s="3297"/>
      <c r="VH222" s="3297"/>
      <c r="VI222" s="3297"/>
      <c r="VJ222" s="3297"/>
      <c r="VK222" s="3297"/>
      <c r="VL222" s="3297"/>
      <c r="VM222" s="3297"/>
      <c r="VN222" s="3297"/>
      <c r="VO222" s="3297"/>
      <c r="VP222" s="3297"/>
      <c r="VQ222" s="3297"/>
      <c r="VR222" s="3297"/>
      <c r="VS222" s="3297"/>
      <c r="VT222" s="3297"/>
      <c r="VU222" s="3297"/>
      <c r="VV222" s="3297"/>
      <c r="VW222" s="3297"/>
      <c r="VX222" s="3297"/>
      <c r="VY222" s="3297"/>
      <c r="VZ222" s="3297"/>
      <c r="WA222" s="3297"/>
      <c r="WB222" s="3297"/>
      <c r="WC222" s="3297"/>
      <c r="WD222" s="3297"/>
      <c r="WE222" s="3297"/>
      <c r="WF222" s="3297"/>
      <c r="WG222" s="3297"/>
      <c r="WH222" s="3297"/>
      <c r="WI222" s="3297"/>
      <c r="WJ222" s="3297"/>
      <c r="WK222" s="3297"/>
      <c r="WL222" s="3297"/>
      <c r="WM222" s="3297"/>
      <c r="WN222" s="3297"/>
      <c r="WO222" s="3297"/>
      <c r="WP222" s="3297"/>
      <c r="WQ222" s="3297"/>
      <c r="WR222" s="3297"/>
      <c r="WS222" s="3297"/>
      <c r="WT222" s="3297"/>
      <c r="WU222" s="3297"/>
      <c r="WV222" s="3297"/>
      <c r="WW222" s="3297"/>
      <c r="WX222" s="3297"/>
      <c r="WY222" s="3297"/>
      <c r="WZ222" s="3297"/>
      <c r="XA222" s="3297"/>
      <c r="XB222" s="3297"/>
      <c r="XC222" s="3297"/>
      <c r="XD222" s="3297"/>
      <c r="XE222" s="3297"/>
      <c r="XF222" s="3297"/>
      <c r="XG222" s="3297"/>
      <c r="XH222" s="3297"/>
      <c r="XI222" s="3297"/>
      <c r="XJ222" s="3297"/>
      <c r="XK222" s="3297"/>
      <c r="XL222" s="3297"/>
      <c r="XM222" s="3297"/>
      <c r="XN222" s="3297"/>
      <c r="XO222" s="3297"/>
      <c r="XP222" s="3297"/>
      <c r="XQ222" s="3297"/>
      <c r="XR222" s="3297"/>
      <c r="XS222" s="3297"/>
      <c r="XT222" s="3297"/>
      <c r="XU222" s="3297"/>
      <c r="XV222" s="3297"/>
      <c r="XW222" s="3297"/>
      <c r="XX222" s="3297"/>
      <c r="XY222" s="3297"/>
      <c r="XZ222" s="3297"/>
      <c r="YA222" s="3297"/>
      <c r="YB222" s="3297"/>
      <c r="YC222" s="3297"/>
      <c r="YD222" s="3297"/>
      <c r="YE222" s="3297"/>
      <c r="YF222" s="3297"/>
      <c r="YG222" s="3297"/>
      <c r="YH222" s="3297"/>
      <c r="YI222" s="3297"/>
      <c r="YJ222" s="3297"/>
      <c r="YK222" s="3297"/>
      <c r="YL222" s="3297"/>
      <c r="YM222" s="3297"/>
      <c r="YN222" s="3297"/>
      <c r="YO222" s="3297"/>
      <c r="YP222" s="3297"/>
      <c r="YQ222" s="3297"/>
      <c r="YR222" s="3297"/>
      <c r="YS222" s="3297"/>
      <c r="YT222" s="3297"/>
      <c r="YU222" s="3297"/>
      <c r="YV222" s="3297"/>
      <c r="YW222" s="3297"/>
      <c r="YX222" s="3297"/>
      <c r="YY222" s="3297"/>
      <c r="YZ222" s="3297"/>
      <c r="ZA222" s="3297"/>
      <c r="ZB222" s="3297"/>
      <c r="ZC222" s="3297"/>
      <c r="ZD222" s="3297"/>
      <c r="ZE222" s="3297"/>
      <c r="ZF222" s="3297"/>
      <c r="ZG222" s="3297"/>
      <c r="ZH222" s="3297"/>
      <c r="ZI222" s="3297"/>
      <c r="ZJ222" s="3297"/>
      <c r="ZK222" s="3297"/>
      <c r="ZL222" s="3297"/>
      <c r="ZM222" s="3297"/>
      <c r="ZN222" s="3297"/>
      <c r="ZO222" s="3297"/>
      <c r="ZP222" s="3297"/>
      <c r="ZQ222" s="3297"/>
      <c r="ZR222" s="3297"/>
      <c r="ZS222" s="3297"/>
      <c r="ZT222" s="3297"/>
      <c r="ZU222" s="3297"/>
      <c r="ZV222" s="3297"/>
      <c r="ZW222" s="3297"/>
      <c r="ZX222" s="3297"/>
      <c r="ZY222" s="3297"/>
      <c r="ZZ222" s="3297"/>
      <c r="AAA222" s="3297"/>
      <c r="AAB222" s="3297"/>
      <c r="AAC222" s="3297"/>
      <c r="AAD222" s="3297"/>
      <c r="AAE222" s="3297"/>
      <c r="AAF222" s="3297"/>
      <c r="AAG222" s="3297"/>
      <c r="AAH222" s="3297"/>
      <c r="AAI222" s="3297"/>
      <c r="AAJ222" s="3297"/>
      <c r="AAK222" s="3297"/>
      <c r="AAL222" s="3297"/>
      <c r="AAM222" s="3297"/>
      <c r="AAN222" s="3297"/>
      <c r="AAO222" s="3297"/>
      <c r="AAP222" s="3297"/>
      <c r="AAQ222" s="3297"/>
      <c r="AAR222" s="3297"/>
      <c r="AAS222" s="3297"/>
      <c r="AAT222" s="3297"/>
      <c r="AAU222" s="3297"/>
      <c r="AAV222" s="3297"/>
      <c r="AAW222" s="3297"/>
      <c r="AAX222" s="3297"/>
      <c r="AAY222" s="3297"/>
      <c r="AAZ222" s="3297"/>
      <c r="ABA222" s="3297"/>
      <c r="ABB222" s="3297"/>
      <c r="ABC222" s="3297"/>
      <c r="ABD222" s="3297"/>
      <c r="ABE222" s="3297"/>
      <c r="ABF222" s="3297"/>
      <c r="ABG222" s="3297"/>
      <c r="ABH222" s="3297"/>
      <c r="ABI222" s="3297"/>
      <c r="ABJ222" s="3297"/>
      <c r="ABK222" s="3297"/>
      <c r="ABL222" s="3297"/>
      <c r="ABM222" s="3297"/>
      <c r="ABN222" s="3297"/>
      <c r="ABO222" s="3297"/>
      <c r="ABP222" s="3297"/>
      <c r="ABQ222" s="3297"/>
      <c r="ABR222" s="3297"/>
      <c r="ABS222" s="3297"/>
      <c r="ABT222" s="3297"/>
      <c r="ABU222" s="3297"/>
      <c r="ABV222" s="3297"/>
      <c r="ABW222" s="3297"/>
      <c r="ABX222" s="3297"/>
      <c r="ABY222" s="3297"/>
      <c r="ABZ222" s="3297"/>
      <c r="ACA222" s="3297"/>
      <c r="ACB222" s="3297"/>
      <c r="ACC222" s="3297"/>
      <c r="ACD222" s="3297"/>
      <c r="ACE222" s="3297"/>
      <c r="ACF222" s="3297"/>
      <c r="ACG222" s="3297"/>
      <c r="ACH222" s="3297"/>
      <c r="ACI222" s="3297"/>
      <c r="ACJ222" s="3297"/>
      <c r="ACK222" s="3297"/>
      <c r="ACL222" s="3297"/>
      <c r="ACM222" s="3297"/>
      <c r="ACN222" s="3297"/>
      <c r="ACO222" s="3297"/>
      <c r="ACP222" s="3297"/>
      <c r="ACQ222" s="3297"/>
      <c r="ACR222" s="3297"/>
      <c r="ACS222" s="3297"/>
      <c r="ACT222" s="3297"/>
      <c r="ACU222" s="3297"/>
      <c r="ACV222" s="3297"/>
      <c r="ACW222" s="3297"/>
      <c r="ACX222" s="3297"/>
      <c r="ACY222" s="3297"/>
      <c r="ACZ222" s="3297"/>
      <c r="ADA222" s="3297"/>
      <c r="ADB222" s="3297"/>
      <c r="ADC222" s="3297"/>
      <c r="ADD222" s="3297"/>
      <c r="ADE222" s="3297"/>
      <c r="ADF222" s="3297"/>
      <c r="ADG222" s="3297"/>
      <c r="ADH222" s="3297"/>
      <c r="ADI222" s="3297"/>
      <c r="ADJ222" s="3297"/>
      <c r="ADK222" s="3297"/>
      <c r="ADL222" s="3297"/>
      <c r="ADM222" s="3297"/>
      <c r="ADN222" s="3297"/>
      <c r="ADO222" s="3297"/>
      <c r="ADP222" s="3297"/>
      <c r="ADQ222" s="3297"/>
      <c r="ADR222" s="3297"/>
      <c r="ADS222" s="3297"/>
      <c r="ADT222" s="3297"/>
      <c r="ADU222" s="3297"/>
      <c r="ADV222" s="3297"/>
      <c r="ADW222" s="3297"/>
      <c r="ADX222" s="3297"/>
      <c r="ADY222" s="3297"/>
      <c r="ADZ222" s="3297"/>
      <c r="AEA222" s="3297"/>
      <c r="AEB222" s="3297"/>
      <c r="AEC222" s="3297"/>
      <c r="AED222" s="3297"/>
      <c r="AEE222" s="3297"/>
      <c r="AEF222" s="3297"/>
      <c r="AEG222" s="3297"/>
      <c r="AEH222" s="3297"/>
      <c r="AEI222" s="3297"/>
      <c r="AEJ222" s="3297"/>
      <c r="AEK222" s="3297"/>
      <c r="AEL222" s="3297"/>
      <c r="AEM222" s="3297"/>
      <c r="AEN222" s="3297"/>
      <c r="AEO222" s="3297"/>
      <c r="AEP222" s="3297"/>
      <c r="AEQ222" s="3297"/>
      <c r="AER222" s="3297"/>
      <c r="AES222" s="3297"/>
      <c r="AET222" s="3297"/>
      <c r="AEU222" s="3297"/>
      <c r="AEV222" s="3297"/>
      <c r="AEW222" s="3297"/>
      <c r="AEX222" s="3297"/>
      <c r="AEY222" s="3297"/>
      <c r="AEZ222" s="3297"/>
      <c r="AFA222" s="3297"/>
      <c r="AFB222" s="3297"/>
      <c r="AFC222" s="3297"/>
      <c r="AFD222" s="3297"/>
      <c r="AFE222" s="3297"/>
      <c r="AFF222" s="3297"/>
      <c r="AFG222" s="3297"/>
      <c r="AFH222" s="3297"/>
      <c r="AFI222" s="3297"/>
      <c r="AFJ222" s="3297"/>
      <c r="AFK222" s="3297"/>
      <c r="AFL222" s="3297"/>
      <c r="AFM222" s="3297"/>
      <c r="AFN222" s="3297"/>
      <c r="AFO222" s="3297"/>
      <c r="AFP222" s="3297"/>
      <c r="AFQ222" s="3297"/>
      <c r="AFR222" s="3297"/>
      <c r="AFS222" s="3297"/>
      <c r="AFT222" s="3297"/>
      <c r="AFU222" s="3297"/>
      <c r="AFV222" s="3297"/>
      <c r="AFW222" s="3297"/>
      <c r="AFX222" s="3297"/>
      <c r="AFY222" s="3297"/>
      <c r="AFZ222" s="3297"/>
      <c r="AGA222" s="3297"/>
      <c r="AGB222" s="3297"/>
      <c r="AGC222" s="3297"/>
      <c r="AGD222" s="3297"/>
      <c r="AGE222" s="3297"/>
      <c r="AGF222" s="3297"/>
      <c r="AGG222" s="3297"/>
      <c r="AGH222" s="3297"/>
      <c r="AGI222" s="3297"/>
      <c r="AGJ222" s="3297"/>
      <c r="AGK222" s="3297"/>
      <c r="AGL222" s="3297"/>
      <c r="AGM222" s="3297"/>
      <c r="AGN222" s="3297"/>
      <c r="AGO222" s="3297"/>
      <c r="AGP222" s="3297"/>
      <c r="AGQ222" s="3297"/>
      <c r="AGR222" s="3297"/>
      <c r="AGS222" s="3297"/>
      <c r="AGT222" s="3297"/>
      <c r="AGU222" s="3297"/>
      <c r="AGV222" s="3297"/>
      <c r="AGW222" s="3297"/>
      <c r="AGX222" s="3297"/>
      <c r="AGY222" s="3297"/>
      <c r="AGZ222" s="3297"/>
      <c r="AHA222" s="3297"/>
      <c r="AHB222" s="3297"/>
      <c r="AHC222" s="3297"/>
      <c r="AHD222" s="3297"/>
      <c r="AHE222" s="3297"/>
      <c r="AHF222" s="3297"/>
      <c r="AHG222" s="3297"/>
      <c r="AHH222" s="3297"/>
      <c r="AHI222" s="3297"/>
      <c r="AHJ222" s="3297"/>
      <c r="AHK222" s="3297"/>
      <c r="AHL222" s="3297"/>
      <c r="AHM222" s="3297"/>
      <c r="AHN222" s="3297"/>
      <c r="AHO222" s="3297"/>
      <c r="AHP222" s="3297"/>
      <c r="AHQ222" s="3297"/>
      <c r="AHR222" s="3297"/>
      <c r="AHS222" s="3297"/>
      <c r="AHT222" s="3297"/>
      <c r="AHU222" s="3297"/>
      <c r="AHV222" s="3297"/>
      <c r="AHW222" s="3297"/>
      <c r="AHX222" s="3297"/>
      <c r="AHY222" s="3297"/>
      <c r="AHZ222" s="3297"/>
      <c r="AIA222" s="3297"/>
      <c r="AIB222" s="3297"/>
      <c r="AIC222" s="3297"/>
      <c r="AID222" s="3297"/>
      <c r="AIE222" s="3297"/>
      <c r="AIF222" s="3297"/>
      <c r="AIG222" s="3297"/>
      <c r="AIH222" s="3297"/>
      <c r="AII222" s="3297"/>
      <c r="AIJ222" s="3297"/>
      <c r="AIK222" s="3297"/>
      <c r="AIL222" s="3297"/>
      <c r="AIM222" s="3297"/>
      <c r="AIN222" s="3297"/>
      <c r="AIO222" s="3297"/>
      <c r="AIP222" s="3297"/>
      <c r="AIQ222" s="3297"/>
      <c r="AIR222" s="3297"/>
      <c r="AIS222" s="3297"/>
      <c r="AIT222" s="3297"/>
      <c r="AIU222" s="3297"/>
      <c r="AIV222" s="3297"/>
      <c r="AIW222" s="3297"/>
      <c r="AIX222" s="3297"/>
      <c r="AIY222" s="3297"/>
      <c r="AIZ222" s="3297"/>
      <c r="AJA222" s="3297"/>
      <c r="AJB222" s="3297"/>
      <c r="AJC222" s="3297"/>
      <c r="AJD222" s="3297"/>
      <c r="AJE222" s="3297"/>
      <c r="AJF222" s="3297"/>
      <c r="AJG222" s="3297"/>
      <c r="AJH222" s="3297"/>
      <c r="AJI222" s="3297"/>
      <c r="AJJ222" s="3297"/>
      <c r="AJK222" s="3297"/>
      <c r="AJL222" s="3297"/>
      <c r="AJM222" s="3297"/>
      <c r="AJN222" s="3297"/>
      <c r="AJO222" s="3297"/>
      <c r="AJP222" s="3297"/>
      <c r="AJQ222" s="3297"/>
      <c r="AJR222" s="3297"/>
      <c r="AJS222" s="3297"/>
      <c r="AJT222" s="3297"/>
      <c r="AJU222" s="3297"/>
      <c r="AJV222" s="3297"/>
      <c r="AJW222" s="3297"/>
      <c r="AJX222" s="3297"/>
      <c r="AJY222" s="3297"/>
      <c r="AJZ222" s="3297"/>
      <c r="AKA222" s="3297"/>
      <c r="AKB222" s="3297"/>
      <c r="AKC222" s="3297"/>
      <c r="AKD222" s="3297"/>
      <c r="AKE222" s="3297"/>
      <c r="AKF222" s="3297"/>
      <c r="AKG222" s="3297"/>
      <c r="AKH222" s="3297"/>
      <c r="AKI222" s="3297"/>
      <c r="AKJ222" s="3297"/>
      <c r="AKK222" s="3297"/>
      <c r="AKL222" s="3297"/>
      <c r="AKM222" s="3297"/>
      <c r="AKN222" s="3297"/>
      <c r="AKO222" s="3297"/>
      <c r="AKP222" s="3297"/>
      <c r="AKQ222" s="3297"/>
      <c r="AKR222" s="3297"/>
      <c r="AKS222" s="3297"/>
      <c r="AKT222" s="3297"/>
      <c r="AKU222" s="3297"/>
      <c r="AKV222" s="3297"/>
      <c r="AKW222" s="3297"/>
      <c r="AKX222" s="3297"/>
      <c r="AKY222" s="3297"/>
      <c r="AKZ222" s="3297"/>
      <c r="ALA222" s="3297"/>
      <c r="ALB222" s="3297"/>
      <c r="ALC222" s="3297"/>
      <c r="ALD222" s="3297"/>
      <c r="ALE222" s="3297"/>
      <c r="ALF222" s="3297"/>
      <c r="ALG222" s="3297"/>
      <c r="ALH222" s="3297"/>
      <c r="ALI222" s="3297"/>
      <c r="ALJ222" s="3297"/>
      <c r="ALK222" s="3297"/>
      <c r="ALL222" s="3297"/>
      <c r="ALM222" s="3297"/>
      <c r="ALN222" s="3297"/>
      <c r="ALO222" s="3297"/>
      <c r="ALP222" s="3297"/>
      <c r="ALQ222" s="3297"/>
      <c r="ALR222" s="3297"/>
      <c r="ALS222" s="3297"/>
      <c r="ALT222" s="3297"/>
      <c r="ALU222" s="3297"/>
      <c r="ALV222" s="3297"/>
      <c r="ALW222" s="3297"/>
      <c r="ALX222" s="3297"/>
      <c r="ALY222" s="3297"/>
      <c r="ALZ222" s="3297"/>
      <c r="AMA222" s="3297"/>
      <c r="AMB222" s="3297"/>
      <c r="AMC222" s="3297"/>
      <c r="AMD222" s="3297"/>
      <c r="AME222" s="3297"/>
      <c r="AMF222" s="3297"/>
      <c r="AMG222" s="3297"/>
      <c r="AMH222" s="3297"/>
      <c r="AMI222" s="3297"/>
      <c r="AMJ222" s="3297"/>
      <c r="AMK222" s="3297"/>
      <c r="AML222" s="3297"/>
      <c r="AMM222" s="3297"/>
      <c r="AMN222" s="3297"/>
      <c r="AMO222" s="3297"/>
      <c r="AMP222" s="3297"/>
      <c r="AMQ222" s="3297"/>
      <c r="AMR222" s="3297"/>
      <c r="AMS222" s="3297"/>
      <c r="AMT222" s="3297"/>
      <c r="AMU222" s="3297"/>
      <c r="AMV222" s="3297"/>
      <c r="AMW222" s="3297"/>
      <c r="AMX222" s="3297"/>
      <c r="AMY222" s="3297"/>
      <c r="AMZ222" s="3297"/>
      <c r="ANA222" s="3297"/>
      <c r="ANB222" s="3297"/>
      <c r="ANC222" s="3297"/>
      <c r="AND222" s="3297"/>
      <c r="ANE222" s="3297"/>
      <c r="ANF222" s="3297"/>
      <c r="ANG222" s="3297"/>
      <c r="ANH222" s="3297"/>
      <c r="ANI222" s="3297"/>
      <c r="ANJ222" s="3297"/>
      <c r="ANK222" s="3297"/>
      <c r="ANL222" s="3297"/>
      <c r="ANM222" s="3297"/>
      <c r="ANN222" s="3297"/>
      <c r="ANO222" s="3297"/>
      <c r="ANP222" s="3297"/>
      <c r="ANQ222" s="3297"/>
      <c r="ANR222" s="3297"/>
      <c r="ANS222" s="3297"/>
      <c r="ANT222" s="3297"/>
      <c r="ANU222" s="3297"/>
      <c r="ANV222" s="3297"/>
      <c r="ANW222" s="3297"/>
      <c r="ANX222" s="3297"/>
      <c r="ANY222" s="3297"/>
      <c r="ANZ222" s="3297"/>
      <c r="AOA222" s="3297"/>
      <c r="AOB222" s="3297"/>
      <c r="AOC222" s="3297"/>
      <c r="AOD222" s="3297"/>
      <c r="AOE222" s="3297"/>
      <c r="AOF222" s="3297"/>
      <c r="AOG222" s="3297"/>
      <c r="AOH222" s="3297"/>
      <c r="AOI222" s="3297"/>
      <c r="AOJ222" s="3297"/>
      <c r="AOK222" s="3297"/>
      <c r="AOL222" s="3297"/>
      <c r="AOM222" s="3297"/>
      <c r="AON222" s="3297"/>
      <c r="AOO222" s="3297"/>
      <c r="AOP222" s="3297"/>
      <c r="AOQ222" s="3297"/>
      <c r="AOR222" s="3297"/>
      <c r="AOS222" s="3297"/>
      <c r="AOT222" s="3297"/>
      <c r="AOU222" s="3297"/>
      <c r="AOV222" s="3297"/>
      <c r="AOW222" s="3297"/>
      <c r="AOX222" s="3297"/>
      <c r="AOY222" s="3297"/>
      <c r="AOZ222" s="3297"/>
      <c r="APA222" s="3297"/>
      <c r="APB222" s="3297"/>
      <c r="APC222" s="3297"/>
      <c r="APD222" s="3297"/>
      <c r="APE222" s="3297"/>
      <c r="APF222" s="3297"/>
      <c r="APG222" s="3297"/>
      <c r="APH222" s="3297"/>
      <c r="API222" s="3297"/>
      <c r="APJ222" s="3297"/>
      <c r="APK222" s="3297"/>
      <c r="APL222" s="3297"/>
      <c r="APM222" s="3297"/>
      <c r="APN222" s="3297"/>
      <c r="APO222" s="3297"/>
      <c r="APP222" s="3297"/>
      <c r="APQ222" s="3297"/>
      <c r="APR222" s="3297"/>
      <c r="APS222" s="3297"/>
      <c r="APT222" s="3297"/>
      <c r="APU222" s="3297"/>
      <c r="APV222" s="3297"/>
      <c r="APW222" s="3297"/>
      <c r="APX222" s="3297"/>
      <c r="APY222" s="3297"/>
      <c r="APZ222" s="3297"/>
      <c r="AQA222" s="3297"/>
      <c r="AQB222" s="3297"/>
      <c r="AQC222" s="3297"/>
      <c r="AQD222" s="3297"/>
      <c r="AQE222" s="3297"/>
      <c r="AQF222" s="3297"/>
      <c r="AQG222" s="3297"/>
      <c r="AQH222" s="3297"/>
      <c r="AQI222" s="3297"/>
      <c r="AQJ222" s="3297"/>
      <c r="AQK222" s="3297"/>
      <c r="AQL222" s="3297"/>
      <c r="AQM222" s="3297"/>
      <c r="AQN222" s="3297"/>
      <c r="AQO222" s="3297"/>
      <c r="AQP222" s="3297"/>
      <c r="AQQ222" s="3297"/>
      <c r="AQR222" s="3297"/>
      <c r="AQS222" s="3297"/>
      <c r="AQT222" s="3297"/>
      <c r="AQU222" s="3297"/>
      <c r="AQV222" s="3297"/>
      <c r="AQW222" s="3297"/>
      <c r="AQX222" s="3297"/>
      <c r="AQY222" s="3297"/>
      <c r="AQZ222" s="3297"/>
      <c r="ARA222" s="3297"/>
      <c r="ARB222" s="3297"/>
      <c r="ARC222" s="3297"/>
      <c r="ARD222" s="3297"/>
      <c r="ARE222" s="3297"/>
      <c r="ARF222" s="3297"/>
      <c r="ARG222" s="3297"/>
      <c r="ARH222" s="3297"/>
      <c r="ARI222" s="3297"/>
      <c r="ARJ222" s="3297"/>
      <c r="ARK222" s="3297"/>
      <c r="ARL222" s="3297"/>
      <c r="ARM222" s="3297"/>
      <c r="ARN222" s="3297"/>
      <c r="ARO222" s="3297"/>
      <c r="ARP222" s="3297"/>
      <c r="ARQ222" s="3297"/>
      <c r="ARR222" s="3297"/>
      <c r="ARS222" s="3297"/>
      <c r="ART222" s="3297"/>
      <c r="ARU222" s="3297"/>
      <c r="ARV222" s="3297"/>
      <c r="ARW222" s="3297"/>
      <c r="ARX222" s="3297"/>
      <c r="ARY222" s="3297"/>
      <c r="ARZ222" s="3297"/>
      <c r="ASA222" s="3297"/>
      <c r="ASB222" s="3297"/>
      <c r="ASC222" s="3297"/>
      <c r="ASD222" s="3297"/>
      <c r="ASE222" s="3297"/>
      <c r="ASF222" s="3297"/>
      <c r="ASG222" s="3297"/>
      <c r="ASH222" s="3297"/>
      <c r="ASI222" s="3297"/>
      <c r="ASJ222" s="3297"/>
      <c r="ASK222" s="3297"/>
      <c r="ASL222" s="3297"/>
      <c r="ASM222" s="3297"/>
      <c r="ASN222" s="3297"/>
      <c r="ASO222" s="3297"/>
      <c r="ASP222" s="3297"/>
      <c r="ASQ222" s="3297"/>
      <c r="ASR222" s="3297"/>
      <c r="ASS222" s="3297"/>
      <c r="AST222" s="3297"/>
      <c r="ASU222" s="3297"/>
      <c r="ASV222" s="3297"/>
      <c r="ASW222" s="3297"/>
      <c r="ASX222" s="3297"/>
      <c r="ASY222" s="3297"/>
      <c r="ASZ222" s="3297"/>
      <c r="ATA222" s="3297"/>
      <c r="ATB222" s="3297"/>
      <c r="ATC222" s="3297"/>
      <c r="ATD222" s="3297"/>
      <c r="ATE222" s="3297"/>
      <c r="ATF222" s="3297"/>
      <c r="ATG222" s="3297"/>
      <c r="ATH222" s="3297"/>
      <c r="ATI222" s="3297"/>
      <c r="ATJ222" s="3297"/>
      <c r="ATK222" s="3297"/>
      <c r="ATL222" s="3297"/>
      <c r="ATM222" s="3297"/>
      <c r="ATN222" s="3297"/>
      <c r="ATO222" s="3297"/>
      <c r="ATP222" s="3297"/>
      <c r="ATQ222" s="3297"/>
      <c r="ATR222" s="3297"/>
      <c r="ATS222" s="3297"/>
      <c r="ATT222" s="3297"/>
      <c r="ATU222" s="3297"/>
      <c r="ATV222" s="3297"/>
      <c r="ATW222" s="3297"/>
      <c r="ATX222" s="3297"/>
      <c r="ATY222" s="3297"/>
      <c r="ATZ222" s="3297"/>
      <c r="AUA222" s="3297"/>
      <c r="AUB222" s="3297"/>
      <c r="AUC222" s="3297"/>
      <c r="AUD222" s="3297"/>
      <c r="AUE222" s="3297"/>
      <c r="AUF222" s="3297"/>
      <c r="AUG222" s="3297"/>
      <c r="AUH222" s="3297"/>
      <c r="AUI222" s="3297"/>
      <c r="AUJ222" s="3297"/>
      <c r="AUK222" s="3297"/>
      <c r="AUL222" s="3297"/>
      <c r="AUM222" s="3297"/>
      <c r="AUN222" s="3297"/>
      <c r="AUO222" s="3297"/>
      <c r="AUP222" s="3297"/>
      <c r="AUQ222" s="3297"/>
      <c r="AUR222" s="3297"/>
      <c r="AUS222" s="3297"/>
      <c r="AUT222" s="3297"/>
      <c r="AUU222" s="3297"/>
      <c r="AUV222" s="3297"/>
      <c r="AUW222" s="3297"/>
      <c r="AUX222" s="3297"/>
      <c r="AUY222" s="3297"/>
      <c r="AUZ222" s="3297"/>
      <c r="AVA222" s="3297"/>
      <c r="AVB222" s="3297"/>
      <c r="AVC222" s="3297"/>
      <c r="AVD222" s="3297"/>
      <c r="AVE222" s="3297"/>
      <c r="AVF222" s="3297"/>
      <c r="AVG222" s="3297"/>
      <c r="AVH222" s="3297"/>
      <c r="AVI222" s="3297"/>
      <c r="AVJ222" s="3297"/>
      <c r="AVK222" s="3297"/>
      <c r="AVL222" s="3297"/>
      <c r="AVM222" s="3297"/>
      <c r="AVN222" s="3297"/>
      <c r="AVO222" s="3297"/>
      <c r="AVP222" s="3297"/>
      <c r="AVQ222" s="3297"/>
      <c r="AVR222" s="3297"/>
      <c r="AVS222" s="3297"/>
      <c r="AVT222" s="3297"/>
      <c r="AVU222" s="3297"/>
      <c r="AVV222" s="3297"/>
      <c r="AVW222" s="3297"/>
      <c r="AVX222" s="3297"/>
      <c r="AVY222" s="3297"/>
      <c r="AVZ222" s="3297"/>
      <c r="AWA222" s="3297"/>
      <c r="AWB222" s="3297"/>
      <c r="AWC222" s="3297"/>
      <c r="AWD222" s="3297"/>
      <c r="AWE222" s="3297"/>
      <c r="AWF222" s="3297"/>
      <c r="AWG222" s="3297"/>
      <c r="AWH222" s="3297"/>
      <c r="AWI222" s="3297"/>
      <c r="AWJ222" s="3297"/>
      <c r="AWK222" s="3297"/>
      <c r="AWL222" s="3297"/>
      <c r="AWM222" s="3297"/>
      <c r="AWN222" s="3297"/>
      <c r="AWO222" s="3297"/>
      <c r="AWP222" s="3297"/>
      <c r="AWQ222" s="3297"/>
      <c r="AWR222" s="3297"/>
      <c r="AWS222" s="3297"/>
      <c r="AWT222" s="3297"/>
      <c r="AWU222" s="3297"/>
      <c r="AWV222" s="3297"/>
      <c r="AWW222" s="3297"/>
      <c r="AWX222" s="3297"/>
      <c r="AWY222" s="3297"/>
      <c r="AWZ222" s="3297"/>
      <c r="AXA222" s="3297"/>
      <c r="AXB222" s="3297"/>
      <c r="AXC222" s="3297"/>
      <c r="AXD222" s="3297"/>
      <c r="AXE222" s="3297"/>
      <c r="AXF222" s="3297"/>
      <c r="AXG222" s="3297"/>
      <c r="AXH222" s="3297"/>
      <c r="AXI222" s="3297"/>
      <c r="AXJ222" s="3297"/>
    </row>
    <row r="223" spans="1:1310" s="3298" customFormat="1" ht="23.25" customHeight="1">
      <c r="A223" s="468"/>
      <c r="B223" s="6645" t="s">
        <v>3083</v>
      </c>
      <c r="C223" s="6645"/>
      <c r="D223" s="6645"/>
      <c r="E223" s="6645"/>
      <c r="F223" s="3299"/>
      <c r="G223" s="6645" t="s">
        <v>3084</v>
      </c>
      <c r="H223" s="6645"/>
      <c r="I223" s="6645"/>
      <c r="J223" s="3299"/>
      <c r="K223" s="6645" t="s">
        <v>3085</v>
      </c>
      <c r="L223" s="6645"/>
      <c r="M223" s="6645"/>
      <c r="N223" s="3299"/>
      <c r="O223" s="6645" t="s">
        <v>557</v>
      </c>
      <c r="P223" s="6645"/>
      <c r="Q223" s="3299"/>
      <c r="R223" s="443"/>
      <c r="S223" s="443"/>
      <c r="T223" s="443"/>
      <c r="U223" s="443"/>
      <c r="V223" s="443"/>
      <c r="W223" s="443"/>
      <c r="X223" s="443"/>
      <c r="Y223" s="443"/>
      <c r="Z223" s="443"/>
      <c r="AA223" s="443"/>
      <c r="AB223" s="443"/>
      <c r="AC223" s="443"/>
      <c r="AD223" s="3297"/>
      <c r="AE223" s="3297"/>
      <c r="AF223" s="3297"/>
      <c r="AG223" s="3297"/>
      <c r="AH223" s="3297"/>
      <c r="AI223" s="3297"/>
      <c r="AJ223" s="3297"/>
      <c r="AK223" s="3297"/>
      <c r="AL223" s="3297"/>
      <c r="AM223" s="3297"/>
      <c r="AN223" s="3297"/>
      <c r="AO223" s="3297"/>
      <c r="AP223" s="3297"/>
      <c r="AQ223" s="3297"/>
      <c r="AR223" s="3297"/>
      <c r="AS223" s="3297"/>
      <c r="AT223" s="3297"/>
      <c r="AU223" s="3297"/>
      <c r="AV223" s="3297"/>
      <c r="AW223" s="3297"/>
      <c r="AX223" s="3297"/>
      <c r="AY223" s="3297"/>
      <c r="AZ223" s="3297"/>
      <c r="BA223" s="3297"/>
      <c r="BB223" s="3297"/>
      <c r="BC223" s="3297"/>
      <c r="BD223" s="3297"/>
      <c r="BE223" s="3297"/>
      <c r="BF223" s="3297"/>
      <c r="BG223" s="3297"/>
      <c r="BH223" s="3297"/>
      <c r="BI223" s="3297"/>
      <c r="BJ223" s="3297"/>
      <c r="BK223" s="3297"/>
      <c r="BL223" s="3297"/>
      <c r="BM223" s="3297"/>
      <c r="BN223" s="3297"/>
      <c r="BO223" s="3297"/>
      <c r="BP223" s="3297"/>
      <c r="BQ223" s="3297"/>
      <c r="BR223" s="3297"/>
      <c r="BS223" s="3297"/>
      <c r="BT223" s="3297"/>
      <c r="BU223" s="3297"/>
      <c r="BV223" s="3297"/>
      <c r="BW223" s="3297"/>
      <c r="BX223" s="3297"/>
      <c r="BY223" s="3297"/>
      <c r="BZ223" s="3297"/>
      <c r="CA223" s="3297"/>
      <c r="CB223" s="3297"/>
      <c r="CC223" s="3297"/>
      <c r="CD223" s="3297"/>
      <c r="CE223" s="3297"/>
      <c r="CF223" s="3297"/>
      <c r="CG223" s="3297"/>
      <c r="CH223" s="3297"/>
      <c r="CI223" s="3297"/>
      <c r="CJ223" s="3297"/>
      <c r="CK223" s="3297"/>
      <c r="CL223" s="3297"/>
      <c r="CM223" s="3297"/>
      <c r="CN223" s="3297"/>
      <c r="CO223" s="3297"/>
      <c r="CP223" s="3297"/>
      <c r="CQ223" s="3297"/>
      <c r="CR223" s="3297"/>
      <c r="CS223" s="3297"/>
      <c r="CT223" s="3297"/>
      <c r="CU223" s="3297"/>
      <c r="CV223" s="3297"/>
      <c r="CW223" s="3297"/>
      <c r="CX223" s="3297"/>
      <c r="CY223" s="3297"/>
      <c r="CZ223" s="3297"/>
      <c r="DA223" s="3297"/>
      <c r="DB223" s="3297"/>
      <c r="DC223" s="3297"/>
      <c r="DD223" s="3297"/>
      <c r="DE223" s="3297"/>
      <c r="DF223" s="3297"/>
      <c r="DG223" s="3297"/>
      <c r="DH223" s="3297"/>
      <c r="DI223" s="3297"/>
      <c r="DJ223" s="3297"/>
      <c r="DK223" s="3297"/>
      <c r="DL223" s="3297"/>
      <c r="DM223" s="3297"/>
      <c r="DN223" s="3297"/>
      <c r="DO223" s="3297"/>
      <c r="DP223" s="3297"/>
      <c r="DQ223" s="3297"/>
      <c r="DR223" s="3297"/>
      <c r="DS223" s="3297"/>
      <c r="DT223" s="3297"/>
      <c r="DU223" s="3297"/>
      <c r="DV223" s="3297"/>
      <c r="DW223" s="3297"/>
      <c r="DX223" s="3297"/>
      <c r="DY223" s="3297"/>
      <c r="DZ223" s="3297"/>
      <c r="EA223" s="3297"/>
      <c r="EB223" s="3297"/>
      <c r="EC223" s="3297"/>
      <c r="ED223" s="3297"/>
      <c r="EE223" s="3297"/>
      <c r="EF223" s="3297"/>
      <c r="EG223" s="3297"/>
      <c r="EH223" s="3297"/>
      <c r="EI223" s="3297"/>
      <c r="EJ223" s="3297"/>
      <c r="EK223" s="3297"/>
      <c r="EL223" s="3297"/>
      <c r="EM223" s="3297"/>
      <c r="EN223" s="3297"/>
      <c r="EO223" s="3297"/>
      <c r="EP223" s="3297"/>
      <c r="EQ223" s="3297"/>
      <c r="ER223" s="3297"/>
      <c r="ES223" s="3297"/>
      <c r="ET223" s="3297"/>
      <c r="EU223" s="3297"/>
      <c r="EV223" s="3297"/>
      <c r="EW223" s="3297"/>
      <c r="EX223" s="3297"/>
      <c r="EY223" s="3297"/>
      <c r="EZ223" s="3297"/>
      <c r="FA223" s="3297"/>
      <c r="FB223" s="3297"/>
      <c r="FC223" s="3297"/>
      <c r="FD223" s="3297"/>
      <c r="FE223" s="3297"/>
      <c r="FF223" s="3297"/>
      <c r="FG223" s="3297"/>
      <c r="FH223" s="3297"/>
      <c r="FI223" s="3297"/>
      <c r="FJ223" s="3297"/>
      <c r="FK223" s="3297"/>
      <c r="FL223" s="3297"/>
      <c r="FM223" s="3297"/>
      <c r="FN223" s="3297"/>
      <c r="FO223" s="3297"/>
      <c r="FP223" s="3297"/>
      <c r="FQ223" s="3297"/>
      <c r="FR223" s="3297"/>
      <c r="FS223" s="3297"/>
      <c r="FT223" s="3297"/>
      <c r="FU223" s="3297"/>
      <c r="FV223" s="3297"/>
      <c r="FW223" s="3297"/>
      <c r="FX223" s="3297"/>
      <c r="FY223" s="3297"/>
      <c r="FZ223" s="3297"/>
      <c r="GA223" s="3297"/>
      <c r="GB223" s="3297"/>
      <c r="GC223" s="3297"/>
      <c r="GD223" s="3297"/>
      <c r="GE223" s="3297"/>
      <c r="GF223" s="3297"/>
      <c r="GG223" s="3297"/>
      <c r="GH223" s="3297"/>
      <c r="GI223" s="3297"/>
      <c r="GJ223" s="3297"/>
      <c r="GK223" s="3297"/>
      <c r="GL223" s="3297"/>
      <c r="GM223" s="3297"/>
      <c r="GN223" s="3297"/>
      <c r="GO223" s="3297"/>
      <c r="GP223" s="3297"/>
      <c r="GQ223" s="3297"/>
      <c r="GR223" s="3297"/>
      <c r="GS223" s="3297"/>
      <c r="GT223" s="3297"/>
      <c r="GU223" s="3297"/>
      <c r="GV223" s="3297"/>
      <c r="GW223" s="3297"/>
      <c r="GX223" s="3297"/>
      <c r="GY223" s="3297"/>
      <c r="GZ223" s="3297"/>
      <c r="HA223" s="3297"/>
      <c r="HB223" s="3297"/>
      <c r="HC223" s="3297"/>
      <c r="HD223" s="3297"/>
      <c r="HE223" s="3297"/>
      <c r="HF223" s="3297"/>
      <c r="HG223" s="3297"/>
      <c r="HH223" s="3297"/>
      <c r="HI223" s="3297"/>
      <c r="HJ223" s="3297"/>
      <c r="HK223" s="3297"/>
      <c r="HL223" s="3297"/>
      <c r="HM223" s="3297"/>
      <c r="HN223" s="3297"/>
      <c r="HO223" s="3297"/>
      <c r="HP223" s="3297"/>
      <c r="HQ223" s="3297"/>
      <c r="HR223" s="3297"/>
      <c r="HS223" s="3297"/>
      <c r="HT223" s="3297"/>
      <c r="HU223" s="3297"/>
      <c r="HV223" s="3297"/>
      <c r="HW223" s="3297"/>
      <c r="HX223" s="3297"/>
      <c r="HY223" s="3297"/>
      <c r="HZ223" s="3297"/>
      <c r="IA223" s="3297"/>
      <c r="IB223" s="3297"/>
      <c r="IC223" s="3297"/>
      <c r="ID223" s="3297"/>
      <c r="IE223" s="3297"/>
      <c r="IF223" s="3297"/>
      <c r="IG223" s="3297"/>
      <c r="IH223" s="3297"/>
      <c r="II223" s="3297"/>
      <c r="IJ223" s="3297"/>
      <c r="IK223" s="3297"/>
      <c r="IL223" s="3297"/>
      <c r="IM223" s="3297"/>
      <c r="IN223" s="3297"/>
      <c r="IO223" s="3297"/>
      <c r="IP223" s="3297"/>
      <c r="IQ223" s="3297"/>
      <c r="IR223" s="3297"/>
      <c r="IS223" s="3297"/>
      <c r="IT223" s="3297"/>
      <c r="IU223" s="3297"/>
      <c r="IV223" s="3297"/>
      <c r="IW223" s="3297"/>
      <c r="IX223" s="3297"/>
      <c r="IY223" s="3297"/>
      <c r="IZ223" s="3297"/>
      <c r="JA223" s="3297"/>
      <c r="JB223" s="3297"/>
      <c r="JC223" s="3297"/>
      <c r="JD223" s="3297"/>
      <c r="JE223" s="3297"/>
      <c r="JF223" s="3297"/>
      <c r="JG223" s="3297"/>
      <c r="JH223" s="3297"/>
      <c r="JI223" s="3297"/>
      <c r="JJ223" s="3297"/>
      <c r="JK223" s="3297"/>
      <c r="JL223" s="3297"/>
      <c r="JM223" s="3297"/>
      <c r="JN223" s="3297"/>
      <c r="JO223" s="3297"/>
      <c r="JP223" s="3297"/>
      <c r="JQ223" s="3297"/>
      <c r="JR223" s="3297"/>
      <c r="JS223" s="3297"/>
      <c r="JT223" s="3297"/>
      <c r="JU223" s="3297"/>
      <c r="JV223" s="3297"/>
      <c r="JW223" s="3297"/>
      <c r="JX223" s="3297"/>
      <c r="JY223" s="3297"/>
      <c r="JZ223" s="3297"/>
      <c r="KA223" s="3297"/>
      <c r="KB223" s="3297"/>
      <c r="KC223" s="3297"/>
      <c r="KD223" s="3297"/>
      <c r="KE223" s="3297"/>
      <c r="KF223" s="3297"/>
      <c r="KG223" s="3297"/>
      <c r="KH223" s="3297"/>
      <c r="KI223" s="3297"/>
      <c r="KJ223" s="3297"/>
      <c r="KK223" s="3297"/>
      <c r="KL223" s="3297"/>
      <c r="KM223" s="3297"/>
      <c r="KN223" s="3297"/>
      <c r="KO223" s="3297"/>
      <c r="KP223" s="3297"/>
      <c r="KQ223" s="3297"/>
      <c r="KR223" s="3297"/>
      <c r="KS223" s="3297"/>
      <c r="KT223" s="3297"/>
      <c r="KU223" s="3297"/>
      <c r="KV223" s="3297"/>
      <c r="KW223" s="3297"/>
      <c r="KX223" s="3297"/>
      <c r="KY223" s="3297"/>
      <c r="KZ223" s="3297"/>
      <c r="LA223" s="3297"/>
      <c r="LB223" s="3297"/>
      <c r="LC223" s="3297"/>
      <c r="LD223" s="3297"/>
      <c r="LE223" s="3297"/>
      <c r="LF223" s="3297"/>
      <c r="LG223" s="3297"/>
      <c r="LH223" s="3297"/>
      <c r="LI223" s="3297"/>
      <c r="LJ223" s="3297"/>
      <c r="LK223" s="3297"/>
      <c r="LL223" s="3297"/>
      <c r="LM223" s="3297"/>
      <c r="LN223" s="3297"/>
      <c r="LO223" s="3297"/>
      <c r="LP223" s="3297"/>
      <c r="LQ223" s="3297"/>
      <c r="LR223" s="3297"/>
      <c r="LS223" s="3297"/>
      <c r="LT223" s="3297"/>
      <c r="LU223" s="3297"/>
      <c r="LV223" s="3297"/>
      <c r="LW223" s="3297"/>
      <c r="LX223" s="3297"/>
      <c r="LY223" s="3297"/>
      <c r="LZ223" s="3297"/>
      <c r="MA223" s="3297"/>
      <c r="MB223" s="3297"/>
      <c r="MC223" s="3297"/>
      <c r="MD223" s="3297"/>
      <c r="ME223" s="3297"/>
      <c r="MF223" s="3297"/>
      <c r="MG223" s="3297"/>
      <c r="MH223" s="3297"/>
      <c r="MI223" s="3297"/>
      <c r="MJ223" s="3297"/>
      <c r="MK223" s="3297"/>
      <c r="ML223" s="3297"/>
      <c r="MM223" s="3297"/>
      <c r="MN223" s="3297"/>
      <c r="MO223" s="3297"/>
      <c r="MP223" s="3297"/>
      <c r="MQ223" s="3297"/>
      <c r="MR223" s="3297"/>
      <c r="MS223" s="3297"/>
      <c r="MT223" s="3297"/>
      <c r="MU223" s="3297"/>
      <c r="MV223" s="3297"/>
      <c r="MW223" s="3297"/>
      <c r="MX223" s="3297"/>
      <c r="MY223" s="3297"/>
      <c r="MZ223" s="3297"/>
      <c r="NA223" s="3297"/>
      <c r="NB223" s="3297"/>
      <c r="NC223" s="3297"/>
      <c r="ND223" s="3297"/>
      <c r="NE223" s="3297"/>
      <c r="NF223" s="3297"/>
      <c r="NG223" s="3297"/>
      <c r="NH223" s="3297"/>
      <c r="NI223" s="3297"/>
      <c r="NJ223" s="3297"/>
      <c r="NK223" s="3297"/>
      <c r="NL223" s="3297"/>
      <c r="NM223" s="3297"/>
      <c r="NN223" s="3297"/>
      <c r="NO223" s="3297"/>
      <c r="NP223" s="3297"/>
      <c r="NQ223" s="3297"/>
      <c r="NR223" s="3297"/>
      <c r="NS223" s="3297"/>
      <c r="NT223" s="3297"/>
      <c r="NU223" s="3297"/>
      <c r="NV223" s="3297"/>
      <c r="NW223" s="3297"/>
      <c r="NX223" s="3297"/>
      <c r="NY223" s="3297"/>
      <c r="NZ223" s="3297"/>
      <c r="OA223" s="3297"/>
      <c r="OB223" s="3297"/>
      <c r="OC223" s="3297"/>
      <c r="OD223" s="3297"/>
      <c r="OE223" s="3297"/>
      <c r="OF223" s="3297"/>
      <c r="OG223" s="3297"/>
      <c r="OH223" s="3297"/>
      <c r="OI223" s="3297"/>
      <c r="OJ223" s="3297"/>
      <c r="OK223" s="3297"/>
      <c r="OL223" s="3297"/>
      <c r="OM223" s="3297"/>
      <c r="ON223" s="3297"/>
      <c r="OO223" s="3297"/>
      <c r="OP223" s="3297"/>
      <c r="OQ223" s="3297"/>
      <c r="OR223" s="3297"/>
      <c r="OS223" s="3297"/>
      <c r="OT223" s="3297"/>
      <c r="OU223" s="3297"/>
      <c r="OV223" s="3297"/>
      <c r="OW223" s="3297"/>
      <c r="OX223" s="3297"/>
      <c r="OY223" s="3297"/>
      <c r="OZ223" s="3297"/>
      <c r="PA223" s="3297"/>
      <c r="PB223" s="3297"/>
      <c r="PC223" s="3297"/>
      <c r="PD223" s="3297"/>
      <c r="PE223" s="3297"/>
      <c r="PF223" s="3297"/>
      <c r="PG223" s="3297"/>
      <c r="PH223" s="3297"/>
      <c r="PI223" s="3297"/>
      <c r="PJ223" s="3297"/>
      <c r="PK223" s="3297"/>
      <c r="PL223" s="3297"/>
      <c r="PM223" s="3297"/>
      <c r="PN223" s="3297"/>
      <c r="PO223" s="3297"/>
      <c r="PP223" s="3297"/>
      <c r="PQ223" s="3297"/>
      <c r="PR223" s="3297"/>
      <c r="PS223" s="3297"/>
      <c r="PT223" s="3297"/>
      <c r="PU223" s="3297"/>
      <c r="PV223" s="3297"/>
      <c r="PW223" s="3297"/>
      <c r="PX223" s="3297"/>
      <c r="PY223" s="3297"/>
      <c r="PZ223" s="3297"/>
      <c r="QA223" s="3297"/>
      <c r="QB223" s="3297"/>
      <c r="QC223" s="3297"/>
      <c r="QD223" s="3297"/>
      <c r="QE223" s="3297"/>
      <c r="QF223" s="3297"/>
      <c r="QG223" s="3297"/>
      <c r="QH223" s="3297"/>
      <c r="QI223" s="3297"/>
      <c r="QJ223" s="3297"/>
      <c r="QK223" s="3297"/>
      <c r="QL223" s="3297"/>
      <c r="QM223" s="3297"/>
      <c r="QN223" s="3297"/>
      <c r="QO223" s="3297"/>
      <c r="QP223" s="3297"/>
      <c r="QQ223" s="3297"/>
      <c r="QR223" s="3297"/>
      <c r="QS223" s="3297"/>
      <c r="QT223" s="3297"/>
      <c r="QU223" s="3297"/>
      <c r="QV223" s="3297"/>
      <c r="QW223" s="3297"/>
      <c r="QX223" s="3297"/>
      <c r="QY223" s="3297"/>
      <c r="QZ223" s="3297"/>
      <c r="RA223" s="3297"/>
      <c r="RB223" s="3297"/>
      <c r="RC223" s="3297"/>
      <c r="RD223" s="3297"/>
      <c r="RE223" s="3297"/>
      <c r="RF223" s="3297"/>
      <c r="RG223" s="3297"/>
      <c r="RH223" s="3297"/>
      <c r="RI223" s="3297"/>
      <c r="RJ223" s="3297"/>
      <c r="RK223" s="3297"/>
      <c r="RL223" s="3297"/>
      <c r="RM223" s="3297"/>
      <c r="RN223" s="3297"/>
      <c r="RO223" s="3297"/>
      <c r="RP223" s="3297"/>
      <c r="RQ223" s="3297"/>
      <c r="RR223" s="3297"/>
      <c r="RS223" s="3297"/>
      <c r="RT223" s="3297"/>
      <c r="RU223" s="3297"/>
      <c r="RV223" s="3297"/>
      <c r="RW223" s="3297"/>
      <c r="RX223" s="3297"/>
      <c r="RY223" s="3297"/>
      <c r="RZ223" s="3297"/>
      <c r="SA223" s="3297"/>
      <c r="SB223" s="3297"/>
      <c r="SC223" s="3297"/>
      <c r="SD223" s="3297"/>
      <c r="SE223" s="3297"/>
      <c r="SF223" s="3297"/>
      <c r="SG223" s="3297"/>
      <c r="SH223" s="3297"/>
      <c r="SI223" s="3297"/>
      <c r="SJ223" s="3297"/>
      <c r="SK223" s="3297"/>
      <c r="SL223" s="3297"/>
      <c r="SM223" s="3297"/>
      <c r="SN223" s="3297"/>
      <c r="SO223" s="3297"/>
      <c r="SP223" s="3297"/>
      <c r="SQ223" s="3297"/>
      <c r="SR223" s="3297"/>
      <c r="SS223" s="3297"/>
      <c r="ST223" s="3297"/>
      <c r="SU223" s="3297"/>
      <c r="SV223" s="3297"/>
      <c r="SW223" s="3297"/>
      <c r="SX223" s="3297"/>
      <c r="SY223" s="3297"/>
      <c r="SZ223" s="3297"/>
      <c r="TA223" s="3297"/>
      <c r="TB223" s="3297"/>
      <c r="TC223" s="3297"/>
      <c r="TD223" s="3297"/>
      <c r="TE223" s="3297"/>
      <c r="TF223" s="3297"/>
      <c r="TG223" s="3297"/>
      <c r="TH223" s="3297"/>
      <c r="TI223" s="3297"/>
      <c r="TJ223" s="3297"/>
      <c r="TK223" s="3297"/>
      <c r="TL223" s="3297"/>
      <c r="TM223" s="3297"/>
      <c r="TN223" s="3297"/>
      <c r="TO223" s="3297"/>
      <c r="TP223" s="3297"/>
      <c r="TQ223" s="3297"/>
      <c r="TR223" s="3297"/>
      <c r="TS223" s="3297"/>
      <c r="TT223" s="3297"/>
      <c r="TU223" s="3297"/>
      <c r="TV223" s="3297"/>
      <c r="TW223" s="3297"/>
      <c r="TX223" s="3297"/>
      <c r="TY223" s="3297"/>
      <c r="TZ223" s="3297"/>
      <c r="UA223" s="3297"/>
      <c r="UB223" s="3297"/>
      <c r="UC223" s="3297"/>
      <c r="UD223" s="3297"/>
      <c r="UE223" s="3297"/>
      <c r="UF223" s="3297"/>
      <c r="UG223" s="3297"/>
      <c r="UH223" s="3297"/>
      <c r="UI223" s="3297"/>
      <c r="UJ223" s="3297"/>
      <c r="UK223" s="3297"/>
      <c r="UL223" s="3297"/>
      <c r="UM223" s="3297"/>
      <c r="UN223" s="3297"/>
      <c r="UO223" s="3297"/>
      <c r="UP223" s="3297"/>
      <c r="UQ223" s="3297"/>
      <c r="UR223" s="3297"/>
      <c r="US223" s="3297"/>
      <c r="UT223" s="3297"/>
      <c r="UU223" s="3297"/>
      <c r="UV223" s="3297"/>
      <c r="UW223" s="3297"/>
      <c r="UX223" s="3297"/>
      <c r="UY223" s="3297"/>
      <c r="UZ223" s="3297"/>
      <c r="VA223" s="3297"/>
      <c r="VB223" s="3297"/>
      <c r="VC223" s="3297"/>
      <c r="VD223" s="3297"/>
      <c r="VE223" s="3297"/>
      <c r="VF223" s="3297"/>
      <c r="VG223" s="3297"/>
      <c r="VH223" s="3297"/>
      <c r="VI223" s="3297"/>
      <c r="VJ223" s="3297"/>
      <c r="VK223" s="3297"/>
      <c r="VL223" s="3297"/>
      <c r="VM223" s="3297"/>
      <c r="VN223" s="3297"/>
      <c r="VO223" s="3297"/>
      <c r="VP223" s="3297"/>
      <c r="VQ223" s="3297"/>
      <c r="VR223" s="3297"/>
      <c r="VS223" s="3297"/>
      <c r="VT223" s="3297"/>
      <c r="VU223" s="3297"/>
      <c r="VV223" s="3297"/>
      <c r="VW223" s="3297"/>
      <c r="VX223" s="3297"/>
      <c r="VY223" s="3297"/>
      <c r="VZ223" s="3297"/>
      <c r="WA223" s="3297"/>
      <c r="WB223" s="3297"/>
      <c r="WC223" s="3297"/>
      <c r="WD223" s="3297"/>
      <c r="WE223" s="3297"/>
      <c r="WF223" s="3297"/>
      <c r="WG223" s="3297"/>
      <c r="WH223" s="3297"/>
      <c r="WI223" s="3297"/>
      <c r="WJ223" s="3297"/>
      <c r="WK223" s="3297"/>
      <c r="WL223" s="3297"/>
      <c r="WM223" s="3297"/>
      <c r="WN223" s="3297"/>
      <c r="WO223" s="3297"/>
      <c r="WP223" s="3297"/>
      <c r="WQ223" s="3297"/>
      <c r="WR223" s="3297"/>
      <c r="WS223" s="3297"/>
      <c r="WT223" s="3297"/>
      <c r="WU223" s="3297"/>
      <c r="WV223" s="3297"/>
      <c r="WW223" s="3297"/>
      <c r="WX223" s="3297"/>
      <c r="WY223" s="3297"/>
      <c r="WZ223" s="3297"/>
      <c r="XA223" s="3297"/>
      <c r="XB223" s="3297"/>
      <c r="XC223" s="3297"/>
      <c r="XD223" s="3297"/>
      <c r="XE223" s="3297"/>
      <c r="XF223" s="3297"/>
      <c r="XG223" s="3297"/>
      <c r="XH223" s="3297"/>
      <c r="XI223" s="3297"/>
      <c r="XJ223" s="3297"/>
      <c r="XK223" s="3297"/>
      <c r="XL223" s="3297"/>
      <c r="XM223" s="3297"/>
      <c r="XN223" s="3297"/>
      <c r="XO223" s="3297"/>
      <c r="XP223" s="3297"/>
      <c r="XQ223" s="3297"/>
      <c r="XR223" s="3297"/>
      <c r="XS223" s="3297"/>
      <c r="XT223" s="3297"/>
      <c r="XU223" s="3297"/>
      <c r="XV223" s="3297"/>
      <c r="XW223" s="3297"/>
      <c r="XX223" s="3297"/>
      <c r="XY223" s="3297"/>
      <c r="XZ223" s="3297"/>
      <c r="YA223" s="3297"/>
      <c r="YB223" s="3297"/>
      <c r="YC223" s="3297"/>
      <c r="YD223" s="3297"/>
      <c r="YE223" s="3297"/>
      <c r="YF223" s="3297"/>
      <c r="YG223" s="3297"/>
      <c r="YH223" s="3297"/>
      <c r="YI223" s="3297"/>
      <c r="YJ223" s="3297"/>
      <c r="YK223" s="3297"/>
      <c r="YL223" s="3297"/>
      <c r="YM223" s="3297"/>
      <c r="YN223" s="3297"/>
      <c r="YO223" s="3297"/>
      <c r="YP223" s="3297"/>
      <c r="YQ223" s="3297"/>
      <c r="YR223" s="3297"/>
      <c r="YS223" s="3297"/>
      <c r="YT223" s="3297"/>
      <c r="YU223" s="3297"/>
      <c r="YV223" s="3297"/>
      <c r="YW223" s="3297"/>
      <c r="YX223" s="3297"/>
      <c r="YY223" s="3297"/>
      <c r="YZ223" s="3297"/>
      <c r="ZA223" s="3297"/>
      <c r="ZB223" s="3297"/>
      <c r="ZC223" s="3297"/>
      <c r="ZD223" s="3297"/>
      <c r="ZE223" s="3297"/>
      <c r="ZF223" s="3297"/>
      <c r="ZG223" s="3297"/>
      <c r="ZH223" s="3297"/>
      <c r="ZI223" s="3297"/>
      <c r="ZJ223" s="3297"/>
      <c r="ZK223" s="3297"/>
      <c r="ZL223" s="3297"/>
      <c r="ZM223" s="3297"/>
      <c r="ZN223" s="3297"/>
      <c r="ZO223" s="3297"/>
      <c r="ZP223" s="3297"/>
      <c r="ZQ223" s="3297"/>
      <c r="ZR223" s="3297"/>
      <c r="ZS223" s="3297"/>
      <c r="ZT223" s="3297"/>
      <c r="ZU223" s="3297"/>
      <c r="ZV223" s="3297"/>
      <c r="ZW223" s="3297"/>
      <c r="ZX223" s="3297"/>
      <c r="ZY223" s="3297"/>
      <c r="ZZ223" s="3297"/>
      <c r="AAA223" s="3297"/>
      <c r="AAB223" s="3297"/>
      <c r="AAC223" s="3297"/>
      <c r="AAD223" s="3297"/>
      <c r="AAE223" s="3297"/>
      <c r="AAF223" s="3297"/>
      <c r="AAG223" s="3297"/>
      <c r="AAH223" s="3297"/>
      <c r="AAI223" s="3297"/>
      <c r="AAJ223" s="3297"/>
      <c r="AAK223" s="3297"/>
      <c r="AAL223" s="3297"/>
      <c r="AAM223" s="3297"/>
      <c r="AAN223" s="3297"/>
      <c r="AAO223" s="3297"/>
      <c r="AAP223" s="3297"/>
      <c r="AAQ223" s="3297"/>
      <c r="AAR223" s="3297"/>
      <c r="AAS223" s="3297"/>
      <c r="AAT223" s="3297"/>
      <c r="AAU223" s="3297"/>
      <c r="AAV223" s="3297"/>
      <c r="AAW223" s="3297"/>
      <c r="AAX223" s="3297"/>
      <c r="AAY223" s="3297"/>
      <c r="AAZ223" s="3297"/>
      <c r="ABA223" s="3297"/>
      <c r="ABB223" s="3297"/>
      <c r="ABC223" s="3297"/>
      <c r="ABD223" s="3297"/>
      <c r="ABE223" s="3297"/>
      <c r="ABF223" s="3297"/>
      <c r="ABG223" s="3297"/>
      <c r="ABH223" s="3297"/>
      <c r="ABI223" s="3297"/>
      <c r="ABJ223" s="3297"/>
      <c r="ABK223" s="3297"/>
      <c r="ABL223" s="3297"/>
      <c r="ABM223" s="3297"/>
      <c r="ABN223" s="3297"/>
      <c r="ABO223" s="3297"/>
      <c r="ABP223" s="3297"/>
      <c r="ABQ223" s="3297"/>
      <c r="ABR223" s="3297"/>
      <c r="ABS223" s="3297"/>
      <c r="ABT223" s="3297"/>
      <c r="ABU223" s="3297"/>
      <c r="ABV223" s="3297"/>
      <c r="ABW223" s="3297"/>
      <c r="ABX223" s="3297"/>
      <c r="ABY223" s="3297"/>
      <c r="ABZ223" s="3297"/>
      <c r="ACA223" s="3297"/>
      <c r="ACB223" s="3297"/>
      <c r="ACC223" s="3297"/>
      <c r="ACD223" s="3297"/>
      <c r="ACE223" s="3297"/>
      <c r="ACF223" s="3297"/>
      <c r="ACG223" s="3297"/>
      <c r="ACH223" s="3297"/>
      <c r="ACI223" s="3297"/>
      <c r="ACJ223" s="3297"/>
      <c r="ACK223" s="3297"/>
      <c r="ACL223" s="3297"/>
      <c r="ACM223" s="3297"/>
      <c r="ACN223" s="3297"/>
      <c r="ACO223" s="3297"/>
      <c r="ACP223" s="3297"/>
      <c r="ACQ223" s="3297"/>
      <c r="ACR223" s="3297"/>
      <c r="ACS223" s="3297"/>
      <c r="ACT223" s="3297"/>
      <c r="ACU223" s="3297"/>
      <c r="ACV223" s="3297"/>
      <c r="ACW223" s="3297"/>
      <c r="ACX223" s="3297"/>
      <c r="ACY223" s="3297"/>
      <c r="ACZ223" s="3297"/>
      <c r="ADA223" s="3297"/>
      <c r="ADB223" s="3297"/>
      <c r="ADC223" s="3297"/>
      <c r="ADD223" s="3297"/>
      <c r="ADE223" s="3297"/>
      <c r="ADF223" s="3297"/>
      <c r="ADG223" s="3297"/>
      <c r="ADH223" s="3297"/>
      <c r="ADI223" s="3297"/>
      <c r="ADJ223" s="3297"/>
      <c r="ADK223" s="3297"/>
      <c r="ADL223" s="3297"/>
      <c r="ADM223" s="3297"/>
      <c r="ADN223" s="3297"/>
      <c r="ADO223" s="3297"/>
      <c r="ADP223" s="3297"/>
      <c r="ADQ223" s="3297"/>
      <c r="ADR223" s="3297"/>
      <c r="ADS223" s="3297"/>
      <c r="ADT223" s="3297"/>
      <c r="ADU223" s="3297"/>
      <c r="ADV223" s="3297"/>
      <c r="ADW223" s="3297"/>
      <c r="ADX223" s="3297"/>
      <c r="ADY223" s="3297"/>
      <c r="ADZ223" s="3297"/>
      <c r="AEA223" s="3297"/>
      <c r="AEB223" s="3297"/>
      <c r="AEC223" s="3297"/>
      <c r="AED223" s="3297"/>
      <c r="AEE223" s="3297"/>
      <c r="AEF223" s="3297"/>
      <c r="AEG223" s="3297"/>
      <c r="AEH223" s="3297"/>
      <c r="AEI223" s="3297"/>
      <c r="AEJ223" s="3297"/>
      <c r="AEK223" s="3297"/>
      <c r="AEL223" s="3297"/>
      <c r="AEM223" s="3297"/>
      <c r="AEN223" s="3297"/>
      <c r="AEO223" s="3297"/>
      <c r="AEP223" s="3297"/>
      <c r="AEQ223" s="3297"/>
      <c r="AER223" s="3297"/>
      <c r="AES223" s="3297"/>
      <c r="AET223" s="3297"/>
      <c r="AEU223" s="3297"/>
      <c r="AEV223" s="3297"/>
      <c r="AEW223" s="3297"/>
      <c r="AEX223" s="3297"/>
      <c r="AEY223" s="3297"/>
      <c r="AEZ223" s="3297"/>
      <c r="AFA223" s="3297"/>
      <c r="AFB223" s="3297"/>
      <c r="AFC223" s="3297"/>
      <c r="AFD223" s="3297"/>
      <c r="AFE223" s="3297"/>
      <c r="AFF223" s="3297"/>
      <c r="AFG223" s="3297"/>
      <c r="AFH223" s="3297"/>
      <c r="AFI223" s="3297"/>
      <c r="AFJ223" s="3297"/>
      <c r="AFK223" s="3297"/>
      <c r="AFL223" s="3297"/>
      <c r="AFM223" s="3297"/>
      <c r="AFN223" s="3297"/>
      <c r="AFO223" s="3297"/>
      <c r="AFP223" s="3297"/>
      <c r="AFQ223" s="3297"/>
      <c r="AFR223" s="3297"/>
      <c r="AFS223" s="3297"/>
      <c r="AFT223" s="3297"/>
      <c r="AFU223" s="3297"/>
      <c r="AFV223" s="3297"/>
      <c r="AFW223" s="3297"/>
      <c r="AFX223" s="3297"/>
      <c r="AFY223" s="3297"/>
      <c r="AFZ223" s="3297"/>
      <c r="AGA223" s="3297"/>
      <c r="AGB223" s="3297"/>
      <c r="AGC223" s="3297"/>
      <c r="AGD223" s="3297"/>
      <c r="AGE223" s="3297"/>
      <c r="AGF223" s="3297"/>
      <c r="AGG223" s="3297"/>
      <c r="AGH223" s="3297"/>
      <c r="AGI223" s="3297"/>
      <c r="AGJ223" s="3297"/>
      <c r="AGK223" s="3297"/>
      <c r="AGL223" s="3297"/>
      <c r="AGM223" s="3297"/>
      <c r="AGN223" s="3297"/>
      <c r="AGO223" s="3297"/>
      <c r="AGP223" s="3297"/>
      <c r="AGQ223" s="3297"/>
      <c r="AGR223" s="3297"/>
      <c r="AGS223" s="3297"/>
      <c r="AGT223" s="3297"/>
      <c r="AGU223" s="3297"/>
      <c r="AGV223" s="3297"/>
      <c r="AGW223" s="3297"/>
      <c r="AGX223" s="3297"/>
      <c r="AGY223" s="3297"/>
      <c r="AGZ223" s="3297"/>
      <c r="AHA223" s="3297"/>
      <c r="AHB223" s="3297"/>
      <c r="AHC223" s="3297"/>
      <c r="AHD223" s="3297"/>
      <c r="AHE223" s="3297"/>
      <c r="AHF223" s="3297"/>
      <c r="AHG223" s="3297"/>
      <c r="AHH223" s="3297"/>
      <c r="AHI223" s="3297"/>
      <c r="AHJ223" s="3297"/>
      <c r="AHK223" s="3297"/>
      <c r="AHL223" s="3297"/>
      <c r="AHM223" s="3297"/>
      <c r="AHN223" s="3297"/>
      <c r="AHO223" s="3297"/>
      <c r="AHP223" s="3297"/>
      <c r="AHQ223" s="3297"/>
      <c r="AHR223" s="3297"/>
      <c r="AHS223" s="3297"/>
      <c r="AHT223" s="3297"/>
      <c r="AHU223" s="3297"/>
      <c r="AHV223" s="3297"/>
      <c r="AHW223" s="3297"/>
      <c r="AHX223" s="3297"/>
      <c r="AHY223" s="3297"/>
      <c r="AHZ223" s="3297"/>
      <c r="AIA223" s="3297"/>
      <c r="AIB223" s="3297"/>
      <c r="AIC223" s="3297"/>
      <c r="AID223" s="3297"/>
      <c r="AIE223" s="3297"/>
      <c r="AIF223" s="3297"/>
      <c r="AIG223" s="3297"/>
      <c r="AIH223" s="3297"/>
      <c r="AII223" s="3297"/>
      <c r="AIJ223" s="3297"/>
      <c r="AIK223" s="3297"/>
      <c r="AIL223" s="3297"/>
      <c r="AIM223" s="3297"/>
      <c r="AIN223" s="3297"/>
      <c r="AIO223" s="3297"/>
      <c r="AIP223" s="3297"/>
      <c r="AIQ223" s="3297"/>
      <c r="AIR223" s="3297"/>
      <c r="AIS223" s="3297"/>
      <c r="AIT223" s="3297"/>
      <c r="AIU223" s="3297"/>
      <c r="AIV223" s="3297"/>
      <c r="AIW223" s="3297"/>
      <c r="AIX223" s="3297"/>
      <c r="AIY223" s="3297"/>
      <c r="AIZ223" s="3297"/>
      <c r="AJA223" s="3297"/>
      <c r="AJB223" s="3297"/>
      <c r="AJC223" s="3297"/>
      <c r="AJD223" s="3297"/>
      <c r="AJE223" s="3297"/>
      <c r="AJF223" s="3297"/>
      <c r="AJG223" s="3297"/>
      <c r="AJH223" s="3297"/>
      <c r="AJI223" s="3297"/>
      <c r="AJJ223" s="3297"/>
      <c r="AJK223" s="3297"/>
      <c r="AJL223" s="3297"/>
      <c r="AJM223" s="3297"/>
      <c r="AJN223" s="3297"/>
      <c r="AJO223" s="3297"/>
      <c r="AJP223" s="3297"/>
      <c r="AJQ223" s="3297"/>
      <c r="AJR223" s="3297"/>
      <c r="AJS223" s="3297"/>
      <c r="AJT223" s="3297"/>
      <c r="AJU223" s="3297"/>
      <c r="AJV223" s="3297"/>
      <c r="AJW223" s="3297"/>
      <c r="AJX223" s="3297"/>
      <c r="AJY223" s="3297"/>
      <c r="AJZ223" s="3297"/>
      <c r="AKA223" s="3297"/>
      <c r="AKB223" s="3297"/>
      <c r="AKC223" s="3297"/>
      <c r="AKD223" s="3297"/>
      <c r="AKE223" s="3297"/>
      <c r="AKF223" s="3297"/>
      <c r="AKG223" s="3297"/>
      <c r="AKH223" s="3297"/>
      <c r="AKI223" s="3297"/>
      <c r="AKJ223" s="3297"/>
      <c r="AKK223" s="3297"/>
      <c r="AKL223" s="3297"/>
      <c r="AKM223" s="3297"/>
      <c r="AKN223" s="3297"/>
      <c r="AKO223" s="3297"/>
      <c r="AKP223" s="3297"/>
      <c r="AKQ223" s="3297"/>
      <c r="AKR223" s="3297"/>
      <c r="AKS223" s="3297"/>
      <c r="AKT223" s="3297"/>
      <c r="AKU223" s="3297"/>
      <c r="AKV223" s="3297"/>
      <c r="AKW223" s="3297"/>
      <c r="AKX223" s="3297"/>
      <c r="AKY223" s="3297"/>
      <c r="AKZ223" s="3297"/>
      <c r="ALA223" s="3297"/>
      <c r="ALB223" s="3297"/>
      <c r="ALC223" s="3297"/>
      <c r="ALD223" s="3297"/>
      <c r="ALE223" s="3297"/>
      <c r="ALF223" s="3297"/>
      <c r="ALG223" s="3297"/>
      <c r="ALH223" s="3297"/>
      <c r="ALI223" s="3297"/>
      <c r="ALJ223" s="3297"/>
      <c r="ALK223" s="3297"/>
      <c r="ALL223" s="3297"/>
      <c r="ALM223" s="3297"/>
      <c r="ALN223" s="3297"/>
      <c r="ALO223" s="3297"/>
      <c r="ALP223" s="3297"/>
      <c r="ALQ223" s="3297"/>
      <c r="ALR223" s="3297"/>
      <c r="ALS223" s="3297"/>
      <c r="ALT223" s="3297"/>
      <c r="ALU223" s="3297"/>
      <c r="ALV223" s="3297"/>
      <c r="ALW223" s="3297"/>
      <c r="ALX223" s="3297"/>
      <c r="ALY223" s="3297"/>
      <c r="ALZ223" s="3297"/>
      <c r="AMA223" s="3297"/>
      <c r="AMB223" s="3297"/>
      <c r="AMC223" s="3297"/>
      <c r="AMD223" s="3297"/>
      <c r="AME223" s="3297"/>
      <c r="AMF223" s="3297"/>
      <c r="AMG223" s="3297"/>
      <c r="AMH223" s="3297"/>
      <c r="AMI223" s="3297"/>
      <c r="AMJ223" s="3297"/>
      <c r="AMK223" s="3297"/>
      <c r="AML223" s="3297"/>
      <c r="AMM223" s="3297"/>
      <c r="AMN223" s="3297"/>
      <c r="AMO223" s="3297"/>
      <c r="AMP223" s="3297"/>
      <c r="AMQ223" s="3297"/>
      <c r="AMR223" s="3297"/>
      <c r="AMS223" s="3297"/>
      <c r="AMT223" s="3297"/>
      <c r="AMU223" s="3297"/>
      <c r="AMV223" s="3297"/>
      <c r="AMW223" s="3297"/>
      <c r="AMX223" s="3297"/>
      <c r="AMY223" s="3297"/>
      <c r="AMZ223" s="3297"/>
      <c r="ANA223" s="3297"/>
      <c r="ANB223" s="3297"/>
      <c r="ANC223" s="3297"/>
      <c r="AND223" s="3297"/>
      <c r="ANE223" s="3297"/>
      <c r="ANF223" s="3297"/>
      <c r="ANG223" s="3297"/>
      <c r="ANH223" s="3297"/>
      <c r="ANI223" s="3297"/>
      <c r="ANJ223" s="3297"/>
      <c r="ANK223" s="3297"/>
      <c r="ANL223" s="3297"/>
      <c r="ANM223" s="3297"/>
      <c r="ANN223" s="3297"/>
      <c r="ANO223" s="3297"/>
      <c r="ANP223" s="3297"/>
      <c r="ANQ223" s="3297"/>
      <c r="ANR223" s="3297"/>
      <c r="ANS223" s="3297"/>
      <c r="ANT223" s="3297"/>
      <c r="ANU223" s="3297"/>
      <c r="ANV223" s="3297"/>
      <c r="ANW223" s="3297"/>
      <c r="ANX223" s="3297"/>
      <c r="ANY223" s="3297"/>
      <c r="ANZ223" s="3297"/>
      <c r="AOA223" s="3297"/>
      <c r="AOB223" s="3297"/>
      <c r="AOC223" s="3297"/>
      <c r="AOD223" s="3297"/>
      <c r="AOE223" s="3297"/>
      <c r="AOF223" s="3297"/>
      <c r="AOG223" s="3297"/>
      <c r="AOH223" s="3297"/>
      <c r="AOI223" s="3297"/>
      <c r="AOJ223" s="3297"/>
      <c r="AOK223" s="3297"/>
      <c r="AOL223" s="3297"/>
      <c r="AOM223" s="3297"/>
      <c r="AON223" s="3297"/>
      <c r="AOO223" s="3297"/>
      <c r="AOP223" s="3297"/>
      <c r="AOQ223" s="3297"/>
      <c r="AOR223" s="3297"/>
      <c r="AOS223" s="3297"/>
      <c r="AOT223" s="3297"/>
      <c r="AOU223" s="3297"/>
      <c r="AOV223" s="3297"/>
      <c r="AOW223" s="3297"/>
      <c r="AOX223" s="3297"/>
      <c r="AOY223" s="3297"/>
      <c r="AOZ223" s="3297"/>
      <c r="APA223" s="3297"/>
      <c r="APB223" s="3297"/>
      <c r="APC223" s="3297"/>
      <c r="APD223" s="3297"/>
      <c r="APE223" s="3297"/>
      <c r="APF223" s="3297"/>
      <c r="APG223" s="3297"/>
      <c r="APH223" s="3297"/>
      <c r="API223" s="3297"/>
      <c r="APJ223" s="3297"/>
      <c r="APK223" s="3297"/>
      <c r="APL223" s="3297"/>
      <c r="APM223" s="3297"/>
      <c r="APN223" s="3297"/>
      <c r="APO223" s="3297"/>
      <c r="APP223" s="3297"/>
      <c r="APQ223" s="3297"/>
      <c r="APR223" s="3297"/>
      <c r="APS223" s="3297"/>
      <c r="APT223" s="3297"/>
      <c r="APU223" s="3297"/>
      <c r="APV223" s="3297"/>
      <c r="APW223" s="3297"/>
      <c r="APX223" s="3297"/>
      <c r="APY223" s="3297"/>
      <c r="APZ223" s="3297"/>
      <c r="AQA223" s="3297"/>
      <c r="AQB223" s="3297"/>
      <c r="AQC223" s="3297"/>
      <c r="AQD223" s="3297"/>
      <c r="AQE223" s="3297"/>
      <c r="AQF223" s="3297"/>
      <c r="AQG223" s="3297"/>
      <c r="AQH223" s="3297"/>
      <c r="AQI223" s="3297"/>
      <c r="AQJ223" s="3297"/>
      <c r="AQK223" s="3297"/>
      <c r="AQL223" s="3297"/>
      <c r="AQM223" s="3297"/>
      <c r="AQN223" s="3297"/>
      <c r="AQO223" s="3297"/>
      <c r="AQP223" s="3297"/>
      <c r="AQQ223" s="3297"/>
      <c r="AQR223" s="3297"/>
      <c r="AQS223" s="3297"/>
      <c r="AQT223" s="3297"/>
      <c r="AQU223" s="3297"/>
      <c r="AQV223" s="3297"/>
      <c r="AQW223" s="3297"/>
      <c r="AQX223" s="3297"/>
      <c r="AQY223" s="3297"/>
      <c r="AQZ223" s="3297"/>
      <c r="ARA223" s="3297"/>
      <c r="ARB223" s="3297"/>
      <c r="ARC223" s="3297"/>
      <c r="ARD223" s="3297"/>
      <c r="ARE223" s="3297"/>
      <c r="ARF223" s="3297"/>
      <c r="ARG223" s="3297"/>
      <c r="ARH223" s="3297"/>
      <c r="ARI223" s="3297"/>
      <c r="ARJ223" s="3297"/>
      <c r="ARK223" s="3297"/>
      <c r="ARL223" s="3297"/>
      <c r="ARM223" s="3297"/>
      <c r="ARN223" s="3297"/>
      <c r="ARO223" s="3297"/>
      <c r="ARP223" s="3297"/>
      <c r="ARQ223" s="3297"/>
      <c r="ARR223" s="3297"/>
      <c r="ARS223" s="3297"/>
      <c r="ART223" s="3297"/>
      <c r="ARU223" s="3297"/>
      <c r="ARV223" s="3297"/>
      <c r="ARW223" s="3297"/>
      <c r="ARX223" s="3297"/>
      <c r="ARY223" s="3297"/>
      <c r="ARZ223" s="3297"/>
      <c r="ASA223" s="3297"/>
      <c r="ASB223" s="3297"/>
      <c r="ASC223" s="3297"/>
      <c r="ASD223" s="3297"/>
      <c r="ASE223" s="3297"/>
      <c r="ASF223" s="3297"/>
      <c r="ASG223" s="3297"/>
      <c r="ASH223" s="3297"/>
      <c r="ASI223" s="3297"/>
      <c r="ASJ223" s="3297"/>
      <c r="ASK223" s="3297"/>
      <c r="ASL223" s="3297"/>
      <c r="ASM223" s="3297"/>
      <c r="ASN223" s="3297"/>
      <c r="ASO223" s="3297"/>
      <c r="ASP223" s="3297"/>
      <c r="ASQ223" s="3297"/>
      <c r="ASR223" s="3297"/>
      <c r="ASS223" s="3297"/>
      <c r="AST223" s="3297"/>
      <c r="ASU223" s="3297"/>
      <c r="ASV223" s="3297"/>
      <c r="ASW223" s="3297"/>
      <c r="ASX223" s="3297"/>
      <c r="ASY223" s="3297"/>
      <c r="ASZ223" s="3297"/>
      <c r="ATA223" s="3297"/>
      <c r="ATB223" s="3297"/>
      <c r="ATC223" s="3297"/>
      <c r="ATD223" s="3297"/>
      <c r="ATE223" s="3297"/>
      <c r="ATF223" s="3297"/>
      <c r="ATG223" s="3297"/>
      <c r="ATH223" s="3297"/>
      <c r="ATI223" s="3297"/>
      <c r="ATJ223" s="3297"/>
      <c r="ATK223" s="3297"/>
      <c r="ATL223" s="3297"/>
      <c r="ATM223" s="3297"/>
      <c r="ATN223" s="3297"/>
      <c r="ATO223" s="3297"/>
      <c r="ATP223" s="3297"/>
      <c r="ATQ223" s="3297"/>
      <c r="ATR223" s="3297"/>
      <c r="ATS223" s="3297"/>
      <c r="ATT223" s="3297"/>
      <c r="ATU223" s="3297"/>
      <c r="ATV223" s="3297"/>
      <c r="ATW223" s="3297"/>
      <c r="ATX223" s="3297"/>
      <c r="ATY223" s="3297"/>
      <c r="ATZ223" s="3297"/>
      <c r="AUA223" s="3297"/>
      <c r="AUB223" s="3297"/>
      <c r="AUC223" s="3297"/>
      <c r="AUD223" s="3297"/>
      <c r="AUE223" s="3297"/>
      <c r="AUF223" s="3297"/>
      <c r="AUG223" s="3297"/>
      <c r="AUH223" s="3297"/>
      <c r="AUI223" s="3297"/>
      <c r="AUJ223" s="3297"/>
      <c r="AUK223" s="3297"/>
      <c r="AUL223" s="3297"/>
      <c r="AUM223" s="3297"/>
      <c r="AUN223" s="3297"/>
      <c r="AUO223" s="3297"/>
      <c r="AUP223" s="3297"/>
      <c r="AUQ223" s="3297"/>
      <c r="AUR223" s="3297"/>
      <c r="AUS223" s="3297"/>
      <c r="AUT223" s="3297"/>
      <c r="AUU223" s="3297"/>
      <c r="AUV223" s="3297"/>
      <c r="AUW223" s="3297"/>
      <c r="AUX223" s="3297"/>
      <c r="AUY223" s="3297"/>
      <c r="AUZ223" s="3297"/>
      <c r="AVA223" s="3297"/>
      <c r="AVB223" s="3297"/>
      <c r="AVC223" s="3297"/>
      <c r="AVD223" s="3297"/>
      <c r="AVE223" s="3297"/>
      <c r="AVF223" s="3297"/>
      <c r="AVG223" s="3297"/>
      <c r="AVH223" s="3297"/>
      <c r="AVI223" s="3297"/>
      <c r="AVJ223" s="3297"/>
      <c r="AVK223" s="3297"/>
      <c r="AVL223" s="3297"/>
      <c r="AVM223" s="3297"/>
      <c r="AVN223" s="3297"/>
      <c r="AVO223" s="3297"/>
      <c r="AVP223" s="3297"/>
      <c r="AVQ223" s="3297"/>
      <c r="AVR223" s="3297"/>
      <c r="AVS223" s="3297"/>
      <c r="AVT223" s="3297"/>
      <c r="AVU223" s="3297"/>
      <c r="AVV223" s="3297"/>
      <c r="AVW223" s="3297"/>
      <c r="AVX223" s="3297"/>
      <c r="AVY223" s="3297"/>
      <c r="AVZ223" s="3297"/>
      <c r="AWA223" s="3297"/>
      <c r="AWB223" s="3297"/>
      <c r="AWC223" s="3297"/>
      <c r="AWD223" s="3297"/>
      <c r="AWE223" s="3297"/>
      <c r="AWF223" s="3297"/>
      <c r="AWG223" s="3297"/>
      <c r="AWH223" s="3297"/>
      <c r="AWI223" s="3297"/>
      <c r="AWJ223" s="3297"/>
      <c r="AWK223" s="3297"/>
      <c r="AWL223" s="3297"/>
      <c r="AWM223" s="3297"/>
      <c r="AWN223" s="3297"/>
      <c r="AWO223" s="3297"/>
      <c r="AWP223" s="3297"/>
      <c r="AWQ223" s="3297"/>
      <c r="AWR223" s="3297"/>
      <c r="AWS223" s="3297"/>
      <c r="AWT223" s="3297"/>
      <c r="AWU223" s="3297"/>
      <c r="AWV223" s="3297"/>
      <c r="AWW223" s="3297"/>
      <c r="AWX223" s="3297"/>
      <c r="AWY223" s="3297"/>
      <c r="AWZ223" s="3297"/>
      <c r="AXA223" s="3297"/>
      <c r="AXB223" s="3297"/>
      <c r="AXC223" s="3297"/>
      <c r="AXD223" s="3297"/>
      <c r="AXE223" s="3297"/>
      <c r="AXF223" s="3297"/>
      <c r="AXG223" s="3297"/>
      <c r="AXH223" s="3297"/>
      <c r="AXI223" s="3297"/>
      <c r="AXJ223" s="3297"/>
    </row>
    <row r="224" spans="1:1310" s="3298" customFormat="1" ht="23.25" customHeight="1">
      <c r="A224" s="468"/>
      <c r="B224" s="6645" t="s">
        <v>3086</v>
      </c>
      <c r="C224" s="6645"/>
      <c r="D224" s="6645"/>
      <c r="E224" s="6645"/>
      <c r="F224" s="3300"/>
      <c r="G224" s="6645" t="s">
        <v>3087</v>
      </c>
      <c r="H224" s="6645"/>
      <c r="I224" s="6645"/>
      <c r="J224" s="3300"/>
      <c r="K224" s="6645" t="s">
        <v>3088</v>
      </c>
      <c r="L224" s="6645"/>
      <c r="M224" s="6645"/>
      <c r="N224" s="3300"/>
      <c r="O224" s="6645" t="s">
        <v>3089</v>
      </c>
      <c r="P224" s="6645"/>
      <c r="Q224" s="3300"/>
      <c r="R224" s="443"/>
      <c r="S224" s="443"/>
      <c r="T224" s="443"/>
      <c r="U224" s="443"/>
      <c r="V224" s="443"/>
      <c r="W224" s="443"/>
      <c r="X224" s="443"/>
      <c r="Y224" s="443"/>
      <c r="Z224" s="443"/>
      <c r="AA224" s="443"/>
      <c r="AB224" s="443"/>
      <c r="AC224" s="443"/>
      <c r="AD224" s="3297"/>
      <c r="AE224" s="3297"/>
      <c r="AF224" s="3297"/>
      <c r="AG224" s="3297"/>
      <c r="AH224" s="3297"/>
      <c r="AI224" s="3297"/>
      <c r="AJ224" s="3297"/>
      <c r="AK224" s="3297"/>
      <c r="AL224" s="3297"/>
      <c r="AM224" s="3297"/>
      <c r="AN224" s="3297"/>
      <c r="AO224" s="3297"/>
      <c r="AP224" s="3297"/>
      <c r="AQ224" s="3297"/>
      <c r="AR224" s="3297"/>
      <c r="AS224" s="3297"/>
      <c r="AT224" s="3297"/>
      <c r="AU224" s="3297"/>
      <c r="AV224" s="3297"/>
      <c r="AW224" s="3297"/>
      <c r="AX224" s="3297"/>
      <c r="AY224" s="3297"/>
      <c r="AZ224" s="3297"/>
      <c r="BA224" s="3297"/>
      <c r="BB224" s="3297"/>
      <c r="BC224" s="3297"/>
      <c r="BD224" s="3297"/>
      <c r="BE224" s="3297"/>
      <c r="BF224" s="3297"/>
      <c r="BG224" s="3297"/>
      <c r="BH224" s="3297"/>
      <c r="BI224" s="3297"/>
      <c r="BJ224" s="3297"/>
      <c r="BK224" s="3297"/>
      <c r="BL224" s="3297"/>
      <c r="BM224" s="3297"/>
      <c r="BN224" s="3297"/>
      <c r="BO224" s="3297"/>
      <c r="BP224" s="3297"/>
      <c r="BQ224" s="3297"/>
      <c r="BR224" s="3297"/>
      <c r="BS224" s="3297"/>
      <c r="BT224" s="3297"/>
      <c r="BU224" s="3297"/>
      <c r="BV224" s="3297"/>
      <c r="BW224" s="3297"/>
      <c r="BX224" s="3297"/>
      <c r="BY224" s="3297"/>
      <c r="BZ224" s="3297"/>
      <c r="CA224" s="3297"/>
      <c r="CB224" s="3297"/>
      <c r="CC224" s="3297"/>
      <c r="CD224" s="3297"/>
      <c r="CE224" s="3297"/>
      <c r="CF224" s="3297"/>
      <c r="CG224" s="3297"/>
      <c r="CH224" s="3297"/>
      <c r="CI224" s="3297"/>
      <c r="CJ224" s="3297"/>
      <c r="CK224" s="3297"/>
      <c r="CL224" s="3297"/>
      <c r="CM224" s="3297"/>
      <c r="CN224" s="3297"/>
      <c r="CO224" s="3297"/>
      <c r="CP224" s="3297"/>
      <c r="CQ224" s="3297"/>
      <c r="CR224" s="3297"/>
      <c r="CS224" s="3297"/>
      <c r="CT224" s="3297"/>
      <c r="CU224" s="3297"/>
      <c r="CV224" s="3297"/>
      <c r="CW224" s="3297"/>
      <c r="CX224" s="3297"/>
      <c r="CY224" s="3297"/>
      <c r="CZ224" s="3297"/>
      <c r="DA224" s="3297"/>
      <c r="DB224" s="3297"/>
      <c r="DC224" s="3297"/>
      <c r="DD224" s="3297"/>
      <c r="DE224" s="3297"/>
      <c r="DF224" s="3297"/>
      <c r="DG224" s="3297"/>
      <c r="DH224" s="3297"/>
      <c r="DI224" s="3297"/>
      <c r="DJ224" s="3297"/>
      <c r="DK224" s="3297"/>
      <c r="DL224" s="3297"/>
      <c r="DM224" s="3297"/>
      <c r="DN224" s="3297"/>
      <c r="DO224" s="3297"/>
      <c r="DP224" s="3297"/>
      <c r="DQ224" s="3297"/>
      <c r="DR224" s="3297"/>
      <c r="DS224" s="3297"/>
      <c r="DT224" s="3297"/>
      <c r="DU224" s="3297"/>
      <c r="DV224" s="3297"/>
      <c r="DW224" s="3297"/>
      <c r="DX224" s="3297"/>
      <c r="DY224" s="3297"/>
      <c r="DZ224" s="3297"/>
      <c r="EA224" s="3297"/>
      <c r="EB224" s="3297"/>
      <c r="EC224" s="3297"/>
      <c r="ED224" s="3297"/>
      <c r="EE224" s="3297"/>
      <c r="EF224" s="3297"/>
      <c r="EG224" s="3297"/>
      <c r="EH224" s="3297"/>
      <c r="EI224" s="3297"/>
      <c r="EJ224" s="3297"/>
      <c r="EK224" s="3297"/>
      <c r="EL224" s="3297"/>
      <c r="EM224" s="3297"/>
      <c r="EN224" s="3297"/>
      <c r="EO224" s="3297"/>
      <c r="EP224" s="3297"/>
      <c r="EQ224" s="3297"/>
      <c r="ER224" s="3297"/>
      <c r="ES224" s="3297"/>
      <c r="ET224" s="3297"/>
      <c r="EU224" s="3297"/>
      <c r="EV224" s="3297"/>
      <c r="EW224" s="3297"/>
      <c r="EX224" s="3297"/>
      <c r="EY224" s="3297"/>
      <c r="EZ224" s="3297"/>
      <c r="FA224" s="3297"/>
      <c r="FB224" s="3297"/>
      <c r="FC224" s="3297"/>
      <c r="FD224" s="3297"/>
      <c r="FE224" s="3297"/>
      <c r="FF224" s="3297"/>
      <c r="FG224" s="3297"/>
      <c r="FH224" s="3297"/>
      <c r="FI224" s="3297"/>
      <c r="FJ224" s="3297"/>
      <c r="FK224" s="3297"/>
      <c r="FL224" s="3297"/>
      <c r="FM224" s="3297"/>
      <c r="FN224" s="3297"/>
      <c r="FO224" s="3297"/>
      <c r="FP224" s="3297"/>
      <c r="FQ224" s="3297"/>
      <c r="FR224" s="3297"/>
      <c r="FS224" s="3297"/>
      <c r="FT224" s="3297"/>
      <c r="FU224" s="3297"/>
      <c r="FV224" s="3297"/>
      <c r="FW224" s="3297"/>
      <c r="FX224" s="3297"/>
      <c r="FY224" s="3297"/>
      <c r="FZ224" s="3297"/>
      <c r="GA224" s="3297"/>
      <c r="GB224" s="3297"/>
      <c r="GC224" s="3297"/>
      <c r="GD224" s="3297"/>
      <c r="GE224" s="3297"/>
      <c r="GF224" s="3297"/>
      <c r="GG224" s="3297"/>
      <c r="GH224" s="3297"/>
      <c r="GI224" s="3297"/>
      <c r="GJ224" s="3297"/>
      <c r="GK224" s="3297"/>
      <c r="GL224" s="3297"/>
      <c r="GM224" s="3297"/>
      <c r="GN224" s="3297"/>
      <c r="GO224" s="3297"/>
      <c r="GP224" s="3297"/>
      <c r="GQ224" s="3297"/>
      <c r="GR224" s="3297"/>
      <c r="GS224" s="3297"/>
      <c r="GT224" s="3297"/>
      <c r="GU224" s="3297"/>
      <c r="GV224" s="3297"/>
      <c r="GW224" s="3297"/>
      <c r="GX224" s="3297"/>
      <c r="GY224" s="3297"/>
      <c r="GZ224" s="3297"/>
      <c r="HA224" s="3297"/>
      <c r="HB224" s="3297"/>
      <c r="HC224" s="3297"/>
      <c r="HD224" s="3297"/>
      <c r="HE224" s="3297"/>
      <c r="HF224" s="3297"/>
      <c r="HG224" s="3297"/>
      <c r="HH224" s="3297"/>
      <c r="HI224" s="3297"/>
      <c r="HJ224" s="3297"/>
      <c r="HK224" s="3297"/>
      <c r="HL224" s="3297"/>
      <c r="HM224" s="3297"/>
      <c r="HN224" s="3297"/>
      <c r="HO224" s="3297"/>
      <c r="HP224" s="3297"/>
      <c r="HQ224" s="3297"/>
      <c r="HR224" s="3297"/>
      <c r="HS224" s="3297"/>
      <c r="HT224" s="3297"/>
      <c r="HU224" s="3297"/>
      <c r="HV224" s="3297"/>
      <c r="HW224" s="3297"/>
      <c r="HX224" s="3297"/>
      <c r="HY224" s="3297"/>
      <c r="HZ224" s="3297"/>
      <c r="IA224" s="3297"/>
      <c r="IB224" s="3297"/>
      <c r="IC224" s="3297"/>
      <c r="ID224" s="3297"/>
      <c r="IE224" s="3297"/>
      <c r="IF224" s="3297"/>
      <c r="IG224" s="3297"/>
      <c r="IH224" s="3297"/>
      <c r="II224" s="3297"/>
      <c r="IJ224" s="3297"/>
      <c r="IK224" s="3297"/>
      <c r="IL224" s="3297"/>
      <c r="IM224" s="3297"/>
      <c r="IN224" s="3297"/>
      <c r="IO224" s="3297"/>
      <c r="IP224" s="3297"/>
      <c r="IQ224" s="3297"/>
      <c r="IR224" s="3297"/>
      <c r="IS224" s="3297"/>
      <c r="IT224" s="3297"/>
      <c r="IU224" s="3297"/>
      <c r="IV224" s="3297"/>
      <c r="IW224" s="3297"/>
      <c r="IX224" s="3297"/>
      <c r="IY224" s="3297"/>
      <c r="IZ224" s="3297"/>
      <c r="JA224" s="3297"/>
      <c r="JB224" s="3297"/>
      <c r="JC224" s="3297"/>
      <c r="JD224" s="3297"/>
      <c r="JE224" s="3297"/>
      <c r="JF224" s="3297"/>
      <c r="JG224" s="3297"/>
      <c r="JH224" s="3297"/>
      <c r="JI224" s="3297"/>
      <c r="JJ224" s="3297"/>
      <c r="JK224" s="3297"/>
      <c r="JL224" s="3297"/>
      <c r="JM224" s="3297"/>
      <c r="JN224" s="3297"/>
      <c r="JO224" s="3297"/>
      <c r="JP224" s="3297"/>
      <c r="JQ224" s="3297"/>
      <c r="JR224" s="3297"/>
      <c r="JS224" s="3297"/>
      <c r="JT224" s="3297"/>
      <c r="JU224" s="3297"/>
      <c r="JV224" s="3297"/>
      <c r="JW224" s="3297"/>
      <c r="JX224" s="3297"/>
      <c r="JY224" s="3297"/>
      <c r="JZ224" s="3297"/>
      <c r="KA224" s="3297"/>
      <c r="KB224" s="3297"/>
      <c r="KC224" s="3297"/>
      <c r="KD224" s="3297"/>
      <c r="KE224" s="3297"/>
      <c r="KF224" s="3297"/>
      <c r="KG224" s="3297"/>
      <c r="KH224" s="3297"/>
      <c r="KI224" s="3297"/>
      <c r="KJ224" s="3297"/>
      <c r="KK224" s="3297"/>
      <c r="KL224" s="3297"/>
      <c r="KM224" s="3297"/>
      <c r="KN224" s="3297"/>
      <c r="KO224" s="3297"/>
      <c r="KP224" s="3297"/>
      <c r="KQ224" s="3297"/>
      <c r="KR224" s="3297"/>
      <c r="KS224" s="3297"/>
      <c r="KT224" s="3297"/>
      <c r="KU224" s="3297"/>
      <c r="KV224" s="3297"/>
      <c r="KW224" s="3297"/>
      <c r="KX224" s="3297"/>
      <c r="KY224" s="3297"/>
      <c r="KZ224" s="3297"/>
      <c r="LA224" s="3297"/>
      <c r="LB224" s="3297"/>
      <c r="LC224" s="3297"/>
      <c r="LD224" s="3297"/>
      <c r="LE224" s="3297"/>
      <c r="LF224" s="3297"/>
      <c r="LG224" s="3297"/>
      <c r="LH224" s="3297"/>
      <c r="LI224" s="3297"/>
      <c r="LJ224" s="3297"/>
      <c r="LK224" s="3297"/>
      <c r="LL224" s="3297"/>
      <c r="LM224" s="3297"/>
      <c r="LN224" s="3297"/>
      <c r="LO224" s="3297"/>
      <c r="LP224" s="3297"/>
      <c r="LQ224" s="3297"/>
      <c r="LR224" s="3297"/>
      <c r="LS224" s="3297"/>
      <c r="LT224" s="3297"/>
      <c r="LU224" s="3297"/>
      <c r="LV224" s="3297"/>
      <c r="LW224" s="3297"/>
      <c r="LX224" s="3297"/>
      <c r="LY224" s="3297"/>
      <c r="LZ224" s="3297"/>
      <c r="MA224" s="3297"/>
      <c r="MB224" s="3297"/>
      <c r="MC224" s="3297"/>
      <c r="MD224" s="3297"/>
      <c r="ME224" s="3297"/>
      <c r="MF224" s="3297"/>
      <c r="MG224" s="3297"/>
      <c r="MH224" s="3297"/>
      <c r="MI224" s="3297"/>
      <c r="MJ224" s="3297"/>
      <c r="MK224" s="3297"/>
      <c r="ML224" s="3297"/>
      <c r="MM224" s="3297"/>
      <c r="MN224" s="3297"/>
      <c r="MO224" s="3297"/>
      <c r="MP224" s="3297"/>
      <c r="MQ224" s="3297"/>
      <c r="MR224" s="3297"/>
      <c r="MS224" s="3297"/>
      <c r="MT224" s="3297"/>
      <c r="MU224" s="3297"/>
      <c r="MV224" s="3297"/>
      <c r="MW224" s="3297"/>
      <c r="MX224" s="3297"/>
      <c r="MY224" s="3297"/>
      <c r="MZ224" s="3297"/>
      <c r="NA224" s="3297"/>
      <c r="NB224" s="3297"/>
      <c r="NC224" s="3297"/>
      <c r="ND224" s="3297"/>
      <c r="NE224" s="3297"/>
      <c r="NF224" s="3297"/>
      <c r="NG224" s="3297"/>
      <c r="NH224" s="3297"/>
      <c r="NI224" s="3297"/>
      <c r="NJ224" s="3297"/>
      <c r="NK224" s="3297"/>
      <c r="NL224" s="3297"/>
      <c r="NM224" s="3297"/>
      <c r="NN224" s="3297"/>
      <c r="NO224" s="3297"/>
      <c r="NP224" s="3297"/>
      <c r="NQ224" s="3297"/>
      <c r="NR224" s="3297"/>
      <c r="NS224" s="3297"/>
      <c r="NT224" s="3297"/>
      <c r="NU224" s="3297"/>
      <c r="NV224" s="3297"/>
      <c r="NW224" s="3297"/>
      <c r="NX224" s="3297"/>
      <c r="NY224" s="3297"/>
      <c r="NZ224" s="3297"/>
      <c r="OA224" s="3297"/>
      <c r="OB224" s="3297"/>
      <c r="OC224" s="3297"/>
      <c r="OD224" s="3297"/>
      <c r="OE224" s="3297"/>
      <c r="OF224" s="3297"/>
      <c r="OG224" s="3297"/>
      <c r="OH224" s="3297"/>
      <c r="OI224" s="3297"/>
      <c r="OJ224" s="3297"/>
      <c r="OK224" s="3297"/>
      <c r="OL224" s="3297"/>
      <c r="OM224" s="3297"/>
      <c r="ON224" s="3297"/>
      <c r="OO224" s="3297"/>
      <c r="OP224" s="3297"/>
      <c r="OQ224" s="3297"/>
      <c r="OR224" s="3297"/>
      <c r="OS224" s="3297"/>
      <c r="OT224" s="3297"/>
      <c r="OU224" s="3297"/>
      <c r="OV224" s="3297"/>
      <c r="OW224" s="3297"/>
      <c r="OX224" s="3297"/>
      <c r="OY224" s="3297"/>
      <c r="OZ224" s="3297"/>
      <c r="PA224" s="3297"/>
      <c r="PB224" s="3297"/>
      <c r="PC224" s="3297"/>
      <c r="PD224" s="3297"/>
      <c r="PE224" s="3297"/>
      <c r="PF224" s="3297"/>
      <c r="PG224" s="3297"/>
      <c r="PH224" s="3297"/>
      <c r="PI224" s="3297"/>
      <c r="PJ224" s="3297"/>
      <c r="PK224" s="3297"/>
      <c r="PL224" s="3297"/>
      <c r="PM224" s="3297"/>
      <c r="PN224" s="3297"/>
      <c r="PO224" s="3297"/>
      <c r="PP224" s="3297"/>
      <c r="PQ224" s="3297"/>
      <c r="PR224" s="3297"/>
      <c r="PS224" s="3297"/>
      <c r="PT224" s="3297"/>
      <c r="PU224" s="3297"/>
      <c r="PV224" s="3297"/>
      <c r="PW224" s="3297"/>
      <c r="PX224" s="3297"/>
      <c r="PY224" s="3297"/>
      <c r="PZ224" s="3297"/>
      <c r="QA224" s="3297"/>
      <c r="QB224" s="3297"/>
      <c r="QC224" s="3297"/>
      <c r="QD224" s="3297"/>
      <c r="QE224" s="3297"/>
      <c r="QF224" s="3297"/>
      <c r="QG224" s="3297"/>
      <c r="QH224" s="3297"/>
      <c r="QI224" s="3297"/>
      <c r="QJ224" s="3297"/>
      <c r="QK224" s="3297"/>
      <c r="QL224" s="3297"/>
      <c r="QM224" s="3297"/>
      <c r="QN224" s="3297"/>
      <c r="QO224" s="3297"/>
      <c r="QP224" s="3297"/>
      <c r="QQ224" s="3297"/>
      <c r="QR224" s="3297"/>
      <c r="QS224" s="3297"/>
      <c r="QT224" s="3297"/>
      <c r="QU224" s="3297"/>
      <c r="QV224" s="3297"/>
      <c r="QW224" s="3297"/>
      <c r="QX224" s="3297"/>
      <c r="QY224" s="3297"/>
      <c r="QZ224" s="3297"/>
      <c r="RA224" s="3297"/>
      <c r="RB224" s="3297"/>
      <c r="RC224" s="3297"/>
      <c r="RD224" s="3297"/>
      <c r="RE224" s="3297"/>
      <c r="RF224" s="3297"/>
      <c r="RG224" s="3297"/>
      <c r="RH224" s="3297"/>
      <c r="RI224" s="3297"/>
      <c r="RJ224" s="3297"/>
      <c r="RK224" s="3297"/>
      <c r="RL224" s="3297"/>
      <c r="RM224" s="3297"/>
      <c r="RN224" s="3297"/>
      <c r="RO224" s="3297"/>
      <c r="RP224" s="3297"/>
      <c r="RQ224" s="3297"/>
      <c r="RR224" s="3297"/>
      <c r="RS224" s="3297"/>
      <c r="RT224" s="3297"/>
      <c r="RU224" s="3297"/>
      <c r="RV224" s="3297"/>
      <c r="RW224" s="3297"/>
      <c r="RX224" s="3297"/>
      <c r="RY224" s="3297"/>
      <c r="RZ224" s="3297"/>
      <c r="SA224" s="3297"/>
      <c r="SB224" s="3297"/>
      <c r="SC224" s="3297"/>
      <c r="SD224" s="3297"/>
      <c r="SE224" s="3297"/>
      <c r="SF224" s="3297"/>
      <c r="SG224" s="3297"/>
      <c r="SH224" s="3297"/>
      <c r="SI224" s="3297"/>
      <c r="SJ224" s="3297"/>
      <c r="SK224" s="3297"/>
      <c r="SL224" s="3297"/>
      <c r="SM224" s="3297"/>
      <c r="SN224" s="3297"/>
      <c r="SO224" s="3297"/>
      <c r="SP224" s="3297"/>
      <c r="SQ224" s="3297"/>
      <c r="SR224" s="3297"/>
      <c r="SS224" s="3297"/>
      <c r="ST224" s="3297"/>
      <c r="SU224" s="3297"/>
      <c r="SV224" s="3297"/>
      <c r="SW224" s="3297"/>
      <c r="SX224" s="3297"/>
      <c r="SY224" s="3297"/>
      <c r="SZ224" s="3297"/>
      <c r="TA224" s="3297"/>
      <c r="TB224" s="3297"/>
      <c r="TC224" s="3297"/>
      <c r="TD224" s="3297"/>
      <c r="TE224" s="3297"/>
      <c r="TF224" s="3297"/>
      <c r="TG224" s="3297"/>
      <c r="TH224" s="3297"/>
      <c r="TI224" s="3297"/>
      <c r="TJ224" s="3297"/>
      <c r="TK224" s="3297"/>
      <c r="TL224" s="3297"/>
      <c r="TM224" s="3297"/>
      <c r="TN224" s="3297"/>
      <c r="TO224" s="3297"/>
      <c r="TP224" s="3297"/>
      <c r="TQ224" s="3297"/>
      <c r="TR224" s="3297"/>
      <c r="TS224" s="3297"/>
      <c r="TT224" s="3297"/>
      <c r="TU224" s="3297"/>
      <c r="TV224" s="3297"/>
      <c r="TW224" s="3297"/>
      <c r="TX224" s="3297"/>
      <c r="TY224" s="3297"/>
      <c r="TZ224" s="3297"/>
      <c r="UA224" s="3297"/>
      <c r="UB224" s="3297"/>
      <c r="UC224" s="3297"/>
      <c r="UD224" s="3297"/>
      <c r="UE224" s="3297"/>
      <c r="UF224" s="3297"/>
      <c r="UG224" s="3297"/>
      <c r="UH224" s="3297"/>
      <c r="UI224" s="3297"/>
      <c r="UJ224" s="3297"/>
      <c r="UK224" s="3297"/>
      <c r="UL224" s="3297"/>
      <c r="UM224" s="3297"/>
      <c r="UN224" s="3297"/>
      <c r="UO224" s="3297"/>
      <c r="UP224" s="3297"/>
      <c r="UQ224" s="3297"/>
      <c r="UR224" s="3297"/>
      <c r="US224" s="3297"/>
      <c r="UT224" s="3297"/>
      <c r="UU224" s="3297"/>
      <c r="UV224" s="3297"/>
      <c r="UW224" s="3297"/>
      <c r="UX224" s="3297"/>
      <c r="UY224" s="3297"/>
      <c r="UZ224" s="3297"/>
      <c r="VA224" s="3297"/>
      <c r="VB224" s="3297"/>
      <c r="VC224" s="3297"/>
      <c r="VD224" s="3297"/>
      <c r="VE224" s="3297"/>
      <c r="VF224" s="3297"/>
      <c r="VG224" s="3297"/>
      <c r="VH224" s="3297"/>
      <c r="VI224" s="3297"/>
      <c r="VJ224" s="3297"/>
      <c r="VK224" s="3297"/>
      <c r="VL224" s="3297"/>
      <c r="VM224" s="3297"/>
      <c r="VN224" s="3297"/>
      <c r="VO224" s="3297"/>
      <c r="VP224" s="3297"/>
      <c r="VQ224" s="3297"/>
      <c r="VR224" s="3297"/>
      <c r="VS224" s="3297"/>
      <c r="VT224" s="3297"/>
      <c r="VU224" s="3297"/>
      <c r="VV224" s="3297"/>
      <c r="VW224" s="3297"/>
      <c r="VX224" s="3297"/>
      <c r="VY224" s="3297"/>
      <c r="VZ224" s="3297"/>
      <c r="WA224" s="3297"/>
      <c r="WB224" s="3297"/>
      <c r="WC224" s="3297"/>
      <c r="WD224" s="3297"/>
      <c r="WE224" s="3297"/>
      <c r="WF224" s="3297"/>
      <c r="WG224" s="3297"/>
      <c r="WH224" s="3297"/>
      <c r="WI224" s="3297"/>
      <c r="WJ224" s="3297"/>
      <c r="WK224" s="3297"/>
      <c r="WL224" s="3297"/>
      <c r="WM224" s="3297"/>
      <c r="WN224" s="3297"/>
      <c r="WO224" s="3297"/>
      <c r="WP224" s="3297"/>
      <c r="WQ224" s="3297"/>
      <c r="WR224" s="3297"/>
      <c r="WS224" s="3297"/>
      <c r="WT224" s="3297"/>
      <c r="WU224" s="3297"/>
      <c r="WV224" s="3297"/>
      <c r="WW224" s="3297"/>
      <c r="WX224" s="3297"/>
      <c r="WY224" s="3297"/>
      <c r="WZ224" s="3297"/>
      <c r="XA224" s="3297"/>
      <c r="XB224" s="3297"/>
      <c r="XC224" s="3297"/>
      <c r="XD224" s="3297"/>
      <c r="XE224" s="3297"/>
      <c r="XF224" s="3297"/>
      <c r="XG224" s="3297"/>
      <c r="XH224" s="3297"/>
      <c r="XI224" s="3297"/>
      <c r="XJ224" s="3297"/>
      <c r="XK224" s="3297"/>
      <c r="XL224" s="3297"/>
      <c r="XM224" s="3297"/>
      <c r="XN224" s="3297"/>
      <c r="XO224" s="3297"/>
      <c r="XP224" s="3297"/>
      <c r="XQ224" s="3297"/>
      <c r="XR224" s="3297"/>
      <c r="XS224" s="3297"/>
      <c r="XT224" s="3297"/>
      <c r="XU224" s="3297"/>
      <c r="XV224" s="3297"/>
      <c r="XW224" s="3297"/>
      <c r="XX224" s="3297"/>
      <c r="XY224" s="3297"/>
      <c r="XZ224" s="3297"/>
      <c r="YA224" s="3297"/>
      <c r="YB224" s="3297"/>
      <c r="YC224" s="3297"/>
      <c r="YD224" s="3297"/>
      <c r="YE224" s="3297"/>
      <c r="YF224" s="3297"/>
      <c r="YG224" s="3297"/>
      <c r="YH224" s="3297"/>
      <c r="YI224" s="3297"/>
      <c r="YJ224" s="3297"/>
      <c r="YK224" s="3297"/>
      <c r="YL224" s="3297"/>
      <c r="YM224" s="3297"/>
      <c r="YN224" s="3297"/>
      <c r="YO224" s="3297"/>
      <c r="YP224" s="3297"/>
      <c r="YQ224" s="3297"/>
      <c r="YR224" s="3297"/>
      <c r="YS224" s="3297"/>
      <c r="YT224" s="3297"/>
      <c r="YU224" s="3297"/>
      <c r="YV224" s="3297"/>
      <c r="YW224" s="3297"/>
      <c r="YX224" s="3297"/>
      <c r="YY224" s="3297"/>
      <c r="YZ224" s="3297"/>
      <c r="ZA224" s="3297"/>
      <c r="ZB224" s="3297"/>
      <c r="ZC224" s="3297"/>
      <c r="ZD224" s="3297"/>
      <c r="ZE224" s="3297"/>
      <c r="ZF224" s="3297"/>
      <c r="ZG224" s="3297"/>
      <c r="ZH224" s="3297"/>
      <c r="ZI224" s="3297"/>
      <c r="ZJ224" s="3297"/>
      <c r="ZK224" s="3297"/>
      <c r="ZL224" s="3297"/>
      <c r="ZM224" s="3297"/>
      <c r="ZN224" s="3297"/>
      <c r="ZO224" s="3297"/>
      <c r="ZP224" s="3297"/>
      <c r="ZQ224" s="3297"/>
      <c r="ZR224" s="3297"/>
      <c r="ZS224" s="3297"/>
      <c r="ZT224" s="3297"/>
      <c r="ZU224" s="3297"/>
      <c r="ZV224" s="3297"/>
      <c r="ZW224" s="3297"/>
      <c r="ZX224" s="3297"/>
      <c r="ZY224" s="3297"/>
      <c r="ZZ224" s="3297"/>
      <c r="AAA224" s="3297"/>
      <c r="AAB224" s="3297"/>
      <c r="AAC224" s="3297"/>
      <c r="AAD224" s="3297"/>
      <c r="AAE224" s="3297"/>
      <c r="AAF224" s="3297"/>
      <c r="AAG224" s="3297"/>
      <c r="AAH224" s="3297"/>
      <c r="AAI224" s="3297"/>
      <c r="AAJ224" s="3297"/>
      <c r="AAK224" s="3297"/>
      <c r="AAL224" s="3297"/>
      <c r="AAM224" s="3297"/>
      <c r="AAN224" s="3297"/>
      <c r="AAO224" s="3297"/>
      <c r="AAP224" s="3297"/>
      <c r="AAQ224" s="3297"/>
      <c r="AAR224" s="3297"/>
      <c r="AAS224" s="3297"/>
      <c r="AAT224" s="3297"/>
      <c r="AAU224" s="3297"/>
      <c r="AAV224" s="3297"/>
      <c r="AAW224" s="3297"/>
      <c r="AAX224" s="3297"/>
      <c r="AAY224" s="3297"/>
      <c r="AAZ224" s="3297"/>
      <c r="ABA224" s="3297"/>
      <c r="ABB224" s="3297"/>
      <c r="ABC224" s="3297"/>
      <c r="ABD224" s="3297"/>
      <c r="ABE224" s="3297"/>
      <c r="ABF224" s="3297"/>
      <c r="ABG224" s="3297"/>
      <c r="ABH224" s="3297"/>
      <c r="ABI224" s="3297"/>
      <c r="ABJ224" s="3297"/>
      <c r="ABK224" s="3297"/>
      <c r="ABL224" s="3297"/>
      <c r="ABM224" s="3297"/>
      <c r="ABN224" s="3297"/>
      <c r="ABO224" s="3297"/>
      <c r="ABP224" s="3297"/>
      <c r="ABQ224" s="3297"/>
      <c r="ABR224" s="3297"/>
      <c r="ABS224" s="3297"/>
      <c r="ABT224" s="3297"/>
      <c r="ABU224" s="3297"/>
      <c r="ABV224" s="3297"/>
      <c r="ABW224" s="3297"/>
      <c r="ABX224" s="3297"/>
      <c r="ABY224" s="3297"/>
      <c r="ABZ224" s="3297"/>
      <c r="ACA224" s="3297"/>
      <c r="ACB224" s="3297"/>
      <c r="ACC224" s="3297"/>
      <c r="ACD224" s="3297"/>
      <c r="ACE224" s="3297"/>
      <c r="ACF224" s="3297"/>
      <c r="ACG224" s="3297"/>
      <c r="ACH224" s="3297"/>
      <c r="ACI224" s="3297"/>
      <c r="ACJ224" s="3297"/>
      <c r="ACK224" s="3297"/>
      <c r="ACL224" s="3297"/>
      <c r="ACM224" s="3297"/>
      <c r="ACN224" s="3297"/>
      <c r="ACO224" s="3297"/>
      <c r="ACP224" s="3297"/>
      <c r="ACQ224" s="3297"/>
      <c r="ACR224" s="3297"/>
      <c r="ACS224" s="3297"/>
      <c r="ACT224" s="3297"/>
      <c r="ACU224" s="3297"/>
      <c r="ACV224" s="3297"/>
      <c r="ACW224" s="3297"/>
      <c r="ACX224" s="3297"/>
      <c r="ACY224" s="3297"/>
      <c r="ACZ224" s="3297"/>
      <c r="ADA224" s="3297"/>
      <c r="ADB224" s="3297"/>
      <c r="ADC224" s="3297"/>
      <c r="ADD224" s="3297"/>
      <c r="ADE224" s="3297"/>
      <c r="ADF224" s="3297"/>
      <c r="ADG224" s="3297"/>
      <c r="ADH224" s="3297"/>
      <c r="ADI224" s="3297"/>
      <c r="ADJ224" s="3297"/>
      <c r="ADK224" s="3297"/>
      <c r="ADL224" s="3297"/>
      <c r="ADM224" s="3297"/>
      <c r="ADN224" s="3297"/>
      <c r="ADO224" s="3297"/>
      <c r="ADP224" s="3297"/>
      <c r="ADQ224" s="3297"/>
      <c r="ADR224" s="3297"/>
      <c r="ADS224" s="3297"/>
      <c r="ADT224" s="3297"/>
      <c r="ADU224" s="3297"/>
      <c r="ADV224" s="3297"/>
      <c r="ADW224" s="3297"/>
      <c r="ADX224" s="3297"/>
      <c r="ADY224" s="3297"/>
      <c r="ADZ224" s="3297"/>
      <c r="AEA224" s="3297"/>
      <c r="AEB224" s="3297"/>
      <c r="AEC224" s="3297"/>
      <c r="AED224" s="3297"/>
      <c r="AEE224" s="3297"/>
      <c r="AEF224" s="3297"/>
      <c r="AEG224" s="3297"/>
      <c r="AEH224" s="3297"/>
      <c r="AEI224" s="3297"/>
      <c r="AEJ224" s="3297"/>
      <c r="AEK224" s="3297"/>
      <c r="AEL224" s="3297"/>
      <c r="AEM224" s="3297"/>
      <c r="AEN224" s="3297"/>
      <c r="AEO224" s="3297"/>
      <c r="AEP224" s="3297"/>
      <c r="AEQ224" s="3297"/>
      <c r="AER224" s="3297"/>
      <c r="AES224" s="3297"/>
      <c r="AET224" s="3297"/>
      <c r="AEU224" s="3297"/>
      <c r="AEV224" s="3297"/>
      <c r="AEW224" s="3297"/>
      <c r="AEX224" s="3297"/>
      <c r="AEY224" s="3297"/>
      <c r="AEZ224" s="3297"/>
      <c r="AFA224" s="3297"/>
      <c r="AFB224" s="3297"/>
      <c r="AFC224" s="3297"/>
      <c r="AFD224" s="3297"/>
      <c r="AFE224" s="3297"/>
      <c r="AFF224" s="3297"/>
      <c r="AFG224" s="3297"/>
      <c r="AFH224" s="3297"/>
      <c r="AFI224" s="3297"/>
      <c r="AFJ224" s="3297"/>
      <c r="AFK224" s="3297"/>
      <c r="AFL224" s="3297"/>
      <c r="AFM224" s="3297"/>
      <c r="AFN224" s="3297"/>
      <c r="AFO224" s="3297"/>
      <c r="AFP224" s="3297"/>
      <c r="AFQ224" s="3297"/>
      <c r="AFR224" s="3297"/>
      <c r="AFS224" s="3297"/>
      <c r="AFT224" s="3297"/>
      <c r="AFU224" s="3297"/>
      <c r="AFV224" s="3297"/>
      <c r="AFW224" s="3297"/>
      <c r="AFX224" s="3297"/>
      <c r="AFY224" s="3297"/>
      <c r="AFZ224" s="3297"/>
      <c r="AGA224" s="3297"/>
      <c r="AGB224" s="3297"/>
      <c r="AGC224" s="3297"/>
      <c r="AGD224" s="3297"/>
      <c r="AGE224" s="3297"/>
      <c r="AGF224" s="3297"/>
      <c r="AGG224" s="3297"/>
      <c r="AGH224" s="3297"/>
      <c r="AGI224" s="3297"/>
      <c r="AGJ224" s="3297"/>
      <c r="AGK224" s="3297"/>
      <c r="AGL224" s="3297"/>
      <c r="AGM224" s="3297"/>
      <c r="AGN224" s="3297"/>
      <c r="AGO224" s="3297"/>
      <c r="AGP224" s="3297"/>
      <c r="AGQ224" s="3297"/>
      <c r="AGR224" s="3297"/>
      <c r="AGS224" s="3297"/>
      <c r="AGT224" s="3297"/>
      <c r="AGU224" s="3297"/>
      <c r="AGV224" s="3297"/>
      <c r="AGW224" s="3297"/>
      <c r="AGX224" s="3297"/>
      <c r="AGY224" s="3297"/>
      <c r="AGZ224" s="3297"/>
      <c r="AHA224" s="3297"/>
      <c r="AHB224" s="3297"/>
      <c r="AHC224" s="3297"/>
      <c r="AHD224" s="3297"/>
      <c r="AHE224" s="3297"/>
      <c r="AHF224" s="3297"/>
      <c r="AHG224" s="3297"/>
      <c r="AHH224" s="3297"/>
      <c r="AHI224" s="3297"/>
      <c r="AHJ224" s="3297"/>
      <c r="AHK224" s="3297"/>
      <c r="AHL224" s="3297"/>
      <c r="AHM224" s="3297"/>
      <c r="AHN224" s="3297"/>
      <c r="AHO224" s="3297"/>
      <c r="AHP224" s="3297"/>
      <c r="AHQ224" s="3297"/>
      <c r="AHR224" s="3297"/>
      <c r="AHS224" s="3297"/>
      <c r="AHT224" s="3297"/>
      <c r="AHU224" s="3297"/>
      <c r="AHV224" s="3297"/>
      <c r="AHW224" s="3297"/>
      <c r="AHX224" s="3297"/>
      <c r="AHY224" s="3297"/>
      <c r="AHZ224" s="3297"/>
      <c r="AIA224" s="3297"/>
      <c r="AIB224" s="3297"/>
      <c r="AIC224" s="3297"/>
      <c r="AID224" s="3297"/>
      <c r="AIE224" s="3297"/>
      <c r="AIF224" s="3297"/>
      <c r="AIG224" s="3297"/>
      <c r="AIH224" s="3297"/>
      <c r="AII224" s="3297"/>
      <c r="AIJ224" s="3297"/>
      <c r="AIK224" s="3297"/>
      <c r="AIL224" s="3297"/>
      <c r="AIM224" s="3297"/>
      <c r="AIN224" s="3297"/>
      <c r="AIO224" s="3297"/>
      <c r="AIP224" s="3297"/>
      <c r="AIQ224" s="3297"/>
      <c r="AIR224" s="3297"/>
      <c r="AIS224" s="3297"/>
      <c r="AIT224" s="3297"/>
      <c r="AIU224" s="3297"/>
      <c r="AIV224" s="3297"/>
      <c r="AIW224" s="3297"/>
      <c r="AIX224" s="3297"/>
      <c r="AIY224" s="3297"/>
      <c r="AIZ224" s="3297"/>
      <c r="AJA224" s="3297"/>
      <c r="AJB224" s="3297"/>
      <c r="AJC224" s="3297"/>
      <c r="AJD224" s="3297"/>
      <c r="AJE224" s="3297"/>
      <c r="AJF224" s="3297"/>
      <c r="AJG224" s="3297"/>
      <c r="AJH224" s="3297"/>
      <c r="AJI224" s="3297"/>
      <c r="AJJ224" s="3297"/>
      <c r="AJK224" s="3297"/>
      <c r="AJL224" s="3297"/>
      <c r="AJM224" s="3297"/>
      <c r="AJN224" s="3297"/>
      <c r="AJO224" s="3297"/>
      <c r="AJP224" s="3297"/>
      <c r="AJQ224" s="3297"/>
      <c r="AJR224" s="3297"/>
      <c r="AJS224" s="3297"/>
      <c r="AJT224" s="3297"/>
      <c r="AJU224" s="3297"/>
      <c r="AJV224" s="3297"/>
      <c r="AJW224" s="3297"/>
      <c r="AJX224" s="3297"/>
      <c r="AJY224" s="3297"/>
      <c r="AJZ224" s="3297"/>
      <c r="AKA224" s="3297"/>
      <c r="AKB224" s="3297"/>
      <c r="AKC224" s="3297"/>
      <c r="AKD224" s="3297"/>
      <c r="AKE224" s="3297"/>
      <c r="AKF224" s="3297"/>
      <c r="AKG224" s="3297"/>
      <c r="AKH224" s="3297"/>
      <c r="AKI224" s="3297"/>
      <c r="AKJ224" s="3297"/>
      <c r="AKK224" s="3297"/>
      <c r="AKL224" s="3297"/>
      <c r="AKM224" s="3297"/>
      <c r="AKN224" s="3297"/>
      <c r="AKO224" s="3297"/>
      <c r="AKP224" s="3297"/>
      <c r="AKQ224" s="3297"/>
      <c r="AKR224" s="3297"/>
      <c r="AKS224" s="3297"/>
      <c r="AKT224" s="3297"/>
      <c r="AKU224" s="3297"/>
      <c r="AKV224" s="3297"/>
      <c r="AKW224" s="3297"/>
      <c r="AKX224" s="3297"/>
      <c r="AKY224" s="3297"/>
      <c r="AKZ224" s="3297"/>
      <c r="ALA224" s="3297"/>
      <c r="ALB224" s="3297"/>
      <c r="ALC224" s="3297"/>
      <c r="ALD224" s="3297"/>
      <c r="ALE224" s="3297"/>
      <c r="ALF224" s="3297"/>
      <c r="ALG224" s="3297"/>
      <c r="ALH224" s="3297"/>
      <c r="ALI224" s="3297"/>
      <c r="ALJ224" s="3297"/>
      <c r="ALK224" s="3297"/>
      <c r="ALL224" s="3297"/>
      <c r="ALM224" s="3297"/>
      <c r="ALN224" s="3297"/>
      <c r="ALO224" s="3297"/>
      <c r="ALP224" s="3297"/>
      <c r="ALQ224" s="3297"/>
      <c r="ALR224" s="3297"/>
      <c r="ALS224" s="3297"/>
      <c r="ALT224" s="3297"/>
      <c r="ALU224" s="3297"/>
      <c r="ALV224" s="3297"/>
      <c r="ALW224" s="3297"/>
      <c r="ALX224" s="3297"/>
      <c r="ALY224" s="3297"/>
      <c r="ALZ224" s="3297"/>
      <c r="AMA224" s="3297"/>
      <c r="AMB224" s="3297"/>
      <c r="AMC224" s="3297"/>
      <c r="AMD224" s="3297"/>
      <c r="AME224" s="3297"/>
      <c r="AMF224" s="3297"/>
      <c r="AMG224" s="3297"/>
      <c r="AMH224" s="3297"/>
      <c r="AMI224" s="3297"/>
      <c r="AMJ224" s="3297"/>
      <c r="AMK224" s="3297"/>
      <c r="AML224" s="3297"/>
      <c r="AMM224" s="3297"/>
      <c r="AMN224" s="3297"/>
      <c r="AMO224" s="3297"/>
      <c r="AMP224" s="3297"/>
      <c r="AMQ224" s="3297"/>
      <c r="AMR224" s="3297"/>
      <c r="AMS224" s="3297"/>
      <c r="AMT224" s="3297"/>
      <c r="AMU224" s="3297"/>
      <c r="AMV224" s="3297"/>
      <c r="AMW224" s="3297"/>
      <c r="AMX224" s="3297"/>
      <c r="AMY224" s="3297"/>
      <c r="AMZ224" s="3297"/>
      <c r="ANA224" s="3297"/>
      <c r="ANB224" s="3297"/>
      <c r="ANC224" s="3297"/>
      <c r="AND224" s="3297"/>
      <c r="ANE224" s="3297"/>
      <c r="ANF224" s="3297"/>
      <c r="ANG224" s="3297"/>
      <c r="ANH224" s="3297"/>
      <c r="ANI224" s="3297"/>
      <c r="ANJ224" s="3297"/>
      <c r="ANK224" s="3297"/>
      <c r="ANL224" s="3297"/>
      <c r="ANM224" s="3297"/>
      <c r="ANN224" s="3297"/>
      <c r="ANO224" s="3297"/>
      <c r="ANP224" s="3297"/>
      <c r="ANQ224" s="3297"/>
      <c r="ANR224" s="3297"/>
      <c r="ANS224" s="3297"/>
      <c r="ANT224" s="3297"/>
      <c r="ANU224" s="3297"/>
      <c r="ANV224" s="3297"/>
      <c r="ANW224" s="3297"/>
      <c r="ANX224" s="3297"/>
      <c r="ANY224" s="3297"/>
      <c r="ANZ224" s="3297"/>
      <c r="AOA224" s="3297"/>
      <c r="AOB224" s="3297"/>
      <c r="AOC224" s="3297"/>
      <c r="AOD224" s="3297"/>
      <c r="AOE224" s="3297"/>
      <c r="AOF224" s="3297"/>
      <c r="AOG224" s="3297"/>
      <c r="AOH224" s="3297"/>
      <c r="AOI224" s="3297"/>
      <c r="AOJ224" s="3297"/>
      <c r="AOK224" s="3297"/>
      <c r="AOL224" s="3297"/>
      <c r="AOM224" s="3297"/>
      <c r="AON224" s="3297"/>
      <c r="AOO224" s="3297"/>
      <c r="AOP224" s="3297"/>
      <c r="AOQ224" s="3297"/>
      <c r="AOR224" s="3297"/>
      <c r="AOS224" s="3297"/>
      <c r="AOT224" s="3297"/>
      <c r="AOU224" s="3297"/>
      <c r="AOV224" s="3297"/>
      <c r="AOW224" s="3297"/>
      <c r="AOX224" s="3297"/>
      <c r="AOY224" s="3297"/>
      <c r="AOZ224" s="3297"/>
      <c r="APA224" s="3297"/>
      <c r="APB224" s="3297"/>
      <c r="APC224" s="3297"/>
      <c r="APD224" s="3297"/>
      <c r="APE224" s="3297"/>
      <c r="APF224" s="3297"/>
      <c r="APG224" s="3297"/>
      <c r="APH224" s="3297"/>
      <c r="API224" s="3297"/>
      <c r="APJ224" s="3297"/>
      <c r="APK224" s="3297"/>
      <c r="APL224" s="3297"/>
      <c r="APM224" s="3297"/>
      <c r="APN224" s="3297"/>
      <c r="APO224" s="3297"/>
      <c r="APP224" s="3297"/>
      <c r="APQ224" s="3297"/>
      <c r="APR224" s="3297"/>
      <c r="APS224" s="3297"/>
      <c r="APT224" s="3297"/>
      <c r="APU224" s="3297"/>
      <c r="APV224" s="3297"/>
      <c r="APW224" s="3297"/>
      <c r="APX224" s="3297"/>
      <c r="APY224" s="3297"/>
      <c r="APZ224" s="3297"/>
      <c r="AQA224" s="3297"/>
      <c r="AQB224" s="3297"/>
      <c r="AQC224" s="3297"/>
      <c r="AQD224" s="3297"/>
      <c r="AQE224" s="3297"/>
      <c r="AQF224" s="3297"/>
      <c r="AQG224" s="3297"/>
      <c r="AQH224" s="3297"/>
      <c r="AQI224" s="3297"/>
      <c r="AQJ224" s="3297"/>
      <c r="AQK224" s="3297"/>
      <c r="AQL224" s="3297"/>
      <c r="AQM224" s="3297"/>
      <c r="AQN224" s="3297"/>
      <c r="AQO224" s="3297"/>
      <c r="AQP224" s="3297"/>
      <c r="AQQ224" s="3297"/>
      <c r="AQR224" s="3297"/>
      <c r="AQS224" s="3297"/>
      <c r="AQT224" s="3297"/>
      <c r="AQU224" s="3297"/>
      <c r="AQV224" s="3297"/>
      <c r="AQW224" s="3297"/>
      <c r="AQX224" s="3297"/>
      <c r="AQY224" s="3297"/>
      <c r="AQZ224" s="3297"/>
      <c r="ARA224" s="3297"/>
      <c r="ARB224" s="3297"/>
      <c r="ARC224" s="3297"/>
      <c r="ARD224" s="3297"/>
      <c r="ARE224" s="3297"/>
      <c r="ARF224" s="3297"/>
      <c r="ARG224" s="3297"/>
      <c r="ARH224" s="3297"/>
      <c r="ARI224" s="3297"/>
      <c r="ARJ224" s="3297"/>
      <c r="ARK224" s="3297"/>
      <c r="ARL224" s="3297"/>
      <c r="ARM224" s="3297"/>
      <c r="ARN224" s="3297"/>
      <c r="ARO224" s="3297"/>
      <c r="ARP224" s="3297"/>
      <c r="ARQ224" s="3297"/>
      <c r="ARR224" s="3297"/>
      <c r="ARS224" s="3297"/>
      <c r="ART224" s="3297"/>
      <c r="ARU224" s="3297"/>
      <c r="ARV224" s="3297"/>
      <c r="ARW224" s="3297"/>
      <c r="ARX224" s="3297"/>
      <c r="ARY224" s="3297"/>
      <c r="ARZ224" s="3297"/>
      <c r="ASA224" s="3297"/>
      <c r="ASB224" s="3297"/>
      <c r="ASC224" s="3297"/>
      <c r="ASD224" s="3297"/>
      <c r="ASE224" s="3297"/>
      <c r="ASF224" s="3297"/>
      <c r="ASG224" s="3297"/>
      <c r="ASH224" s="3297"/>
      <c r="ASI224" s="3297"/>
      <c r="ASJ224" s="3297"/>
      <c r="ASK224" s="3297"/>
      <c r="ASL224" s="3297"/>
      <c r="ASM224" s="3297"/>
      <c r="ASN224" s="3297"/>
      <c r="ASO224" s="3297"/>
      <c r="ASP224" s="3297"/>
      <c r="ASQ224" s="3297"/>
      <c r="ASR224" s="3297"/>
      <c r="ASS224" s="3297"/>
      <c r="AST224" s="3297"/>
      <c r="ASU224" s="3297"/>
      <c r="ASV224" s="3297"/>
      <c r="ASW224" s="3297"/>
      <c r="ASX224" s="3297"/>
      <c r="ASY224" s="3297"/>
      <c r="ASZ224" s="3297"/>
      <c r="ATA224" s="3297"/>
      <c r="ATB224" s="3297"/>
      <c r="ATC224" s="3297"/>
      <c r="ATD224" s="3297"/>
      <c r="ATE224" s="3297"/>
      <c r="ATF224" s="3297"/>
      <c r="ATG224" s="3297"/>
      <c r="ATH224" s="3297"/>
      <c r="ATI224" s="3297"/>
      <c r="ATJ224" s="3297"/>
      <c r="ATK224" s="3297"/>
      <c r="ATL224" s="3297"/>
      <c r="ATM224" s="3297"/>
      <c r="ATN224" s="3297"/>
      <c r="ATO224" s="3297"/>
      <c r="ATP224" s="3297"/>
      <c r="ATQ224" s="3297"/>
      <c r="ATR224" s="3297"/>
      <c r="ATS224" s="3297"/>
      <c r="ATT224" s="3297"/>
      <c r="ATU224" s="3297"/>
      <c r="ATV224" s="3297"/>
      <c r="ATW224" s="3297"/>
      <c r="ATX224" s="3297"/>
      <c r="ATY224" s="3297"/>
      <c r="ATZ224" s="3297"/>
      <c r="AUA224" s="3297"/>
      <c r="AUB224" s="3297"/>
      <c r="AUC224" s="3297"/>
      <c r="AUD224" s="3297"/>
      <c r="AUE224" s="3297"/>
      <c r="AUF224" s="3297"/>
      <c r="AUG224" s="3297"/>
      <c r="AUH224" s="3297"/>
      <c r="AUI224" s="3297"/>
      <c r="AUJ224" s="3297"/>
      <c r="AUK224" s="3297"/>
      <c r="AUL224" s="3297"/>
      <c r="AUM224" s="3297"/>
      <c r="AUN224" s="3297"/>
      <c r="AUO224" s="3297"/>
      <c r="AUP224" s="3297"/>
      <c r="AUQ224" s="3297"/>
      <c r="AUR224" s="3297"/>
      <c r="AUS224" s="3297"/>
      <c r="AUT224" s="3297"/>
      <c r="AUU224" s="3297"/>
      <c r="AUV224" s="3297"/>
      <c r="AUW224" s="3297"/>
      <c r="AUX224" s="3297"/>
      <c r="AUY224" s="3297"/>
      <c r="AUZ224" s="3297"/>
      <c r="AVA224" s="3297"/>
      <c r="AVB224" s="3297"/>
      <c r="AVC224" s="3297"/>
      <c r="AVD224" s="3297"/>
      <c r="AVE224" s="3297"/>
      <c r="AVF224" s="3297"/>
      <c r="AVG224" s="3297"/>
      <c r="AVH224" s="3297"/>
      <c r="AVI224" s="3297"/>
      <c r="AVJ224" s="3297"/>
      <c r="AVK224" s="3297"/>
      <c r="AVL224" s="3297"/>
      <c r="AVM224" s="3297"/>
      <c r="AVN224" s="3297"/>
      <c r="AVO224" s="3297"/>
      <c r="AVP224" s="3297"/>
      <c r="AVQ224" s="3297"/>
      <c r="AVR224" s="3297"/>
      <c r="AVS224" s="3297"/>
      <c r="AVT224" s="3297"/>
      <c r="AVU224" s="3297"/>
      <c r="AVV224" s="3297"/>
      <c r="AVW224" s="3297"/>
      <c r="AVX224" s="3297"/>
      <c r="AVY224" s="3297"/>
      <c r="AVZ224" s="3297"/>
      <c r="AWA224" s="3297"/>
      <c r="AWB224" s="3297"/>
      <c r="AWC224" s="3297"/>
      <c r="AWD224" s="3297"/>
      <c r="AWE224" s="3297"/>
      <c r="AWF224" s="3297"/>
      <c r="AWG224" s="3297"/>
      <c r="AWH224" s="3297"/>
      <c r="AWI224" s="3297"/>
      <c r="AWJ224" s="3297"/>
      <c r="AWK224" s="3297"/>
      <c r="AWL224" s="3297"/>
      <c r="AWM224" s="3297"/>
      <c r="AWN224" s="3297"/>
      <c r="AWO224" s="3297"/>
      <c r="AWP224" s="3297"/>
      <c r="AWQ224" s="3297"/>
      <c r="AWR224" s="3297"/>
      <c r="AWS224" s="3297"/>
      <c r="AWT224" s="3297"/>
      <c r="AWU224" s="3297"/>
      <c r="AWV224" s="3297"/>
      <c r="AWW224" s="3297"/>
      <c r="AWX224" s="3297"/>
      <c r="AWY224" s="3297"/>
      <c r="AWZ224" s="3297"/>
      <c r="AXA224" s="3297"/>
      <c r="AXB224" s="3297"/>
      <c r="AXC224" s="3297"/>
      <c r="AXD224" s="3297"/>
      <c r="AXE224" s="3297"/>
      <c r="AXF224" s="3297"/>
      <c r="AXG224" s="3297"/>
      <c r="AXH224" s="3297"/>
      <c r="AXI224" s="3297"/>
      <c r="AXJ224" s="3297"/>
    </row>
    <row r="225" spans="1:1310" s="3298" customFormat="1" ht="23.25" customHeight="1">
      <c r="A225" s="468"/>
      <c r="B225" s="6645" t="s">
        <v>3090</v>
      </c>
      <c r="C225" s="6645"/>
      <c r="D225" s="6645"/>
      <c r="E225" s="6645"/>
      <c r="F225" s="3300"/>
      <c r="G225" s="6645" t="s">
        <v>3091</v>
      </c>
      <c r="H225" s="6645"/>
      <c r="I225" s="6645"/>
      <c r="J225" s="3300"/>
      <c r="K225" s="6645" t="s">
        <v>3092</v>
      </c>
      <c r="L225" s="6645"/>
      <c r="M225" s="6645"/>
      <c r="N225" s="3300"/>
      <c r="O225" s="6645" t="s">
        <v>3093</v>
      </c>
      <c r="P225" s="6645"/>
      <c r="Q225" s="3300"/>
      <c r="R225" s="443"/>
      <c r="S225" s="443"/>
      <c r="T225" s="443"/>
      <c r="U225" s="443"/>
      <c r="V225" s="443"/>
      <c r="W225" s="443"/>
      <c r="X225" s="443"/>
      <c r="Y225" s="443"/>
      <c r="Z225" s="443"/>
      <c r="AA225" s="443"/>
      <c r="AB225" s="443"/>
      <c r="AC225" s="443"/>
      <c r="AD225" s="3297"/>
      <c r="AE225" s="3297"/>
      <c r="AF225" s="3297"/>
      <c r="AG225" s="3297"/>
      <c r="AH225" s="3297"/>
      <c r="AI225" s="3297"/>
      <c r="AJ225" s="3297"/>
      <c r="AK225" s="3297"/>
      <c r="AL225" s="3297"/>
      <c r="AM225" s="3297"/>
      <c r="AN225" s="3297"/>
      <c r="AO225" s="3297"/>
      <c r="AP225" s="3297"/>
      <c r="AQ225" s="3297"/>
      <c r="AR225" s="3297"/>
      <c r="AS225" s="3297"/>
      <c r="AT225" s="3297"/>
      <c r="AU225" s="3297"/>
      <c r="AV225" s="3297"/>
      <c r="AW225" s="3297"/>
      <c r="AX225" s="3297"/>
      <c r="AY225" s="3297"/>
      <c r="AZ225" s="3297"/>
      <c r="BA225" s="3297"/>
      <c r="BB225" s="3297"/>
      <c r="BC225" s="3297"/>
      <c r="BD225" s="3297"/>
      <c r="BE225" s="3297"/>
      <c r="BF225" s="3297"/>
      <c r="BG225" s="3297"/>
      <c r="BH225" s="3297"/>
      <c r="BI225" s="3297"/>
      <c r="BJ225" s="3297"/>
      <c r="BK225" s="3297"/>
      <c r="BL225" s="3297"/>
      <c r="BM225" s="3297"/>
      <c r="BN225" s="3297"/>
      <c r="BO225" s="3297"/>
      <c r="BP225" s="3297"/>
      <c r="BQ225" s="3297"/>
      <c r="BR225" s="3297"/>
      <c r="BS225" s="3297"/>
      <c r="BT225" s="3297"/>
      <c r="BU225" s="3297"/>
      <c r="BV225" s="3297"/>
      <c r="BW225" s="3297"/>
      <c r="BX225" s="3297"/>
      <c r="BY225" s="3297"/>
      <c r="BZ225" s="3297"/>
      <c r="CA225" s="3297"/>
      <c r="CB225" s="3297"/>
      <c r="CC225" s="3297"/>
      <c r="CD225" s="3297"/>
      <c r="CE225" s="3297"/>
      <c r="CF225" s="3297"/>
      <c r="CG225" s="3297"/>
      <c r="CH225" s="3297"/>
      <c r="CI225" s="3297"/>
      <c r="CJ225" s="3297"/>
      <c r="CK225" s="3297"/>
      <c r="CL225" s="3297"/>
      <c r="CM225" s="3297"/>
      <c r="CN225" s="3297"/>
      <c r="CO225" s="3297"/>
      <c r="CP225" s="3297"/>
      <c r="CQ225" s="3297"/>
      <c r="CR225" s="3297"/>
      <c r="CS225" s="3297"/>
      <c r="CT225" s="3297"/>
      <c r="CU225" s="3297"/>
      <c r="CV225" s="3297"/>
      <c r="CW225" s="3297"/>
      <c r="CX225" s="3297"/>
      <c r="CY225" s="3297"/>
      <c r="CZ225" s="3297"/>
      <c r="DA225" s="3297"/>
      <c r="DB225" s="3297"/>
      <c r="DC225" s="3297"/>
      <c r="DD225" s="3297"/>
      <c r="DE225" s="3297"/>
      <c r="DF225" s="3297"/>
      <c r="DG225" s="3297"/>
      <c r="DH225" s="3297"/>
      <c r="DI225" s="3297"/>
      <c r="DJ225" s="3297"/>
      <c r="DK225" s="3297"/>
      <c r="DL225" s="3297"/>
      <c r="DM225" s="3297"/>
      <c r="DN225" s="3297"/>
      <c r="DO225" s="3297"/>
      <c r="DP225" s="3297"/>
      <c r="DQ225" s="3297"/>
      <c r="DR225" s="3297"/>
      <c r="DS225" s="3297"/>
      <c r="DT225" s="3297"/>
      <c r="DU225" s="3297"/>
      <c r="DV225" s="3297"/>
      <c r="DW225" s="3297"/>
      <c r="DX225" s="3297"/>
      <c r="DY225" s="3297"/>
      <c r="DZ225" s="3297"/>
      <c r="EA225" s="3297"/>
      <c r="EB225" s="3297"/>
      <c r="EC225" s="3297"/>
      <c r="ED225" s="3297"/>
      <c r="EE225" s="3297"/>
      <c r="EF225" s="3297"/>
      <c r="EG225" s="3297"/>
      <c r="EH225" s="3297"/>
      <c r="EI225" s="3297"/>
      <c r="EJ225" s="3297"/>
      <c r="EK225" s="3297"/>
      <c r="EL225" s="3297"/>
      <c r="EM225" s="3297"/>
      <c r="EN225" s="3297"/>
      <c r="EO225" s="3297"/>
      <c r="EP225" s="3297"/>
      <c r="EQ225" s="3297"/>
      <c r="ER225" s="3297"/>
      <c r="ES225" s="3297"/>
      <c r="ET225" s="3297"/>
      <c r="EU225" s="3297"/>
      <c r="EV225" s="3297"/>
      <c r="EW225" s="3297"/>
      <c r="EX225" s="3297"/>
      <c r="EY225" s="3297"/>
      <c r="EZ225" s="3297"/>
      <c r="FA225" s="3297"/>
      <c r="FB225" s="3297"/>
      <c r="FC225" s="3297"/>
      <c r="FD225" s="3297"/>
      <c r="FE225" s="3297"/>
      <c r="FF225" s="3297"/>
      <c r="FG225" s="3297"/>
      <c r="FH225" s="3297"/>
      <c r="FI225" s="3297"/>
      <c r="FJ225" s="3297"/>
      <c r="FK225" s="3297"/>
      <c r="FL225" s="3297"/>
      <c r="FM225" s="3297"/>
      <c r="FN225" s="3297"/>
      <c r="FO225" s="3297"/>
      <c r="FP225" s="3297"/>
      <c r="FQ225" s="3297"/>
      <c r="FR225" s="3297"/>
      <c r="FS225" s="3297"/>
      <c r="FT225" s="3297"/>
      <c r="FU225" s="3297"/>
      <c r="FV225" s="3297"/>
      <c r="FW225" s="3297"/>
      <c r="FX225" s="3297"/>
      <c r="FY225" s="3297"/>
      <c r="FZ225" s="3297"/>
      <c r="GA225" s="3297"/>
      <c r="GB225" s="3297"/>
      <c r="GC225" s="3297"/>
      <c r="GD225" s="3297"/>
      <c r="GE225" s="3297"/>
      <c r="GF225" s="3297"/>
      <c r="GG225" s="3297"/>
      <c r="GH225" s="3297"/>
      <c r="GI225" s="3297"/>
      <c r="GJ225" s="3297"/>
      <c r="GK225" s="3297"/>
      <c r="GL225" s="3297"/>
      <c r="GM225" s="3297"/>
      <c r="GN225" s="3297"/>
      <c r="GO225" s="3297"/>
      <c r="GP225" s="3297"/>
      <c r="GQ225" s="3297"/>
      <c r="GR225" s="3297"/>
      <c r="GS225" s="3297"/>
      <c r="GT225" s="3297"/>
      <c r="GU225" s="3297"/>
      <c r="GV225" s="3297"/>
      <c r="GW225" s="3297"/>
      <c r="GX225" s="3297"/>
      <c r="GY225" s="3297"/>
      <c r="GZ225" s="3297"/>
      <c r="HA225" s="3297"/>
      <c r="HB225" s="3297"/>
      <c r="HC225" s="3297"/>
      <c r="HD225" s="3297"/>
      <c r="HE225" s="3297"/>
      <c r="HF225" s="3297"/>
      <c r="HG225" s="3297"/>
      <c r="HH225" s="3297"/>
      <c r="HI225" s="3297"/>
      <c r="HJ225" s="3297"/>
      <c r="HK225" s="3297"/>
      <c r="HL225" s="3297"/>
      <c r="HM225" s="3297"/>
      <c r="HN225" s="3297"/>
      <c r="HO225" s="3297"/>
      <c r="HP225" s="3297"/>
      <c r="HQ225" s="3297"/>
      <c r="HR225" s="3297"/>
      <c r="HS225" s="3297"/>
      <c r="HT225" s="3297"/>
      <c r="HU225" s="3297"/>
      <c r="HV225" s="3297"/>
      <c r="HW225" s="3297"/>
      <c r="HX225" s="3297"/>
      <c r="HY225" s="3297"/>
      <c r="HZ225" s="3297"/>
      <c r="IA225" s="3297"/>
      <c r="IB225" s="3297"/>
      <c r="IC225" s="3297"/>
      <c r="ID225" s="3297"/>
      <c r="IE225" s="3297"/>
      <c r="IF225" s="3297"/>
      <c r="IG225" s="3297"/>
      <c r="IH225" s="3297"/>
      <c r="II225" s="3297"/>
      <c r="IJ225" s="3297"/>
      <c r="IK225" s="3297"/>
      <c r="IL225" s="3297"/>
      <c r="IM225" s="3297"/>
      <c r="IN225" s="3297"/>
      <c r="IO225" s="3297"/>
      <c r="IP225" s="3297"/>
      <c r="IQ225" s="3297"/>
      <c r="IR225" s="3297"/>
      <c r="IS225" s="3297"/>
      <c r="IT225" s="3297"/>
      <c r="IU225" s="3297"/>
      <c r="IV225" s="3297"/>
      <c r="IW225" s="3297"/>
      <c r="IX225" s="3297"/>
      <c r="IY225" s="3297"/>
      <c r="IZ225" s="3297"/>
      <c r="JA225" s="3297"/>
      <c r="JB225" s="3297"/>
      <c r="JC225" s="3297"/>
      <c r="JD225" s="3297"/>
      <c r="JE225" s="3297"/>
      <c r="JF225" s="3297"/>
      <c r="JG225" s="3297"/>
      <c r="JH225" s="3297"/>
      <c r="JI225" s="3297"/>
      <c r="JJ225" s="3297"/>
      <c r="JK225" s="3297"/>
      <c r="JL225" s="3297"/>
      <c r="JM225" s="3297"/>
      <c r="JN225" s="3297"/>
      <c r="JO225" s="3297"/>
      <c r="JP225" s="3297"/>
      <c r="JQ225" s="3297"/>
      <c r="JR225" s="3297"/>
      <c r="JS225" s="3297"/>
      <c r="JT225" s="3297"/>
      <c r="JU225" s="3297"/>
      <c r="JV225" s="3297"/>
      <c r="JW225" s="3297"/>
      <c r="JX225" s="3297"/>
      <c r="JY225" s="3297"/>
      <c r="JZ225" s="3297"/>
      <c r="KA225" s="3297"/>
      <c r="KB225" s="3297"/>
      <c r="KC225" s="3297"/>
      <c r="KD225" s="3297"/>
      <c r="KE225" s="3297"/>
      <c r="KF225" s="3297"/>
      <c r="KG225" s="3297"/>
      <c r="KH225" s="3297"/>
      <c r="KI225" s="3297"/>
      <c r="KJ225" s="3297"/>
      <c r="KK225" s="3297"/>
      <c r="KL225" s="3297"/>
      <c r="KM225" s="3297"/>
      <c r="KN225" s="3297"/>
      <c r="KO225" s="3297"/>
      <c r="KP225" s="3297"/>
      <c r="KQ225" s="3297"/>
      <c r="KR225" s="3297"/>
      <c r="KS225" s="3297"/>
      <c r="KT225" s="3297"/>
      <c r="KU225" s="3297"/>
      <c r="KV225" s="3297"/>
      <c r="KW225" s="3297"/>
      <c r="KX225" s="3297"/>
      <c r="KY225" s="3297"/>
      <c r="KZ225" s="3297"/>
      <c r="LA225" s="3297"/>
      <c r="LB225" s="3297"/>
      <c r="LC225" s="3297"/>
      <c r="LD225" s="3297"/>
      <c r="LE225" s="3297"/>
      <c r="LF225" s="3297"/>
      <c r="LG225" s="3297"/>
      <c r="LH225" s="3297"/>
      <c r="LI225" s="3297"/>
      <c r="LJ225" s="3297"/>
      <c r="LK225" s="3297"/>
      <c r="LL225" s="3297"/>
      <c r="LM225" s="3297"/>
      <c r="LN225" s="3297"/>
      <c r="LO225" s="3297"/>
      <c r="LP225" s="3297"/>
      <c r="LQ225" s="3297"/>
      <c r="LR225" s="3297"/>
      <c r="LS225" s="3297"/>
      <c r="LT225" s="3297"/>
      <c r="LU225" s="3297"/>
      <c r="LV225" s="3297"/>
      <c r="LW225" s="3297"/>
      <c r="LX225" s="3297"/>
      <c r="LY225" s="3297"/>
      <c r="LZ225" s="3297"/>
      <c r="MA225" s="3297"/>
      <c r="MB225" s="3297"/>
      <c r="MC225" s="3297"/>
      <c r="MD225" s="3297"/>
      <c r="ME225" s="3297"/>
      <c r="MF225" s="3297"/>
      <c r="MG225" s="3297"/>
      <c r="MH225" s="3297"/>
      <c r="MI225" s="3297"/>
      <c r="MJ225" s="3297"/>
      <c r="MK225" s="3297"/>
      <c r="ML225" s="3297"/>
      <c r="MM225" s="3297"/>
      <c r="MN225" s="3297"/>
      <c r="MO225" s="3297"/>
      <c r="MP225" s="3297"/>
      <c r="MQ225" s="3297"/>
      <c r="MR225" s="3297"/>
      <c r="MS225" s="3297"/>
      <c r="MT225" s="3297"/>
      <c r="MU225" s="3297"/>
      <c r="MV225" s="3297"/>
      <c r="MW225" s="3297"/>
      <c r="MX225" s="3297"/>
      <c r="MY225" s="3297"/>
      <c r="MZ225" s="3297"/>
      <c r="NA225" s="3297"/>
      <c r="NB225" s="3297"/>
      <c r="NC225" s="3297"/>
      <c r="ND225" s="3297"/>
      <c r="NE225" s="3297"/>
      <c r="NF225" s="3297"/>
      <c r="NG225" s="3297"/>
      <c r="NH225" s="3297"/>
      <c r="NI225" s="3297"/>
      <c r="NJ225" s="3297"/>
      <c r="NK225" s="3297"/>
      <c r="NL225" s="3297"/>
      <c r="NM225" s="3297"/>
      <c r="NN225" s="3297"/>
      <c r="NO225" s="3297"/>
      <c r="NP225" s="3297"/>
      <c r="NQ225" s="3297"/>
      <c r="NR225" s="3297"/>
      <c r="NS225" s="3297"/>
      <c r="NT225" s="3297"/>
      <c r="NU225" s="3297"/>
      <c r="NV225" s="3297"/>
      <c r="NW225" s="3297"/>
      <c r="NX225" s="3297"/>
      <c r="NY225" s="3297"/>
      <c r="NZ225" s="3297"/>
      <c r="OA225" s="3297"/>
      <c r="OB225" s="3297"/>
      <c r="OC225" s="3297"/>
      <c r="OD225" s="3297"/>
      <c r="OE225" s="3297"/>
      <c r="OF225" s="3297"/>
      <c r="OG225" s="3297"/>
      <c r="OH225" s="3297"/>
      <c r="OI225" s="3297"/>
      <c r="OJ225" s="3297"/>
      <c r="OK225" s="3297"/>
      <c r="OL225" s="3297"/>
      <c r="OM225" s="3297"/>
      <c r="ON225" s="3297"/>
      <c r="OO225" s="3297"/>
      <c r="OP225" s="3297"/>
      <c r="OQ225" s="3297"/>
      <c r="OR225" s="3297"/>
      <c r="OS225" s="3297"/>
      <c r="OT225" s="3297"/>
      <c r="OU225" s="3297"/>
      <c r="OV225" s="3297"/>
      <c r="OW225" s="3297"/>
      <c r="OX225" s="3297"/>
      <c r="OY225" s="3297"/>
      <c r="OZ225" s="3297"/>
      <c r="PA225" s="3297"/>
      <c r="PB225" s="3297"/>
      <c r="PC225" s="3297"/>
      <c r="PD225" s="3297"/>
      <c r="PE225" s="3297"/>
      <c r="PF225" s="3297"/>
      <c r="PG225" s="3297"/>
      <c r="PH225" s="3297"/>
      <c r="PI225" s="3297"/>
      <c r="PJ225" s="3297"/>
      <c r="PK225" s="3297"/>
      <c r="PL225" s="3297"/>
      <c r="PM225" s="3297"/>
      <c r="PN225" s="3297"/>
      <c r="PO225" s="3297"/>
      <c r="PP225" s="3297"/>
      <c r="PQ225" s="3297"/>
      <c r="PR225" s="3297"/>
      <c r="PS225" s="3297"/>
      <c r="PT225" s="3297"/>
      <c r="PU225" s="3297"/>
      <c r="PV225" s="3297"/>
      <c r="PW225" s="3297"/>
      <c r="PX225" s="3297"/>
      <c r="PY225" s="3297"/>
      <c r="PZ225" s="3297"/>
      <c r="QA225" s="3297"/>
      <c r="QB225" s="3297"/>
      <c r="QC225" s="3297"/>
      <c r="QD225" s="3297"/>
      <c r="QE225" s="3297"/>
      <c r="QF225" s="3297"/>
      <c r="QG225" s="3297"/>
      <c r="QH225" s="3297"/>
      <c r="QI225" s="3297"/>
      <c r="QJ225" s="3297"/>
      <c r="QK225" s="3297"/>
      <c r="QL225" s="3297"/>
      <c r="QM225" s="3297"/>
      <c r="QN225" s="3297"/>
      <c r="QO225" s="3297"/>
      <c r="QP225" s="3297"/>
      <c r="QQ225" s="3297"/>
      <c r="QR225" s="3297"/>
      <c r="QS225" s="3297"/>
      <c r="QT225" s="3297"/>
      <c r="QU225" s="3297"/>
      <c r="QV225" s="3297"/>
      <c r="QW225" s="3297"/>
      <c r="QX225" s="3297"/>
      <c r="QY225" s="3297"/>
      <c r="QZ225" s="3297"/>
      <c r="RA225" s="3297"/>
      <c r="RB225" s="3297"/>
      <c r="RC225" s="3297"/>
      <c r="RD225" s="3297"/>
      <c r="RE225" s="3297"/>
      <c r="RF225" s="3297"/>
      <c r="RG225" s="3297"/>
      <c r="RH225" s="3297"/>
      <c r="RI225" s="3297"/>
      <c r="RJ225" s="3297"/>
      <c r="RK225" s="3297"/>
      <c r="RL225" s="3297"/>
      <c r="RM225" s="3297"/>
      <c r="RN225" s="3297"/>
      <c r="RO225" s="3297"/>
      <c r="RP225" s="3297"/>
      <c r="RQ225" s="3297"/>
      <c r="RR225" s="3297"/>
      <c r="RS225" s="3297"/>
      <c r="RT225" s="3297"/>
      <c r="RU225" s="3297"/>
      <c r="RV225" s="3297"/>
      <c r="RW225" s="3297"/>
      <c r="RX225" s="3297"/>
      <c r="RY225" s="3297"/>
      <c r="RZ225" s="3297"/>
      <c r="SA225" s="3297"/>
      <c r="SB225" s="3297"/>
      <c r="SC225" s="3297"/>
      <c r="SD225" s="3297"/>
      <c r="SE225" s="3297"/>
      <c r="SF225" s="3297"/>
      <c r="SG225" s="3297"/>
      <c r="SH225" s="3297"/>
      <c r="SI225" s="3297"/>
      <c r="SJ225" s="3297"/>
      <c r="SK225" s="3297"/>
      <c r="SL225" s="3297"/>
      <c r="SM225" s="3297"/>
      <c r="SN225" s="3297"/>
      <c r="SO225" s="3297"/>
      <c r="SP225" s="3297"/>
      <c r="SQ225" s="3297"/>
      <c r="SR225" s="3297"/>
      <c r="SS225" s="3297"/>
      <c r="ST225" s="3297"/>
      <c r="SU225" s="3297"/>
      <c r="SV225" s="3297"/>
      <c r="SW225" s="3297"/>
      <c r="SX225" s="3297"/>
      <c r="SY225" s="3297"/>
      <c r="SZ225" s="3297"/>
      <c r="TA225" s="3297"/>
      <c r="TB225" s="3297"/>
      <c r="TC225" s="3297"/>
      <c r="TD225" s="3297"/>
      <c r="TE225" s="3297"/>
      <c r="TF225" s="3297"/>
      <c r="TG225" s="3297"/>
      <c r="TH225" s="3297"/>
      <c r="TI225" s="3297"/>
      <c r="TJ225" s="3297"/>
      <c r="TK225" s="3297"/>
      <c r="TL225" s="3297"/>
      <c r="TM225" s="3297"/>
      <c r="TN225" s="3297"/>
      <c r="TO225" s="3297"/>
      <c r="TP225" s="3297"/>
      <c r="TQ225" s="3297"/>
      <c r="TR225" s="3297"/>
      <c r="TS225" s="3297"/>
      <c r="TT225" s="3297"/>
      <c r="TU225" s="3297"/>
      <c r="TV225" s="3297"/>
      <c r="TW225" s="3297"/>
      <c r="TX225" s="3297"/>
      <c r="TY225" s="3297"/>
      <c r="TZ225" s="3297"/>
      <c r="UA225" s="3297"/>
      <c r="UB225" s="3297"/>
      <c r="UC225" s="3297"/>
      <c r="UD225" s="3297"/>
      <c r="UE225" s="3297"/>
      <c r="UF225" s="3297"/>
      <c r="UG225" s="3297"/>
      <c r="UH225" s="3297"/>
      <c r="UI225" s="3297"/>
      <c r="UJ225" s="3297"/>
      <c r="UK225" s="3297"/>
      <c r="UL225" s="3297"/>
      <c r="UM225" s="3297"/>
      <c r="UN225" s="3297"/>
      <c r="UO225" s="3297"/>
      <c r="UP225" s="3297"/>
      <c r="UQ225" s="3297"/>
      <c r="UR225" s="3297"/>
      <c r="US225" s="3297"/>
      <c r="UT225" s="3297"/>
      <c r="UU225" s="3297"/>
      <c r="UV225" s="3297"/>
      <c r="UW225" s="3297"/>
      <c r="UX225" s="3297"/>
      <c r="UY225" s="3297"/>
      <c r="UZ225" s="3297"/>
      <c r="VA225" s="3297"/>
      <c r="VB225" s="3297"/>
      <c r="VC225" s="3297"/>
      <c r="VD225" s="3297"/>
      <c r="VE225" s="3297"/>
      <c r="VF225" s="3297"/>
      <c r="VG225" s="3297"/>
      <c r="VH225" s="3297"/>
      <c r="VI225" s="3297"/>
      <c r="VJ225" s="3297"/>
      <c r="VK225" s="3297"/>
      <c r="VL225" s="3297"/>
      <c r="VM225" s="3297"/>
      <c r="VN225" s="3297"/>
      <c r="VO225" s="3297"/>
      <c r="VP225" s="3297"/>
      <c r="VQ225" s="3297"/>
      <c r="VR225" s="3297"/>
      <c r="VS225" s="3297"/>
      <c r="VT225" s="3297"/>
      <c r="VU225" s="3297"/>
      <c r="VV225" s="3297"/>
      <c r="VW225" s="3297"/>
      <c r="VX225" s="3297"/>
      <c r="VY225" s="3297"/>
      <c r="VZ225" s="3297"/>
      <c r="WA225" s="3297"/>
      <c r="WB225" s="3297"/>
      <c r="WC225" s="3297"/>
      <c r="WD225" s="3297"/>
      <c r="WE225" s="3297"/>
      <c r="WF225" s="3297"/>
      <c r="WG225" s="3297"/>
      <c r="WH225" s="3297"/>
      <c r="WI225" s="3297"/>
      <c r="WJ225" s="3297"/>
      <c r="WK225" s="3297"/>
      <c r="WL225" s="3297"/>
      <c r="WM225" s="3297"/>
      <c r="WN225" s="3297"/>
      <c r="WO225" s="3297"/>
      <c r="WP225" s="3297"/>
      <c r="WQ225" s="3297"/>
      <c r="WR225" s="3297"/>
      <c r="WS225" s="3297"/>
      <c r="WT225" s="3297"/>
      <c r="WU225" s="3297"/>
      <c r="WV225" s="3297"/>
      <c r="WW225" s="3297"/>
      <c r="WX225" s="3297"/>
      <c r="WY225" s="3297"/>
      <c r="WZ225" s="3297"/>
      <c r="XA225" s="3297"/>
      <c r="XB225" s="3297"/>
      <c r="XC225" s="3297"/>
      <c r="XD225" s="3297"/>
      <c r="XE225" s="3297"/>
      <c r="XF225" s="3297"/>
      <c r="XG225" s="3297"/>
      <c r="XH225" s="3297"/>
      <c r="XI225" s="3297"/>
      <c r="XJ225" s="3297"/>
      <c r="XK225" s="3297"/>
      <c r="XL225" s="3297"/>
      <c r="XM225" s="3297"/>
      <c r="XN225" s="3297"/>
      <c r="XO225" s="3297"/>
      <c r="XP225" s="3297"/>
      <c r="XQ225" s="3297"/>
      <c r="XR225" s="3297"/>
      <c r="XS225" s="3297"/>
      <c r="XT225" s="3297"/>
      <c r="XU225" s="3297"/>
      <c r="XV225" s="3297"/>
      <c r="XW225" s="3297"/>
      <c r="XX225" s="3297"/>
      <c r="XY225" s="3297"/>
      <c r="XZ225" s="3297"/>
      <c r="YA225" s="3297"/>
      <c r="YB225" s="3297"/>
      <c r="YC225" s="3297"/>
      <c r="YD225" s="3297"/>
      <c r="YE225" s="3297"/>
      <c r="YF225" s="3297"/>
      <c r="YG225" s="3297"/>
      <c r="YH225" s="3297"/>
      <c r="YI225" s="3297"/>
      <c r="YJ225" s="3297"/>
      <c r="YK225" s="3297"/>
      <c r="YL225" s="3297"/>
      <c r="YM225" s="3297"/>
      <c r="YN225" s="3297"/>
      <c r="YO225" s="3297"/>
      <c r="YP225" s="3297"/>
      <c r="YQ225" s="3297"/>
      <c r="YR225" s="3297"/>
      <c r="YS225" s="3297"/>
      <c r="YT225" s="3297"/>
      <c r="YU225" s="3297"/>
      <c r="YV225" s="3297"/>
      <c r="YW225" s="3297"/>
      <c r="YX225" s="3297"/>
      <c r="YY225" s="3297"/>
      <c r="YZ225" s="3297"/>
      <c r="ZA225" s="3297"/>
      <c r="ZB225" s="3297"/>
      <c r="ZC225" s="3297"/>
      <c r="ZD225" s="3297"/>
      <c r="ZE225" s="3297"/>
      <c r="ZF225" s="3297"/>
      <c r="ZG225" s="3297"/>
      <c r="ZH225" s="3297"/>
      <c r="ZI225" s="3297"/>
      <c r="ZJ225" s="3297"/>
      <c r="ZK225" s="3297"/>
      <c r="ZL225" s="3297"/>
      <c r="ZM225" s="3297"/>
      <c r="ZN225" s="3297"/>
      <c r="ZO225" s="3297"/>
      <c r="ZP225" s="3297"/>
      <c r="ZQ225" s="3297"/>
      <c r="ZR225" s="3297"/>
      <c r="ZS225" s="3297"/>
      <c r="ZT225" s="3297"/>
      <c r="ZU225" s="3297"/>
      <c r="ZV225" s="3297"/>
      <c r="ZW225" s="3297"/>
      <c r="ZX225" s="3297"/>
      <c r="ZY225" s="3297"/>
      <c r="ZZ225" s="3297"/>
      <c r="AAA225" s="3297"/>
      <c r="AAB225" s="3297"/>
      <c r="AAC225" s="3297"/>
      <c r="AAD225" s="3297"/>
      <c r="AAE225" s="3297"/>
      <c r="AAF225" s="3297"/>
      <c r="AAG225" s="3297"/>
      <c r="AAH225" s="3297"/>
      <c r="AAI225" s="3297"/>
      <c r="AAJ225" s="3297"/>
      <c r="AAK225" s="3297"/>
      <c r="AAL225" s="3297"/>
      <c r="AAM225" s="3297"/>
      <c r="AAN225" s="3297"/>
      <c r="AAO225" s="3297"/>
      <c r="AAP225" s="3297"/>
      <c r="AAQ225" s="3297"/>
      <c r="AAR225" s="3297"/>
      <c r="AAS225" s="3297"/>
      <c r="AAT225" s="3297"/>
      <c r="AAU225" s="3297"/>
      <c r="AAV225" s="3297"/>
      <c r="AAW225" s="3297"/>
      <c r="AAX225" s="3297"/>
      <c r="AAY225" s="3297"/>
      <c r="AAZ225" s="3297"/>
      <c r="ABA225" s="3297"/>
      <c r="ABB225" s="3297"/>
      <c r="ABC225" s="3297"/>
      <c r="ABD225" s="3297"/>
      <c r="ABE225" s="3297"/>
      <c r="ABF225" s="3297"/>
      <c r="ABG225" s="3297"/>
      <c r="ABH225" s="3297"/>
      <c r="ABI225" s="3297"/>
      <c r="ABJ225" s="3297"/>
      <c r="ABK225" s="3297"/>
      <c r="ABL225" s="3297"/>
      <c r="ABM225" s="3297"/>
      <c r="ABN225" s="3297"/>
      <c r="ABO225" s="3297"/>
      <c r="ABP225" s="3297"/>
      <c r="ABQ225" s="3297"/>
      <c r="ABR225" s="3297"/>
      <c r="ABS225" s="3297"/>
      <c r="ABT225" s="3297"/>
      <c r="ABU225" s="3297"/>
      <c r="ABV225" s="3297"/>
      <c r="ABW225" s="3297"/>
      <c r="ABX225" s="3297"/>
      <c r="ABY225" s="3297"/>
      <c r="ABZ225" s="3297"/>
      <c r="ACA225" s="3297"/>
      <c r="ACB225" s="3297"/>
      <c r="ACC225" s="3297"/>
      <c r="ACD225" s="3297"/>
      <c r="ACE225" s="3297"/>
      <c r="ACF225" s="3297"/>
      <c r="ACG225" s="3297"/>
      <c r="ACH225" s="3297"/>
      <c r="ACI225" s="3297"/>
      <c r="ACJ225" s="3297"/>
      <c r="ACK225" s="3297"/>
      <c r="ACL225" s="3297"/>
      <c r="ACM225" s="3297"/>
      <c r="ACN225" s="3297"/>
      <c r="ACO225" s="3297"/>
      <c r="ACP225" s="3297"/>
      <c r="ACQ225" s="3297"/>
      <c r="ACR225" s="3297"/>
      <c r="ACS225" s="3297"/>
      <c r="ACT225" s="3297"/>
      <c r="ACU225" s="3297"/>
      <c r="ACV225" s="3297"/>
      <c r="ACW225" s="3297"/>
      <c r="ACX225" s="3297"/>
      <c r="ACY225" s="3297"/>
      <c r="ACZ225" s="3297"/>
      <c r="ADA225" s="3297"/>
      <c r="ADB225" s="3297"/>
      <c r="ADC225" s="3297"/>
      <c r="ADD225" s="3297"/>
      <c r="ADE225" s="3297"/>
      <c r="ADF225" s="3297"/>
      <c r="ADG225" s="3297"/>
      <c r="ADH225" s="3297"/>
      <c r="ADI225" s="3297"/>
      <c r="ADJ225" s="3297"/>
      <c r="ADK225" s="3297"/>
      <c r="ADL225" s="3297"/>
      <c r="ADM225" s="3297"/>
      <c r="ADN225" s="3297"/>
      <c r="ADO225" s="3297"/>
      <c r="ADP225" s="3297"/>
      <c r="ADQ225" s="3297"/>
      <c r="ADR225" s="3297"/>
      <c r="ADS225" s="3297"/>
      <c r="ADT225" s="3297"/>
      <c r="ADU225" s="3297"/>
      <c r="ADV225" s="3297"/>
      <c r="ADW225" s="3297"/>
      <c r="ADX225" s="3297"/>
      <c r="ADY225" s="3297"/>
      <c r="ADZ225" s="3297"/>
      <c r="AEA225" s="3297"/>
      <c r="AEB225" s="3297"/>
      <c r="AEC225" s="3297"/>
      <c r="AED225" s="3297"/>
      <c r="AEE225" s="3297"/>
      <c r="AEF225" s="3297"/>
      <c r="AEG225" s="3297"/>
      <c r="AEH225" s="3297"/>
      <c r="AEI225" s="3297"/>
      <c r="AEJ225" s="3297"/>
      <c r="AEK225" s="3297"/>
      <c r="AEL225" s="3297"/>
      <c r="AEM225" s="3297"/>
      <c r="AEN225" s="3297"/>
      <c r="AEO225" s="3297"/>
      <c r="AEP225" s="3297"/>
      <c r="AEQ225" s="3297"/>
      <c r="AER225" s="3297"/>
      <c r="AES225" s="3297"/>
      <c r="AET225" s="3297"/>
      <c r="AEU225" s="3297"/>
      <c r="AEV225" s="3297"/>
      <c r="AEW225" s="3297"/>
      <c r="AEX225" s="3297"/>
      <c r="AEY225" s="3297"/>
      <c r="AEZ225" s="3297"/>
      <c r="AFA225" s="3297"/>
      <c r="AFB225" s="3297"/>
      <c r="AFC225" s="3297"/>
      <c r="AFD225" s="3297"/>
      <c r="AFE225" s="3297"/>
      <c r="AFF225" s="3297"/>
      <c r="AFG225" s="3297"/>
      <c r="AFH225" s="3297"/>
      <c r="AFI225" s="3297"/>
      <c r="AFJ225" s="3297"/>
      <c r="AFK225" s="3297"/>
      <c r="AFL225" s="3297"/>
      <c r="AFM225" s="3297"/>
      <c r="AFN225" s="3297"/>
      <c r="AFO225" s="3297"/>
      <c r="AFP225" s="3297"/>
      <c r="AFQ225" s="3297"/>
      <c r="AFR225" s="3297"/>
      <c r="AFS225" s="3297"/>
      <c r="AFT225" s="3297"/>
      <c r="AFU225" s="3297"/>
      <c r="AFV225" s="3297"/>
      <c r="AFW225" s="3297"/>
      <c r="AFX225" s="3297"/>
      <c r="AFY225" s="3297"/>
      <c r="AFZ225" s="3297"/>
      <c r="AGA225" s="3297"/>
      <c r="AGB225" s="3297"/>
      <c r="AGC225" s="3297"/>
      <c r="AGD225" s="3297"/>
      <c r="AGE225" s="3297"/>
      <c r="AGF225" s="3297"/>
      <c r="AGG225" s="3297"/>
      <c r="AGH225" s="3297"/>
      <c r="AGI225" s="3297"/>
      <c r="AGJ225" s="3297"/>
      <c r="AGK225" s="3297"/>
      <c r="AGL225" s="3297"/>
      <c r="AGM225" s="3297"/>
      <c r="AGN225" s="3297"/>
      <c r="AGO225" s="3297"/>
      <c r="AGP225" s="3297"/>
      <c r="AGQ225" s="3297"/>
      <c r="AGR225" s="3297"/>
      <c r="AGS225" s="3297"/>
      <c r="AGT225" s="3297"/>
      <c r="AGU225" s="3297"/>
      <c r="AGV225" s="3297"/>
      <c r="AGW225" s="3297"/>
      <c r="AGX225" s="3297"/>
      <c r="AGY225" s="3297"/>
      <c r="AGZ225" s="3297"/>
      <c r="AHA225" s="3297"/>
      <c r="AHB225" s="3297"/>
      <c r="AHC225" s="3297"/>
      <c r="AHD225" s="3297"/>
      <c r="AHE225" s="3297"/>
      <c r="AHF225" s="3297"/>
      <c r="AHG225" s="3297"/>
      <c r="AHH225" s="3297"/>
      <c r="AHI225" s="3297"/>
      <c r="AHJ225" s="3297"/>
      <c r="AHK225" s="3297"/>
      <c r="AHL225" s="3297"/>
      <c r="AHM225" s="3297"/>
      <c r="AHN225" s="3297"/>
      <c r="AHO225" s="3297"/>
      <c r="AHP225" s="3297"/>
      <c r="AHQ225" s="3297"/>
      <c r="AHR225" s="3297"/>
      <c r="AHS225" s="3297"/>
      <c r="AHT225" s="3297"/>
      <c r="AHU225" s="3297"/>
      <c r="AHV225" s="3297"/>
      <c r="AHW225" s="3297"/>
      <c r="AHX225" s="3297"/>
      <c r="AHY225" s="3297"/>
      <c r="AHZ225" s="3297"/>
      <c r="AIA225" s="3297"/>
      <c r="AIB225" s="3297"/>
      <c r="AIC225" s="3297"/>
      <c r="AID225" s="3297"/>
      <c r="AIE225" s="3297"/>
      <c r="AIF225" s="3297"/>
      <c r="AIG225" s="3297"/>
      <c r="AIH225" s="3297"/>
      <c r="AII225" s="3297"/>
      <c r="AIJ225" s="3297"/>
      <c r="AIK225" s="3297"/>
      <c r="AIL225" s="3297"/>
      <c r="AIM225" s="3297"/>
      <c r="AIN225" s="3297"/>
      <c r="AIO225" s="3297"/>
      <c r="AIP225" s="3297"/>
      <c r="AIQ225" s="3297"/>
      <c r="AIR225" s="3297"/>
      <c r="AIS225" s="3297"/>
      <c r="AIT225" s="3297"/>
      <c r="AIU225" s="3297"/>
      <c r="AIV225" s="3297"/>
      <c r="AIW225" s="3297"/>
      <c r="AIX225" s="3297"/>
      <c r="AIY225" s="3297"/>
      <c r="AIZ225" s="3297"/>
      <c r="AJA225" s="3297"/>
      <c r="AJB225" s="3297"/>
      <c r="AJC225" s="3297"/>
      <c r="AJD225" s="3297"/>
      <c r="AJE225" s="3297"/>
      <c r="AJF225" s="3297"/>
      <c r="AJG225" s="3297"/>
      <c r="AJH225" s="3297"/>
      <c r="AJI225" s="3297"/>
      <c r="AJJ225" s="3297"/>
      <c r="AJK225" s="3297"/>
      <c r="AJL225" s="3297"/>
      <c r="AJM225" s="3297"/>
      <c r="AJN225" s="3297"/>
      <c r="AJO225" s="3297"/>
      <c r="AJP225" s="3297"/>
      <c r="AJQ225" s="3297"/>
      <c r="AJR225" s="3297"/>
      <c r="AJS225" s="3297"/>
      <c r="AJT225" s="3297"/>
      <c r="AJU225" s="3297"/>
      <c r="AJV225" s="3297"/>
      <c r="AJW225" s="3297"/>
      <c r="AJX225" s="3297"/>
      <c r="AJY225" s="3297"/>
      <c r="AJZ225" s="3297"/>
      <c r="AKA225" s="3297"/>
      <c r="AKB225" s="3297"/>
      <c r="AKC225" s="3297"/>
      <c r="AKD225" s="3297"/>
      <c r="AKE225" s="3297"/>
      <c r="AKF225" s="3297"/>
      <c r="AKG225" s="3297"/>
      <c r="AKH225" s="3297"/>
      <c r="AKI225" s="3297"/>
      <c r="AKJ225" s="3297"/>
      <c r="AKK225" s="3297"/>
      <c r="AKL225" s="3297"/>
      <c r="AKM225" s="3297"/>
      <c r="AKN225" s="3297"/>
      <c r="AKO225" s="3297"/>
      <c r="AKP225" s="3297"/>
      <c r="AKQ225" s="3297"/>
      <c r="AKR225" s="3297"/>
      <c r="AKS225" s="3297"/>
      <c r="AKT225" s="3297"/>
      <c r="AKU225" s="3297"/>
      <c r="AKV225" s="3297"/>
      <c r="AKW225" s="3297"/>
      <c r="AKX225" s="3297"/>
      <c r="AKY225" s="3297"/>
      <c r="AKZ225" s="3297"/>
      <c r="ALA225" s="3297"/>
      <c r="ALB225" s="3297"/>
      <c r="ALC225" s="3297"/>
      <c r="ALD225" s="3297"/>
      <c r="ALE225" s="3297"/>
      <c r="ALF225" s="3297"/>
      <c r="ALG225" s="3297"/>
      <c r="ALH225" s="3297"/>
      <c r="ALI225" s="3297"/>
      <c r="ALJ225" s="3297"/>
      <c r="ALK225" s="3297"/>
      <c r="ALL225" s="3297"/>
      <c r="ALM225" s="3297"/>
      <c r="ALN225" s="3297"/>
      <c r="ALO225" s="3297"/>
      <c r="ALP225" s="3297"/>
      <c r="ALQ225" s="3297"/>
      <c r="ALR225" s="3297"/>
      <c r="ALS225" s="3297"/>
      <c r="ALT225" s="3297"/>
      <c r="ALU225" s="3297"/>
      <c r="ALV225" s="3297"/>
      <c r="ALW225" s="3297"/>
      <c r="ALX225" s="3297"/>
      <c r="ALY225" s="3297"/>
      <c r="ALZ225" s="3297"/>
      <c r="AMA225" s="3297"/>
      <c r="AMB225" s="3297"/>
      <c r="AMC225" s="3297"/>
      <c r="AMD225" s="3297"/>
      <c r="AME225" s="3297"/>
      <c r="AMF225" s="3297"/>
      <c r="AMG225" s="3297"/>
      <c r="AMH225" s="3297"/>
      <c r="AMI225" s="3297"/>
      <c r="AMJ225" s="3297"/>
      <c r="AMK225" s="3297"/>
      <c r="AML225" s="3297"/>
      <c r="AMM225" s="3297"/>
      <c r="AMN225" s="3297"/>
      <c r="AMO225" s="3297"/>
      <c r="AMP225" s="3297"/>
      <c r="AMQ225" s="3297"/>
      <c r="AMR225" s="3297"/>
      <c r="AMS225" s="3297"/>
      <c r="AMT225" s="3297"/>
      <c r="AMU225" s="3297"/>
      <c r="AMV225" s="3297"/>
      <c r="AMW225" s="3297"/>
      <c r="AMX225" s="3297"/>
      <c r="AMY225" s="3297"/>
      <c r="AMZ225" s="3297"/>
      <c r="ANA225" s="3297"/>
      <c r="ANB225" s="3297"/>
      <c r="ANC225" s="3297"/>
      <c r="AND225" s="3297"/>
      <c r="ANE225" s="3297"/>
      <c r="ANF225" s="3297"/>
      <c r="ANG225" s="3297"/>
      <c r="ANH225" s="3297"/>
      <c r="ANI225" s="3297"/>
      <c r="ANJ225" s="3297"/>
      <c r="ANK225" s="3297"/>
      <c r="ANL225" s="3297"/>
      <c r="ANM225" s="3297"/>
      <c r="ANN225" s="3297"/>
      <c r="ANO225" s="3297"/>
      <c r="ANP225" s="3297"/>
      <c r="ANQ225" s="3297"/>
      <c r="ANR225" s="3297"/>
      <c r="ANS225" s="3297"/>
      <c r="ANT225" s="3297"/>
      <c r="ANU225" s="3297"/>
      <c r="ANV225" s="3297"/>
      <c r="ANW225" s="3297"/>
      <c r="ANX225" s="3297"/>
      <c r="ANY225" s="3297"/>
      <c r="ANZ225" s="3297"/>
      <c r="AOA225" s="3297"/>
      <c r="AOB225" s="3297"/>
      <c r="AOC225" s="3297"/>
      <c r="AOD225" s="3297"/>
      <c r="AOE225" s="3297"/>
      <c r="AOF225" s="3297"/>
      <c r="AOG225" s="3297"/>
      <c r="AOH225" s="3297"/>
      <c r="AOI225" s="3297"/>
      <c r="AOJ225" s="3297"/>
      <c r="AOK225" s="3297"/>
      <c r="AOL225" s="3297"/>
      <c r="AOM225" s="3297"/>
      <c r="AON225" s="3297"/>
      <c r="AOO225" s="3297"/>
      <c r="AOP225" s="3297"/>
      <c r="AOQ225" s="3297"/>
      <c r="AOR225" s="3297"/>
      <c r="AOS225" s="3297"/>
      <c r="AOT225" s="3297"/>
      <c r="AOU225" s="3297"/>
      <c r="AOV225" s="3297"/>
      <c r="AOW225" s="3297"/>
      <c r="AOX225" s="3297"/>
      <c r="AOY225" s="3297"/>
      <c r="AOZ225" s="3297"/>
      <c r="APA225" s="3297"/>
      <c r="APB225" s="3297"/>
      <c r="APC225" s="3297"/>
      <c r="APD225" s="3297"/>
      <c r="APE225" s="3297"/>
      <c r="APF225" s="3297"/>
      <c r="APG225" s="3297"/>
      <c r="APH225" s="3297"/>
      <c r="API225" s="3297"/>
      <c r="APJ225" s="3297"/>
      <c r="APK225" s="3297"/>
      <c r="APL225" s="3297"/>
      <c r="APM225" s="3297"/>
      <c r="APN225" s="3297"/>
      <c r="APO225" s="3297"/>
      <c r="APP225" s="3297"/>
      <c r="APQ225" s="3297"/>
      <c r="APR225" s="3297"/>
      <c r="APS225" s="3297"/>
      <c r="APT225" s="3297"/>
      <c r="APU225" s="3297"/>
      <c r="APV225" s="3297"/>
      <c r="APW225" s="3297"/>
      <c r="APX225" s="3297"/>
      <c r="APY225" s="3297"/>
      <c r="APZ225" s="3297"/>
      <c r="AQA225" s="3297"/>
      <c r="AQB225" s="3297"/>
      <c r="AQC225" s="3297"/>
      <c r="AQD225" s="3297"/>
      <c r="AQE225" s="3297"/>
      <c r="AQF225" s="3297"/>
      <c r="AQG225" s="3297"/>
      <c r="AQH225" s="3297"/>
      <c r="AQI225" s="3297"/>
      <c r="AQJ225" s="3297"/>
      <c r="AQK225" s="3297"/>
      <c r="AQL225" s="3297"/>
      <c r="AQM225" s="3297"/>
      <c r="AQN225" s="3297"/>
      <c r="AQO225" s="3297"/>
      <c r="AQP225" s="3297"/>
      <c r="AQQ225" s="3297"/>
      <c r="AQR225" s="3297"/>
      <c r="AQS225" s="3297"/>
      <c r="AQT225" s="3297"/>
      <c r="AQU225" s="3297"/>
      <c r="AQV225" s="3297"/>
      <c r="AQW225" s="3297"/>
      <c r="AQX225" s="3297"/>
      <c r="AQY225" s="3297"/>
      <c r="AQZ225" s="3297"/>
      <c r="ARA225" s="3297"/>
      <c r="ARB225" s="3297"/>
      <c r="ARC225" s="3297"/>
      <c r="ARD225" s="3297"/>
      <c r="ARE225" s="3297"/>
      <c r="ARF225" s="3297"/>
      <c r="ARG225" s="3297"/>
      <c r="ARH225" s="3297"/>
      <c r="ARI225" s="3297"/>
      <c r="ARJ225" s="3297"/>
      <c r="ARK225" s="3297"/>
      <c r="ARL225" s="3297"/>
      <c r="ARM225" s="3297"/>
      <c r="ARN225" s="3297"/>
      <c r="ARO225" s="3297"/>
      <c r="ARP225" s="3297"/>
      <c r="ARQ225" s="3297"/>
      <c r="ARR225" s="3297"/>
      <c r="ARS225" s="3297"/>
      <c r="ART225" s="3297"/>
      <c r="ARU225" s="3297"/>
      <c r="ARV225" s="3297"/>
      <c r="ARW225" s="3297"/>
      <c r="ARX225" s="3297"/>
      <c r="ARY225" s="3297"/>
      <c r="ARZ225" s="3297"/>
      <c r="ASA225" s="3297"/>
      <c r="ASB225" s="3297"/>
      <c r="ASC225" s="3297"/>
      <c r="ASD225" s="3297"/>
      <c r="ASE225" s="3297"/>
      <c r="ASF225" s="3297"/>
      <c r="ASG225" s="3297"/>
      <c r="ASH225" s="3297"/>
      <c r="ASI225" s="3297"/>
      <c r="ASJ225" s="3297"/>
      <c r="ASK225" s="3297"/>
      <c r="ASL225" s="3297"/>
      <c r="ASM225" s="3297"/>
      <c r="ASN225" s="3297"/>
      <c r="ASO225" s="3297"/>
      <c r="ASP225" s="3297"/>
      <c r="ASQ225" s="3297"/>
      <c r="ASR225" s="3297"/>
      <c r="ASS225" s="3297"/>
      <c r="AST225" s="3297"/>
      <c r="ASU225" s="3297"/>
      <c r="ASV225" s="3297"/>
      <c r="ASW225" s="3297"/>
      <c r="ASX225" s="3297"/>
      <c r="ASY225" s="3297"/>
      <c r="ASZ225" s="3297"/>
      <c r="ATA225" s="3297"/>
      <c r="ATB225" s="3297"/>
      <c r="ATC225" s="3297"/>
      <c r="ATD225" s="3297"/>
      <c r="ATE225" s="3297"/>
      <c r="ATF225" s="3297"/>
      <c r="ATG225" s="3297"/>
      <c r="ATH225" s="3297"/>
      <c r="ATI225" s="3297"/>
      <c r="ATJ225" s="3297"/>
      <c r="ATK225" s="3297"/>
      <c r="ATL225" s="3297"/>
      <c r="ATM225" s="3297"/>
      <c r="ATN225" s="3297"/>
      <c r="ATO225" s="3297"/>
      <c r="ATP225" s="3297"/>
      <c r="ATQ225" s="3297"/>
      <c r="ATR225" s="3297"/>
      <c r="ATS225" s="3297"/>
      <c r="ATT225" s="3297"/>
      <c r="ATU225" s="3297"/>
      <c r="ATV225" s="3297"/>
      <c r="ATW225" s="3297"/>
      <c r="ATX225" s="3297"/>
      <c r="ATY225" s="3297"/>
      <c r="ATZ225" s="3297"/>
      <c r="AUA225" s="3297"/>
      <c r="AUB225" s="3297"/>
      <c r="AUC225" s="3297"/>
      <c r="AUD225" s="3297"/>
      <c r="AUE225" s="3297"/>
      <c r="AUF225" s="3297"/>
      <c r="AUG225" s="3297"/>
      <c r="AUH225" s="3297"/>
      <c r="AUI225" s="3297"/>
      <c r="AUJ225" s="3297"/>
      <c r="AUK225" s="3297"/>
      <c r="AUL225" s="3297"/>
      <c r="AUM225" s="3297"/>
      <c r="AUN225" s="3297"/>
      <c r="AUO225" s="3297"/>
      <c r="AUP225" s="3297"/>
      <c r="AUQ225" s="3297"/>
      <c r="AUR225" s="3297"/>
      <c r="AUS225" s="3297"/>
      <c r="AUT225" s="3297"/>
      <c r="AUU225" s="3297"/>
      <c r="AUV225" s="3297"/>
      <c r="AUW225" s="3297"/>
      <c r="AUX225" s="3297"/>
      <c r="AUY225" s="3297"/>
      <c r="AUZ225" s="3297"/>
      <c r="AVA225" s="3297"/>
      <c r="AVB225" s="3297"/>
      <c r="AVC225" s="3297"/>
      <c r="AVD225" s="3297"/>
      <c r="AVE225" s="3297"/>
      <c r="AVF225" s="3297"/>
      <c r="AVG225" s="3297"/>
      <c r="AVH225" s="3297"/>
      <c r="AVI225" s="3297"/>
      <c r="AVJ225" s="3297"/>
      <c r="AVK225" s="3297"/>
      <c r="AVL225" s="3297"/>
      <c r="AVM225" s="3297"/>
      <c r="AVN225" s="3297"/>
      <c r="AVO225" s="3297"/>
      <c r="AVP225" s="3297"/>
      <c r="AVQ225" s="3297"/>
      <c r="AVR225" s="3297"/>
      <c r="AVS225" s="3297"/>
      <c r="AVT225" s="3297"/>
      <c r="AVU225" s="3297"/>
      <c r="AVV225" s="3297"/>
      <c r="AVW225" s="3297"/>
      <c r="AVX225" s="3297"/>
      <c r="AVY225" s="3297"/>
      <c r="AVZ225" s="3297"/>
      <c r="AWA225" s="3297"/>
      <c r="AWB225" s="3297"/>
      <c r="AWC225" s="3297"/>
      <c r="AWD225" s="3297"/>
      <c r="AWE225" s="3297"/>
      <c r="AWF225" s="3297"/>
      <c r="AWG225" s="3297"/>
      <c r="AWH225" s="3297"/>
      <c r="AWI225" s="3297"/>
      <c r="AWJ225" s="3297"/>
      <c r="AWK225" s="3297"/>
      <c r="AWL225" s="3297"/>
      <c r="AWM225" s="3297"/>
      <c r="AWN225" s="3297"/>
      <c r="AWO225" s="3297"/>
      <c r="AWP225" s="3297"/>
      <c r="AWQ225" s="3297"/>
      <c r="AWR225" s="3297"/>
      <c r="AWS225" s="3297"/>
      <c r="AWT225" s="3297"/>
      <c r="AWU225" s="3297"/>
      <c r="AWV225" s="3297"/>
      <c r="AWW225" s="3297"/>
      <c r="AWX225" s="3297"/>
      <c r="AWY225" s="3297"/>
      <c r="AWZ225" s="3297"/>
      <c r="AXA225" s="3297"/>
      <c r="AXB225" s="3297"/>
      <c r="AXC225" s="3297"/>
      <c r="AXD225" s="3297"/>
      <c r="AXE225" s="3297"/>
      <c r="AXF225" s="3297"/>
      <c r="AXG225" s="3297"/>
      <c r="AXH225" s="3297"/>
      <c r="AXI225" s="3297"/>
      <c r="AXJ225" s="3297"/>
    </row>
    <row r="226" spans="1:1310" s="3298" customFormat="1" ht="23.25" customHeight="1">
      <c r="A226" s="468"/>
      <c r="B226" s="6645" t="s">
        <v>3094</v>
      </c>
      <c r="C226" s="6645"/>
      <c r="D226" s="6645"/>
      <c r="E226" s="6645"/>
      <c r="F226" s="3300"/>
      <c r="G226" s="6645" t="s">
        <v>3095</v>
      </c>
      <c r="H226" s="6645"/>
      <c r="I226" s="6645"/>
      <c r="J226" s="3300"/>
      <c r="K226" s="6648" t="s">
        <v>3096</v>
      </c>
      <c r="L226" s="6648"/>
      <c r="M226" s="6648"/>
      <c r="N226" s="3300"/>
      <c r="O226" s="6645" t="s">
        <v>3097</v>
      </c>
      <c r="P226" s="6645"/>
      <c r="Q226" s="3300"/>
      <c r="R226" s="443"/>
      <c r="S226" s="443"/>
      <c r="T226" s="443"/>
      <c r="U226" s="443"/>
      <c r="V226" s="443"/>
      <c r="W226" s="443"/>
      <c r="X226" s="443"/>
      <c r="Y226" s="443"/>
      <c r="Z226" s="443"/>
      <c r="AA226" s="443"/>
      <c r="AB226" s="443"/>
      <c r="AC226" s="443"/>
      <c r="AD226" s="3297"/>
      <c r="AE226" s="3297"/>
      <c r="AF226" s="3297"/>
      <c r="AG226" s="3297"/>
      <c r="AH226" s="3297"/>
      <c r="AI226" s="3297"/>
      <c r="AJ226" s="3297"/>
      <c r="AK226" s="3297"/>
      <c r="AL226" s="3297"/>
      <c r="AM226" s="3297"/>
      <c r="AN226" s="3297"/>
      <c r="AO226" s="3297"/>
      <c r="AP226" s="3297"/>
      <c r="AQ226" s="3297"/>
      <c r="AR226" s="3297"/>
      <c r="AS226" s="3297"/>
      <c r="AT226" s="3297"/>
      <c r="AU226" s="3297"/>
      <c r="AV226" s="3297"/>
      <c r="AW226" s="3297"/>
      <c r="AX226" s="3297"/>
      <c r="AY226" s="3297"/>
      <c r="AZ226" s="3297"/>
      <c r="BA226" s="3297"/>
      <c r="BB226" s="3297"/>
      <c r="BC226" s="3297"/>
      <c r="BD226" s="3297"/>
      <c r="BE226" s="3297"/>
      <c r="BF226" s="3297"/>
      <c r="BG226" s="3297"/>
      <c r="BH226" s="3297"/>
      <c r="BI226" s="3297"/>
      <c r="BJ226" s="3297"/>
      <c r="BK226" s="3297"/>
      <c r="BL226" s="3297"/>
      <c r="BM226" s="3297"/>
      <c r="BN226" s="3297"/>
      <c r="BO226" s="3297"/>
      <c r="BP226" s="3297"/>
      <c r="BQ226" s="3297"/>
      <c r="BR226" s="3297"/>
      <c r="BS226" s="3297"/>
      <c r="BT226" s="3297"/>
      <c r="BU226" s="3297"/>
      <c r="BV226" s="3297"/>
      <c r="BW226" s="3297"/>
      <c r="BX226" s="3297"/>
      <c r="BY226" s="3297"/>
      <c r="BZ226" s="3297"/>
      <c r="CA226" s="3297"/>
      <c r="CB226" s="3297"/>
      <c r="CC226" s="3297"/>
      <c r="CD226" s="3297"/>
      <c r="CE226" s="3297"/>
      <c r="CF226" s="3297"/>
      <c r="CG226" s="3297"/>
      <c r="CH226" s="3297"/>
      <c r="CI226" s="3297"/>
      <c r="CJ226" s="3297"/>
      <c r="CK226" s="3297"/>
      <c r="CL226" s="3297"/>
      <c r="CM226" s="3297"/>
      <c r="CN226" s="3297"/>
      <c r="CO226" s="3297"/>
      <c r="CP226" s="3297"/>
      <c r="CQ226" s="3297"/>
      <c r="CR226" s="3297"/>
      <c r="CS226" s="3297"/>
      <c r="CT226" s="3297"/>
      <c r="CU226" s="3297"/>
      <c r="CV226" s="3297"/>
      <c r="CW226" s="3297"/>
      <c r="CX226" s="3297"/>
      <c r="CY226" s="3297"/>
      <c r="CZ226" s="3297"/>
      <c r="DA226" s="3297"/>
      <c r="DB226" s="3297"/>
      <c r="DC226" s="3297"/>
      <c r="DD226" s="3297"/>
      <c r="DE226" s="3297"/>
      <c r="DF226" s="3297"/>
      <c r="DG226" s="3297"/>
      <c r="DH226" s="3297"/>
      <c r="DI226" s="3297"/>
      <c r="DJ226" s="3297"/>
      <c r="DK226" s="3297"/>
      <c r="DL226" s="3297"/>
      <c r="DM226" s="3297"/>
      <c r="DN226" s="3297"/>
      <c r="DO226" s="3297"/>
      <c r="DP226" s="3297"/>
      <c r="DQ226" s="3297"/>
      <c r="DR226" s="3297"/>
      <c r="DS226" s="3297"/>
      <c r="DT226" s="3297"/>
      <c r="DU226" s="3297"/>
      <c r="DV226" s="3297"/>
      <c r="DW226" s="3297"/>
      <c r="DX226" s="3297"/>
      <c r="DY226" s="3297"/>
      <c r="DZ226" s="3297"/>
      <c r="EA226" s="3297"/>
      <c r="EB226" s="3297"/>
      <c r="EC226" s="3297"/>
      <c r="ED226" s="3297"/>
      <c r="EE226" s="3297"/>
      <c r="EF226" s="3297"/>
      <c r="EG226" s="3297"/>
      <c r="EH226" s="3297"/>
      <c r="EI226" s="3297"/>
      <c r="EJ226" s="3297"/>
      <c r="EK226" s="3297"/>
      <c r="EL226" s="3297"/>
      <c r="EM226" s="3297"/>
      <c r="EN226" s="3297"/>
      <c r="EO226" s="3297"/>
      <c r="EP226" s="3297"/>
      <c r="EQ226" s="3297"/>
      <c r="ER226" s="3297"/>
      <c r="ES226" s="3297"/>
      <c r="ET226" s="3297"/>
      <c r="EU226" s="3297"/>
      <c r="EV226" s="3297"/>
      <c r="EW226" s="3297"/>
      <c r="EX226" s="3297"/>
      <c r="EY226" s="3297"/>
      <c r="EZ226" s="3297"/>
      <c r="FA226" s="3297"/>
      <c r="FB226" s="3297"/>
      <c r="FC226" s="3297"/>
      <c r="FD226" s="3297"/>
      <c r="FE226" s="3297"/>
      <c r="FF226" s="3297"/>
      <c r="FG226" s="3297"/>
      <c r="FH226" s="3297"/>
      <c r="FI226" s="3297"/>
      <c r="FJ226" s="3297"/>
      <c r="FK226" s="3297"/>
      <c r="FL226" s="3297"/>
      <c r="FM226" s="3297"/>
      <c r="FN226" s="3297"/>
      <c r="FO226" s="3297"/>
      <c r="FP226" s="3297"/>
      <c r="FQ226" s="3297"/>
      <c r="FR226" s="3297"/>
      <c r="FS226" s="3297"/>
      <c r="FT226" s="3297"/>
      <c r="FU226" s="3297"/>
      <c r="FV226" s="3297"/>
      <c r="FW226" s="3297"/>
      <c r="FX226" s="3297"/>
      <c r="FY226" s="3297"/>
      <c r="FZ226" s="3297"/>
      <c r="GA226" s="3297"/>
      <c r="GB226" s="3297"/>
      <c r="GC226" s="3297"/>
      <c r="GD226" s="3297"/>
      <c r="GE226" s="3297"/>
      <c r="GF226" s="3297"/>
      <c r="GG226" s="3297"/>
      <c r="GH226" s="3297"/>
      <c r="GI226" s="3297"/>
      <c r="GJ226" s="3297"/>
      <c r="GK226" s="3297"/>
      <c r="GL226" s="3297"/>
      <c r="GM226" s="3297"/>
      <c r="GN226" s="3297"/>
      <c r="GO226" s="3297"/>
      <c r="GP226" s="3297"/>
      <c r="GQ226" s="3297"/>
      <c r="GR226" s="3297"/>
      <c r="GS226" s="3297"/>
      <c r="GT226" s="3297"/>
      <c r="GU226" s="3297"/>
      <c r="GV226" s="3297"/>
      <c r="GW226" s="3297"/>
      <c r="GX226" s="3297"/>
      <c r="GY226" s="3297"/>
      <c r="GZ226" s="3297"/>
      <c r="HA226" s="3297"/>
      <c r="HB226" s="3297"/>
      <c r="HC226" s="3297"/>
      <c r="HD226" s="3297"/>
      <c r="HE226" s="3297"/>
      <c r="HF226" s="3297"/>
      <c r="HG226" s="3297"/>
      <c r="HH226" s="3297"/>
      <c r="HI226" s="3297"/>
      <c r="HJ226" s="3297"/>
      <c r="HK226" s="3297"/>
      <c r="HL226" s="3297"/>
      <c r="HM226" s="3297"/>
      <c r="HN226" s="3297"/>
      <c r="HO226" s="3297"/>
      <c r="HP226" s="3297"/>
      <c r="HQ226" s="3297"/>
      <c r="HR226" s="3297"/>
      <c r="HS226" s="3297"/>
      <c r="HT226" s="3297"/>
      <c r="HU226" s="3297"/>
      <c r="HV226" s="3297"/>
      <c r="HW226" s="3297"/>
      <c r="HX226" s="3297"/>
      <c r="HY226" s="3297"/>
      <c r="HZ226" s="3297"/>
      <c r="IA226" s="3297"/>
      <c r="IB226" s="3297"/>
      <c r="IC226" s="3297"/>
      <c r="ID226" s="3297"/>
      <c r="IE226" s="3297"/>
      <c r="IF226" s="3297"/>
      <c r="IG226" s="3297"/>
      <c r="IH226" s="3297"/>
      <c r="II226" s="3297"/>
      <c r="IJ226" s="3297"/>
      <c r="IK226" s="3297"/>
      <c r="IL226" s="3297"/>
      <c r="IM226" s="3297"/>
      <c r="IN226" s="3297"/>
      <c r="IO226" s="3297"/>
      <c r="IP226" s="3297"/>
      <c r="IQ226" s="3297"/>
      <c r="IR226" s="3297"/>
      <c r="IS226" s="3297"/>
      <c r="IT226" s="3297"/>
      <c r="IU226" s="3297"/>
      <c r="IV226" s="3297"/>
      <c r="IW226" s="3297"/>
      <c r="IX226" s="3297"/>
      <c r="IY226" s="3297"/>
      <c r="IZ226" s="3297"/>
      <c r="JA226" s="3297"/>
      <c r="JB226" s="3297"/>
      <c r="JC226" s="3297"/>
      <c r="JD226" s="3297"/>
      <c r="JE226" s="3297"/>
      <c r="JF226" s="3297"/>
      <c r="JG226" s="3297"/>
      <c r="JH226" s="3297"/>
      <c r="JI226" s="3297"/>
      <c r="JJ226" s="3297"/>
      <c r="JK226" s="3297"/>
      <c r="JL226" s="3297"/>
      <c r="JM226" s="3297"/>
      <c r="JN226" s="3297"/>
      <c r="JO226" s="3297"/>
      <c r="JP226" s="3297"/>
      <c r="JQ226" s="3297"/>
      <c r="JR226" s="3297"/>
      <c r="JS226" s="3297"/>
      <c r="JT226" s="3297"/>
      <c r="JU226" s="3297"/>
      <c r="JV226" s="3297"/>
      <c r="JW226" s="3297"/>
      <c r="JX226" s="3297"/>
      <c r="JY226" s="3297"/>
      <c r="JZ226" s="3297"/>
      <c r="KA226" s="3297"/>
      <c r="KB226" s="3297"/>
      <c r="KC226" s="3297"/>
      <c r="KD226" s="3297"/>
      <c r="KE226" s="3297"/>
      <c r="KF226" s="3297"/>
      <c r="KG226" s="3297"/>
      <c r="KH226" s="3297"/>
      <c r="KI226" s="3297"/>
      <c r="KJ226" s="3297"/>
      <c r="KK226" s="3297"/>
      <c r="KL226" s="3297"/>
      <c r="KM226" s="3297"/>
      <c r="KN226" s="3297"/>
      <c r="KO226" s="3297"/>
      <c r="KP226" s="3297"/>
      <c r="KQ226" s="3297"/>
      <c r="KR226" s="3297"/>
      <c r="KS226" s="3297"/>
      <c r="KT226" s="3297"/>
      <c r="KU226" s="3297"/>
      <c r="KV226" s="3297"/>
      <c r="KW226" s="3297"/>
      <c r="KX226" s="3297"/>
      <c r="KY226" s="3297"/>
      <c r="KZ226" s="3297"/>
      <c r="LA226" s="3297"/>
      <c r="LB226" s="3297"/>
      <c r="LC226" s="3297"/>
      <c r="LD226" s="3297"/>
      <c r="LE226" s="3297"/>
      <c r="LF226" s="3297"/>
      <c r="LG226" s="3297"/>
      <c r="LH226" s="3297"/>
      <c r="LI226" s="3297"/>
      <c r="LJ226" s="3297"/>
      <c r="LK226" s="3297"/>
      <c r="LL226" s="3297"/>
      <c r="LM226" s="3297"/>
      <c r="LN226" s="3297"/>
      <c r="LO226" s="3297"/>
      <c r="LP226" s="3297"/>
      <c r="LQ226" s="3297"/>
      <c r="LR226" s="3297"/>
      <c r="LS226" s="3297"/>
      <c r="LT226" s="3297"/>
      <c r="LU226" s="3297"/>
      <c r="LV226" s="3297"/>
      <c r="LW226" s="3297"/>
      <c r="LX226" s="3297"/>
      <c r="LY226" s="3297"/>
      <c r="LZ226" s="3297"/>
      <c r="MA226" s="3297"/>
      <c r="MB226" s="3297"/>
      <c r="MC226" s="3297"/>
      <c r="MD226" s="3297"/>
      <c r="ME226" s="3297"/>
      <c r="MF226" s="3297"/>
      <c r="MG226" s="3297"/>
      <c r="MH226" s="3297"/>
      <c r="MI226" s="3297"/>
      <c r="MJ226" s="3297"/>
      <c r="MK226" s="3297"/>
      <c r="ML226" s="3297"/>
      <c r="MM226" s="3297"/>
      <c r="MN226" s="3297"/>
      <c r="MO226" s="3297"/>
      <c r="MP226" s="3297"/>
      <c r="MQ226" s="3297"/>
      <c r="MR226" s="3297"/>
      <c r="MS226" s="3297"/>
      <c r="MT226" s="3297"/>
      <c r="MU226" s="3297"/>
      <c r="MV226" s="3297"/>
      <c r="MW226" s="3297"/>
      <c r="MX226" s="3297"/>
      <c r="MY226" s="3297"/>
      <c r="MZ226" s="3297"/>
      <c r="NA226" s="3297"/>
      <c r="NB226" s="3297"/>
      <c r="NC226" s="3297"/>
      <c r="ND226" s="3297"/>
      <c r="NE226" s="3297"/>
      <c r="NF226" s="3297"/>
      <c r="NG226" s="3297"/>
      <c r="NH226" s="3297"/>
      <c r="NI226" s="3297"/>
      <c r="NJ226" s="3297"/>
      <c r="NK226" s="3297"/>
      <c r="NL226" s="3297"/>
      <c r="NM226" s="3297"/>
      <c r="NN226" s="3297"/>
      <c r="NO226" s="3297"/>
      <c r="NP226" s="3297"/>
      <c r="NQ226" s="3297"/>
      <c r="NR226" s="3297"/>
      <c r="NS226" s="3297"/>
      <c r="NT226" s="3297"/>
      <c r="NU226" s="3297"/>
      <c r="NV226" s="3297"/>
      <c r="NW226" s="3297"/>
      <c r="NX226" s="3297"/>
      <c r="NY226" s="3297"/>
      <c r="NZ226" s="3297"/>
      <c r="OA226" s="3297"/>
      <c r="OB226" s="3297"/>
      <c r="OC226" s="3297"/>
      <c r="OD226" s="3297"/>
      <c r="OE226" s="3297"/>
      <c r="OF226" s="3297"/>
      <c r="OG226" s="3297"/>
      <c r="OH226" s="3297"/>
      <c r="OI226" s="3297"/>
      <c r="OJ226" s="3297"/>
      <c r="OK226" s="3297"/>
      <c r="OL226" s="3297"/>
      <c r="OM226" s="3297"/>
      <c r="ON226" s="3297"/>
      <c r="OO226" s="3297"/>
      <c r="OP226" s="3297"/>
      <c r="OQ226" s="3297"/>
      <c r="OR226" s="3297"/>
      <c r="OS226" s="3297"/>
      <c r="OT226" s="3297"/>
      <c r="OU226" s="3297"/>
      <c r="OV226" s="3297"/>
      <c r="OW226" s="3297"/>
      <c r="OX226" s="3297"/>
      <c r="OY226" s="3297"/>
      <c r="OZ226" s="3297"/>
      <c r="PA226" s="3297"/>
      <c r="PB226" s="3297"/>
      <c r="PC226" s="3297"/>
      <c r="PD226" s="3297"/>
      <c r="PE226" s="3297"/>
      <c r="PF226" s="3297"/>
      <c r="PG226" s="3297"/>
      <c r="PH226" s="3297"/>
      <c r="PI226" s="3297"/>
      <c r="PJ226" s="3297"/>
      <c r="PK226" s="3297"/>
      <c r="PL226" s="3297"/>
      <c r="PM226" s="3297"/>
      <c r="PN226" s="3297"/>
      <c r="PO226" s="3297"/>
      <c r="PP226" s="3297"/>
      <c r="PQ226" s="3297"/>
      <c r="PR226" s="3297"/>
      <c r="PS226" s="3297"/>
      <c r="PT226" s="3297"/>
      <c r="PU226" s="3297"/>
      <c r="PV226" s="3297"/>
      <c r="PW226" s="3297"/>
      <c r="PX226" s="3297"/>
      <c r="PY226" s="3297"/>
      <c r="PZ226" s="3297"/>
      <c r="QA226" s="3297"/>
      <c r="QB226" s="3297"/>
      <c r="QC226" s="3297"/>
      <c r="QD226" s="3297"/>
      <c r="QE226" s="3297"/>
      <c r="QF226" s="3297"/>
      <c r="QG226" s="3297"/>
      <c r="QH226" s="3297"/>
      <c r="QI226" s="3297"/>
      <c r="QJ226" s="3297"/>
      <c r="QK226" s="3297"/>
      <c r="QL226" s="3297"/>
      <c r="QM226" s="3297"/>
      <c r="QN226" s="3297"/>
      <c r="QO226" s="3297"/>
      <c r="QP226" s="3297"/>
      <c r="QQ226" s="3297"/>
      <c r="QR226" s="3297"/>
      <c r="QS226" s="3297"/>
      <c r="QT226" s="3297"/>
      <c r="QU226" s="3297"/>
      <c r="QV226" s="3297"/>
      <c r="QW226" s="3297"/>
      <c r="QX226" s="3297"/>
      <c r="QY226" s="3297"/>
      <c r="QZ226" s="3297"/>
      <c r="RA226" s="3297"/>
      <c r="RB226" s="3297"/>
      <c r="RC226" s="3297"/>
      <c r="RD226" s="3297"/>
      <c r="RE226" s="3297"/>
      <c r="RF226" s="3297"/>
      <c r="RG226" s="3297"/>
      <c r="RH226" s="3297"/>
      <c r="RI226" s="3297"/>
      <c r="RJ226" s="3297"/>
      <c r="RK226" s="3297"/>
      <c r="RL226" s="3297"/>
      <c r="RM226" s="3297"/>
      <c r="RN226" s="3297"/>
      <c r="RO226" s="3297"/>
      <c r="RP226" s="3297"/>
      <c r="RQ226" s="3297"/>
      <c r="RR226" s="3297"/>
      <c r="RS226" s="3297"/>
      <c r="RT226" s="3297"/>
      <c r="RU226" s="3297"/>
      <c r="RV226" s="3297"/>
      <c r="RW226" s="3297"/>
      <c r="RX226" s="3297"/>
      <c r="RY226" s="3297"/>
      <c r="RZ226" s="3297"/>
      <c r="SA226" s="3297"/>
      <c r="SB226" s="3297"/>
      <c r="SC226" s="3297"/>
      <c r="SD226" s="3297"/>
      <c r="SE226" s="3297"/>
      <c r="SF226" s="3297"/>
      <c r="SG226" s="3297"/>
      <c r="SH226" s="3297"/>
      <c r="SI226" s="3297"/>
      <c r="SJ226" s="3297"/>
      <c r="SK226" s="3297"/>
      <c r="SL226" s="3297"/>
      <c r="SM226" s="3297"/>
      <c r="SN226" s="3297"/>
      <c r="SO226" s="3297"/>
      <c r="SP226" s="3297"/>
      <c r="SQ226" s="3297"/>
      <c r="SR226" s="3297"/>
      <c r="SS226" s="3297"/>
      <c r="ST226" s="3297"/>
      <c r="SU226" s="3297"/>
      <c r="SV226" s="3297"/>
      <c r="SW226" s="3297"/>
      <c r="SX226" s="3297"/>
      <c r="SY226" s="3297"/>
      <c r="SZ226" s="3297"/>
      <c r="TA226" s="3297"/>
      <c r="TB226" s="3297"/>
      <c r="TC226" s="3297"/>
      <c r="TD226" s="3297"/>
      <c r="TE226" s="3297"/>
      <c r="TF226" s="3297"/>
      <c r="TG226" s="3297"/>
      <c r="TH226" s="3297"/>
      <c r="TI226" s="3297"/>
      <c r="TJ226" s="3297"/>
      <c r="TK226" s="3297"/>
      <c r="TL226" s="3297"/>
      <c r="TM226" s="3297"/>
      <c r="TN226" s="3297"/>
      <c r="TO226" s="3297"/>
      <c r="TP226" s="3297"/>
      <c r="TQ226" s="3297"/>
      <c r="TR226" s="3297"/>
      <c r="TS226" s="3297"/>
      <c r="TT226" s="3297"/>
      <c r="TU226" s="3297"/>
      <c r="TV226" s="3297"/>
      <c r="TW226" s="3297"/>
      <c r="TX226" s="3297"/>
      <c r="TY226" s="3297"/>
      <c r="TZ226" s="3297"/>
      <c r="UA226" s="3297"/>
      <c r="UB226" s="3297"/>
      <c r="UC226" s="3297"/>
      <c r="UD226" s="3297"/>
      <c r="UE226" s="3297"/>
      <c r="UF226" s="3297"/>
      <c r="UG226" s="3297"/>
      <c r="UH226" s="3297"/>
      <c r="UI226" s="3297"/>
      <c r="UJ226" s="3297"/>
      <c r="UK226" s="3297"/>
      <c r="UL226" s="3297"/>
      <c r="UM226" s="3297"/>
      <c r="UN226" s="3297"/>
      <c r="UO226" s="3297"/>
      <c r="UP226" s="3297"/>
      <c r="UQ226" s="3297"/>
      <c r="UR226" s="3297"/>
      <c r="US226" s="3297"/>
      <c r="UT226" s="3297"/>
      <c r="UU226" s="3297"/>
      <c r="UV226" s="3297"/>
      <c r="UW226" s="3297"/>
      <c r="UX226" s="3297"/>
      <c r="UY226" s="3297"/>
      <c r="UZ226" s="3297"/>
      <c r="VA226" s="3297"/>
      <c r="VB226" s="3297"/>
      <c r="VC226" s="3297"/>
      <c r="VD226" s="3297"/>
      <c r="VE226" s="3297"/>
      <c r="VF226" s="3297"/>
      <c r="VG226" s="3297"/>
      <c r="VH226" s="3297"/>
      <c r="VI226" s="3297"/>
      <c r="VJ226" s="3297"/>
      <c r="VK226" s="3297"/>
      <c r="VL226" s="3297"/>
      <c r="VM226" s="3297"/>
      <c r="VN226" s="3297"/>
      <c r="VO226" s="3297"/>
      <c r="VP226" s="3297"/>
      <c r="VQ226" s="3297"/>
      <c r="VR226" s="3297"/>
      <c r="VS226" s="3297"/>
      <c r="VT226" s="3297"/>
      <c r="VU226" s="3297"/>
      <c r="VV226" s="3297"/>
      <c r="VW226" s="3297"/>
      <c r="VX226" s="3297"/>
      <c r="VY226" s="3297"/>
      <c r="VZ226" s="3297"/>
      <c r="WA226" s="3297"/>
      <c r="WB226" s="3297"/>
      <c r="WC226" s="3297"/>
      <c r="WD226" s="3297"/>
      <c r="WE226" s="3297"/>
      <c r="WF226" s="3297"/>
      <c r="WG226" s="3297"/>
      <c r="WH226" s="3297"/>
      <c r="WI226" s="3297"/>
      <c r="WJ226" s="3297"/>
      <c r="WK226" s="3297"/>
      <c r="WL226" s="3297"/>
      <c r="WM226" s="3297"/>
      <c r="WN226" s="3297"/>
      <c r="WO226" s="3297"/>
      <c r="WP226" s="3297"/>
      <c r="WQ226" s="3297"/>
      <c r="WR226" s="3297"/>
      <c r="WS226" s="3297"/>
      <c r="WT226" s="3297"/>
      <c r="WU226" s="3297"/>
      <c r="WV226" s="3297"/>
      <c r="WW226" s="3297"/>
      <c r="WX226" s="3297"/>
      <c r="WY226" s="3297"/>
      <c r="WZ226" s="3297"/>
      <c r="XA226" s="3297"/>
      <c r="XB226" s="3297"/>
      <c r="XC226" s="3297"/>
      <c r="XD226" s="3297"/>
      <c r="XE226" s="3297"/>
      <c r="XF226" s="3297"/>
      <c r="XG226" s="3297"/>
      <c r="XH226" s="3297"/>
      <c r="XI226" s="3297"/>
      <c r="XJ226" s="3297"/>
      <c r="XK226" s="3297"/>
      <c r="XL226" s="3297"/>
      <c r="XM226" s="3297"/>
      <c r="XN226" s="3297"/>
      <c r="XO226" s="3297"/>
      <c r="XP226" s="3297"/>
      <c r="XQ226" s="3297"/>
      <c r="XR226" s="3297"/>
      <c r="XS226" s="3297"/>
      <c r="XT226" s="3297"/>
      <c r="XU226" s="3297"/>
      <c r="XV226" s="3297"/>
      <c r="XW226" s="3297"/>
      <c r="XX226" s="3297"/>
      <c r="XY226" s="3297"/>
      <c r="XZ226" s="3297"/>
      <c r="YA226" s="3297"/>
      <c r="YB226" s="3297"/>
      <c r="YC226" s="3297"/>
      <c r="YD226" s="3297"/>
      <c r="YE226" s="3297"/>
      <c r="YF226" s="3297"/>
      <c r="YG226" s="3297"/>
      <c r="YH226" s="3297"/>
      <c r="YI226" s="3297"/>
      <c r="YJ226" s="3297"/>
      <c r="YK226" s="3297"/>
      <c r="YL226" s="3297"/>
      <c r="YM226" s="3297"/>
      <c r="YN226" s="3297"/>
      <c r="YO226" s="3297"/>
      <c r="YP226" s="3297"/>
      <c r="YQ226" s="3297"/>
      <c r="YR226" s="3297"/>
      <c r="YS226" s="3297"/>
      <c r="YT226" s="3297"/>
      <c r="YU226" s="3297"/>
      <c r="YV226" s="3297"/>
      <c r="YW226" s="3297"/>
      <c r="YX226" s="3297"/>
      <c r="YY226" s="3297"/>
      <c r="YZ226" s="3297"/>
      <c r="ZA226" s="3297"/>
      <c r="ZB226" s="3297"/>
      <c r="ZC226" s="3297"/>
      <c r="ZD226" s="3297"/>
      <c r="ZE226" s="3297"/>
      <c r="ZF226" s="3297"/>
      <c r="ZG226" s="3297"/>
      <c r="ZH226" s="3297"/>
      <c r="ZI226" s="3297"/>
      <c r="ZJ226" s="3297"/>
      <c r="ZK226" s="3297"/>
      <c r="ZL226" s="3297"/>
      <c r="ZM226" s="3297"/>
      <c r="ZN226" s="3297"/>
      <c r="ZO226" s="3297"/>
      <c r="ZP226" s="3297"/>
      <c r="ZQ226" s="3297"/>
      <c r="ZR226" s="3297"/>
      <c r="ZS226" s="3297"/>
      <c r="ZT226" s="3297"/>
      <c r="ZU226" s="3297"/>
      <c r="ZV226" s="3297"/>
      <c r="ZW226" s="3297"/>
      <c r="ZX226" s="3297"/>
      <c r="ZY226" s="3297"/>
      <c r="ZZ226" s="3297"/>
      <c r="AAA226" s="3297"/>
      <c r="AAB226" s="3297"/>
      <c r="AAC226" s="3297"/>
      <c r="AAD226" s="3297"/>
      <c r="AAE226" s="3297"/>
      <c r="AAF226" s="3297"/>
      <c r="AAG226" s="3297"/>
      <c r="AAH226" s="3297"/>
      <c r="AAI226" s="3297"/>
      <c r="AAJ226" s="3297"/>
      <c r="AAK226" s="3297"/>
      <c r="AAL226" s="3297"/>
      <c r="AAM226" s="3297"/>
      <c r="AAN226" s="3297"/>
      <c r="AAO226" s="3297"/>
      <c r="AAP226" s="3297"/>
      <c r="AAQ226" s="3297"/>
      <c r="AAR226" s="3297"/>
      <c r="AAS226" s="3297"/>
      <c r="AAT226" s="3297"/>
      <c r="AAU226" s="3297"/>
      <c r="AAV226" s="3297"/>
      <c r="AAW226" s="3297"/>
      <c r="AAX226" s="3297"/>
      <c r="AAY226" s="3297"/>
      <c r="AAZ226" s="3297"/>
      <c r="ABA226" s="3297"/>
      <c r="ABB226" s="3297"/>
      <c r="ABC226" s="3297"/>
      <c r="ABD226" s="3297"/>
      <c r="ABE226" s="3297"/>
      <c r="ABF226" s="3297"/>
      <c r="ABG226" s="3297"/>
      <c r="ABH226" s="3297"/>
      <c r="ABI226" s="3297"/>
      <c r="ABJ226" s="3297"/>
      <c r="ABK226" s="3297"/>
      <c r="ABL226" s="3297"/>
      <c r="ABM226" s="3297"/>
      <c r="ABN226" s="3297"/>
      <c r="ABO226" s="3297"/>
      <c r="ABP226" s="3297"/>
      <c r="ABQ226" s="3297"/>
      <c r="ABR226" s="3297"/>
      <c r="ABS226" s="3297"/>
      <c r="ABT226" s="3297"/>
      <c r="ABU226" s="3297"/>
      <c r="ABV226" s="3297"/>
      <c r="ABW226" s="3297"/>
      <c r="ABX226" s="3297"/>
      <c r="ABY226" s="3297"/>
      <c r="ABZ226" s="3297"/>
      <c r="ACA226" s="3297"/>
      <c r="ACB226" s="3297"/>
      <c r="ACC226" s="3297"/>
      <c r="ACD226" s="3297"/>
      <c r="ACE226" s="3297"/>
      <c r="ACF226" s="3297"/>
      <c r="ACG226" s="3297"/>
      <c r="ACH226" s="3297"/>
      <c r="ACI226" s="3297"/>
      <c r="ACJ226" s="3297"/>
      <c r="ACK226" s="3297"/>
      <c r="ACL226" s="3297"/>
      <c r="ACM226" s="3297"/>
      <c r="ACN226" s="3297"/>
      <c r="ACO226" s="3297"/>
      <c r="ACP226" s="3297"/>
      <c r="ACQ226" s="3297"/>
      <c r="ACR226" s="3297"/>
      <c r="ACS226" s="3297"/>
      <c r="ACT226" s="3297"/>
      <c r="ACU226" s="3297"/>
      <c r="ACV226" s="3297"/>
      <c r="ACW226" s="3297"/>
      <c r="ACX226" s="3297"/>
      <c r="ACY226" s="3297"/>
      <c r="ACZ226" s="3297"/>
      <c r="ADA226" s="3297"/>
      <c r="ADB226" s="3297"/>
      <c r="ADC226" s="3297"/>
      <c r="ADD226" s="3297"/>
      <c r="ADE226" s="3297"/>
      <c r="ADF226" s="3297"/>
      <c r="ADG226" s="3297"/>
      <c r="ADH226" s="3297"/>
      <c r="ADI226" s="3297"/>
      <c r="ADJ226" s="3297"/>
      <c r="ADK226" s="3297"/>
      <c r="ADL226" s="3297"/>
      <c r="ADM226" s="3297"/>
      <c r="ADN226" s="3297"/>
      <c r="ADO226" s="3297"/>
      <c r="ADP226" s="3297"/>
      <c r="ADQ226" s="3297"/>
      <c r="ADR226" s="3297"/>
      <c r="ADS226" s="3297"/>
      <c r="ADT226" s="3297"/>
      <c r="ADU226" s="3297"/>
      <c r="ADV226" s="3297"/>
      <c r="ADW226" s="3297"/>
      <c r="ADX226" s="3297"/>
      <c r="ADY226" s="3297"/>
      <c r="ADZ226" s="3297"/>
      <c r="AEA226" s="3297"/>
      <c r="AEB226" s="3297"/>
      <c r="AEC226" s="3297"/>
      <c r="AED226" s="3297"/>
      <c r="AEE226" s="3297"/>
      <c r="AEF226" s="3297"/>
      <c r="AEG226" s="3297"/>
      <c r="AEH226" s="3297"/>
      <c r="AEI226" s="3297"/>
      <c r="AEJ226" s="3297"/>
      <c r="AEK226" s="3297"/>
      <c r="AEL226" s="3297"/>
      <c r="AEM226" s="3297"/>
      <c r="AEN226" s="3297"/>
      <c r="AEO226" s="3297"/>
      <c r="AEP226" s="3297"/>
      <c r="AEQ226" s="3297"/>
      <c r="AER226" s="3297"/>
      <c r="AES226" s="3297"/>
      <c r="AET226" s="3297"/>
      <c r="AEU226" s="3297"/>
      <c r="AEV226" s="3297"/>
      <c r="AEW226" s="3297"/>
      <c r="AEX226" s="3297"/>
      <c r="AEY226" s="3297"/>
      <c r="AEZ226" s="3297"/>
      <c r="AFA226" s="3297"/>
      <c r="AFB226" s="3297"/>
      <c r="AFC226" s="3297"/>
      <c r="AFD226" s="3297"/>
      <c r="AFE226" s="3297"/>
      <c r="AFF226" s="3297"/>
      <c r="AFG226" s="3297"/>
      <c r="AFH226" s="3297"/>
      <c r="AFI226" s="3297"/>
      <c r="AFJ226" s="3297"/>
      <c r="AFK226" s="3297"/>
      <c r="AFL226" s="3297"/>
      <c r="AFM226" s="3297"/>
      <c r="AFN226" s="3297"/>
      <c r="AFO226" s="3297"/>
      <c r="AFP226" s="3297"/>
      <c r="AFQ226" s="3297"/>
      <c r="AFR226" s="3297"/>
      <c r="AFS226" s="3297"/>
      <c r="AFT226" s="3297"/>
      <c r="AFU226" s="3297"/>
      <c r="AFV226" s="3297"/>
      <c r="AFW226" s="3297"/>
      <c r="AFX226" s="3297"/>
      <c r="AFY226" s="3297"/>
      <c r="AFZ226" s="3297"/>
      <c r="AGA226" s="3297"/>
      <c r="AGB226" s="3297"/>
      <c r="AGC226" s="3297"/>
      <c r="AGD226" s="3297"/>
      <c r="AGE226" s="3297"/>
      <c r="AGF226" s="3297"/>
      <c r="AGG226" s="3297"/>
      <c r="AGH226" s="3297"/>
      <c r="AGI226" s="3297"/>
      <c r="AGJ226" s="3297"/>
      <c r="AGK226" s="3297"/>
      <c r="AGL226" s="3297"/>
      <c r="AGM226" s="3297"/>
      <c r="AGN226" s="3297"/>
      <c r="AGO226" s="3297"/>
      <c r="AGP226" s="3297"/>
      <c r="AGQ226" s="3297"/>
      <c r="AGR226" s="3297"/>
      <c r="AGS226" s="3297"/>
      <c r="AGT226" s="3297"/>
      <c r="AGU226" s="3297"/>
      <c r="AGV226" s="3297"/>
      <c r="AGW226" s="3297"/>
      <c r="AGX226" s="3297"/>
      <c r="AGY226" s="3297"/>
      <c r="AGZ226" s="3297"/>
      <c r="AHA226" s="3297"/>
      <c r="AHB226" s="3297"/>
      <c r="AHC226" s="3297"/>
      <c r="AHD226" s="3297"/>
      <c r="AHE226" s="3297"/>
      <c r="AHF226" s="3297"/>
      <c r="AHG226" s="3297"/>
      <c r="AHH226" s="3297"/>
      <c r="AHI226" s="3297"/>
      <c r="AHJ226" s="3297"/>
      <c r="AHK226" s="3297"/>
      <c r="AHL226" s="3297"/>
      <c r="AHM226" s="3297"/>
      <c r="AHN226" s="3297"/>
      <c r="AHO226" s="3297"/>
      <c r="AHP226" s="3297"/>
      <c r="AHQ226" s="3297"/>
      <c r="AHR226" s="3297"/>
      <c r="AHS226" s="3297"/>
      <c r="AHT226" s="3297"/>
      <c r="AHU226" s="3297"/>
      <c r="AHV226" s="3297"/>
      <c r="AHW226" s="3297"/>
      <c r="AHX226" s="3297"/>
      <c r="AHY226" s="3297"/>
      <c r="AHZ226" s="3297"/>
      <c r="AIA226" s="3297"/>
      <c r="AIB226" s="3297"/>
      <c r="AIC226" s="3297"/>
      <c r="AID226" s="3297"/>
      <c r="AIE226" s="3297"/>
      <c r="AIF226" s="3297"/>
      <c r="AIG226" s="3297"/>
      <c r="AIH226" s="3297"/>
      <c r="AII226" s="3297"/>
      <c r="AIJ226" s="3297"/>
      <c r="AIK226" s="3297"/>
      <c r="AIL226" s="3297"/>
      <c r="AIM226" s="3297"/>
      <c r="AIN226" s="3297"/>
      <c r="AIO226" s="3297"/>
      <c r="AIP226" s="3297"/>
      <c r="AIQ226" s="3297"/>
      <c r="AIR226" s="3297"/>
      <c r="AIS226" s="3297"/>
      <c r="AIT226" s="3297"/>
      <c r="AIU226" s="3297"/>
      <c r="AIV226" s="3297"/>
      <c r="AIW226" s="3297"/>
      <c r="AIX226" s="3297"/>
      <c r="AIY226" s="3297"/>
      <c r="AIZ226" s="3297"/>
      <c r="AJA226" s="3297"/>
      <c r="AJB226" s="3297"/>
      <c r="AJC226" s="3297"/>
      <c r="AJD226" s="3297"/>
      <c r="AJE226" s="3297"/>
      <c r="AJF226" s="3297"/>
      <c r="AJG226" s="3297"/>
      <c r="AJH226" s="3297"/>
      <c r="AJI226" s="3297"/>
      <c r="AJJ226" s="3297"/>
      <c r="AJK226" s="3297"/>
      <c r="AJL226" s="3297"/>
      <c r="AJM226" s="3297"/>
      <c r="AJN226" s="3297"/>
      <c r="AJO226" s="3297"/>
      <c r="AJP226" s="3297"/>
      <c r="AJQ226" s="3297"/>
      <c r="AJR226" s="3297"/>
      <c r="AJS226" s="3297"/>
      <c r="AJT226" s="3297"/>
      <c r="AJU226" s="3297"/>
      <c r="AJV226" s="3297"/>
      <c r="AJW226" s="3297"/>
      <c r="AJX226" s="3297"/>
      <c r="AJY226" s="3297"/>
      <c r="AJZ226" s="3297"/>
      <c r="AKA226" s="3297"/>
      <c r="AKB226" s="3297"/>
      <c r="AKC226" s="3297"/>
      <c r="AKD226" s="3297"/>
      <c r="AKE226" s="3297"/>
      <c r="AKF226" s="3297"/>
      <c r="AKG226" s="3297"/>
      <c r="AKH226" s="3297"/>
      <c r="AKI226" s="3297"/>
      <c r="AKJ226" s="3297"/>
      <c r="AKK226" s="3297"/>
      <c r="AKL226" s="3297"/>
      <c r="AKM226" s="3297"/>
      <c r="AKN226" s="3297"/>
      <c r="AKO226" s="3297"/>
      <c r="AKP226" s="3297"/>
      <c r="AKQ226" s="3297"/>
      <c r="AKR226" s="3297"/>
      <c r="AKS226" s="3297"/>
      <c r="AKT226" s="3297"/>
      <c r="AKU226" s="3297"/>
      <c r="AKV226" s="3297"/>
      <c r="AKW226" s="3297"/>
      <c r="AKX226" s="3297"/>
      <c r="AKY226" s="3297"/>
      <c r="AKZ226" s="3297"/>
      <c r="ALA226" s="3297"/>
      <c r="ALB226" s="3297"/>
      <c r="ALC226" s="3297"/>
      <c r="ALD226" s="3297"/>
      <c r="ALE226" s="3297"/>
      <c r="ALF226" s="3297"/>
      <c r="ALG226" s="3297"/>
      <c r="ALH226" s="3297"/>
      <c r="ALI226" s="3297"/>
      <c r="ALJ226" s="3297"/>
      <c r="ALK226" s="3297"/>
      <c r="ALL226" s="3297"/>
      <c r="ALM226" s="3297"/>
      <c r="ALN226" s="3297"/>
      <c r="ALO226" s="3297"/>
      <c r="ALP226" s="3297"/>
      <c r="ALQ226" s="3297"/>
      <c r="ALR226" s="3297"/>
      <c r="ALS226" s="3297"/>
      <c r="ALT226" s="3297"/>
      <c r="ALU226" s="3297"/>
      <c r="ALV226" s="3297"/>
      <c r="ALW226" s="3297"/>
      <c r="ALX226" s="3297"/>
      <c r="ALY226" s="3297"/>
      <c r="ALZ226" s="3297"/>
      <c r="AMA226" s="3297"/>
      <c r="AMB226" s="3297"/>
      <c r="AMC226" s="3297"/>
      <c r="AMD226" s="3297"/>
      <c r="AME226" s="3297"/>
      <c r="AMF226" s="3297"/>
      <c r="AMG226" s="3297"/>
      <c r="AMH226" s="3297"/>
      <c r="AMI226" s="3297"/>
      <c r="AMJ226" s="3297"/>
      <c r="AMK226" s="3297"/>
      <c r="AML226" s="3297"/>
      <c r="AMM226" s="3297"/>
      <c r="AMN226" s="3297"/>
      <c r="AMO226" s="3297"/>
      <c r="AMP226" s="3297"/>
      <c r="AMQ226" s="3297"/>
      <c r="AMR226" s="3297"/>
      <c r="AMS226" s="3297"/>
      <c r="AMT226" s="3297"/>
      <c r="AMU226" s="3297"/>
      <c r="AMV226" s="3297"/>
      <c r="AMW226" s="3297"/>
      <c r="AMX226" s="3297"/>
      <c r="AMY226" s="3297"/>
      <c r="AMZ226" s="3297"/>
      <c r="ANA226" s="3297"/>
      <c r="ANB226" s="3297"/>
      <c r="ANC226" s="3297"/>
      <c r="AND226" s="3297"/>
      <c r="ANE226" s="3297"/>
      <c r="ANF226" s="3297"/>
      <c r="ANG226" s="3297"/>
      <c r="ANH226" s="3297"/>
      <c r="ANI226" s="3297"/>
      <c r="ANJ226" s="3297"/>
      <c r="ANK226" s="3297"/>
      <c r="ANL226" s="3297"/>
      <c r="ANM226" s="3297"/>
      <c r="ANN226" s="3297"/>
      <c r="ANO226" s="3297"/>
      <c r="ANP226" s="3297"/>
      <c r="ANQ226" s="3297"/>
      <c r="ANR226" s="3297"/>
      <c r="ANS226" s="3297"/>
      <c r="ANT226" s="3297"/>
      <c r="ANU226" s="3297"/>
      <c r="ANV226" s="3297"/>
      <c r="ANW226" s="3297"/>
      <c r="ANX226" s="3297"/>
      <c r="ANY226" s="3297"/>
      <c r="ANZ226" s="3297"/>
      <c r="AOA226" s="3297"/>
      <c r="AOB226" s="3297"/>
      <c r="AOC226" s="3297"/>
      <c r="AOD226" s="3297"/>
      <c r="AOE226" s="3297"/>
      <c r="AOF226" s="3297"/>
      <c r="AOG226" s="3297"/>
      <c r="AOH226" s="3297"/>
      <c r="AOI226" s="3297"/>
      <c r="AOJ226" s="3297"/>
      <c r="AOK226" s="3297"/>
      <c r="AOL226" s="3297"/>
      <c r="AOM226" s="3297"/>
      <c r="AON226" s="3297"/>
      <c r="AOO226" s="3297"/>
      <c r="AOP226" s="3297"/>
      <c r="AOQ226" s="3297"/>
      <c r="AOR226" s="3297"/>
      <c r="AOS226" s="3297"/>
      <c r="AOT226" s="3297"/>
      <c r="AOU226" s="3297"/>
      <c r="AOV226" s="3297"/>
      <c r="AOW226" s="3297"/>
      <c r="AOX226" s="3297"/>
      <c r="AOY226" s="3297"/>
      <c r="AOZ226" s="3297"/>
      <c r="APA226" s="3297"/>
      <c r="APB226" s="3297"/>
      <c r="APC226" s="3297"/>
      <c r="APD226" s="3297"/>
      <c r="APE226" s="3297"/>
      <c r="APF226" s="3297"/>
      <c r="APG226" s="3297"/>
      <c r="APH226" s="3297"/>
      <c r="API226" s="3297"/>
      <c r="APJ226" s="3297"/>
      <c r="APK226" s="3297"/>
      <c r="APL226" s="3297"/>
      <c r="APM226" s="3297"/>
      <c r="APN226" s="3297"/>
      <c r="APO226" s="3297"/>
      <c r="APP226" s="3297"/>
      <c r="APQ226" s="3297"/>
      <c r="APR226" s="3297"/>
      <c r="APS226" s="3297"/>
      <c r="APT226" s="3297"/>
      <c r="APU226" s="3297"/>
      <c r="APV226" s="3297"/>
      <c r="APW226" s="3297"/>
      <c r="APX226" s="3297"/>
      <c r="APY226" s="3297"/>
      <c r="APZ226" s="3297"/>
      <c r="AQA226" s="3297"/>
      <c r="AQB226" s="3297"/>
      <c r="AQC226" s="3297"/>
      <c r="AQD226" s="3297"/>
      <c r="AQE226" s="3297"/>
      <c r="AQF226" s="3297"/>
      <c r="AQG226" s="3297"/>
      <c r="AQH226" s="3297"/>
      <c r="AQI226" s="3297"/>
      <c r="AQJ226" s="3297"/>
      <c r="AQK226" s="3297"/>
      <c r="AQL226" s="3297"/>
      <c r="AQM226" s="3297"/>
      <c r="AQN226" s="3297"/>
      <c r="AQO226" s="3297"/>
      <c r="AQP226" s="3297"/>
      <c r="AQQ226" s="3297"/>
      <c r="AQR226" s="3297"/>
      <c r="AQS226" s="3297"/>
      <c r="AQT226" s="3297"/>
      <c r="AQU226" s="3297"/>
      <c r="AQV226" s="3297"/>
      <c r="AQW226" s="3297"/>
      <c r="AQX226" s="3297"/>
      <c r="AQY226" s="3297"/>
      <c r="AQZ226" s="3297"/>
      <c r="ARA226" s="3297"/>
      <c r="ARB226" s="3297"/>
      <c r="ARC226" s="3297"/>
      <c r="ARD226" s="3297"/>
      <c r="ARE226" s="3297"/>
      <c r="ARF226" s="3297"/>
      <c r="ARG226" s="3297"/>
      <c r="ARH226" s="3297"/>
      <c r="ARI226" s="3297"/>
      <c r="ARJ226" s="3297"/>
      <c r="ARK226" s="3297"/>
      <c r="ARL226" s="3297"/>
      <c r="ARM226" s="3297"/>
      <c r="ARN226" s="3297"/>
      <c r="ARO226" s="3297"/>
      <c r="ARP226" s="3297"/>
      <c r="ARQ226" s="3297"/>
      <c r="ARR226" s="3297"/>
      <c r="ARS226" s="3297"/>
      <c r="ART226" s="3297"/>
      <c r="ARU226" s="3297"/>
      <c r="ARV226" s="3297"/>
      <c r="ARW226" s="3297"/>
      <c r="ARX226" s="3297"/>
      <c r="ARY226" s="3297"/>
      <c r="ARZ226" s="3297"/>
      <c r="ASA226" s="3297"/>
      <c r="ASB226" s="3297"/>
      <c r="ASC226" s="3297"/>
      <c r="ASD226" s="3297"/>
      <c r="ASE226" s="3297"/>
      <c r="ASF226" s="3297"/>
      <c r="ASG226" s="3297"/>
      <c r="ASH226" s="3297"/>
      <c r="ASI226" s="3297"/>
      <c r="ASJ226" s="3297"/>
      <c r="ASK226" s="3297"/>
      <c r="ASL226" s="3297"/>
      <c r="ASM226" s="3297"/>
      <c r="ASN226" s="3297"/>
      <c r="ASO226" s="3297"/>
      <c r="ASP226" s="3297"/>
      <c r="ASQ226" s="3297"/>
      <c r="ASR226" s="3297"/>
      <c r="ASS226" s="3297"/>
      <c r="AST226" s="3297"/>
      <c r="ASU226" s="3297"/>
      <c r="ASV226" s="3297"/>
      <c r="ASW226" s="3297"/>
      <c r="ASX226" s="3297"/>
      <c r="ASY226" s="3297"/>
      <c r="ASZ226" s="3297"/>
      <c r="ATA226" s="3297"/>
      <c r="ATB226" s="3297"/>
      <c r="ATC226" s="3297"/>
      <c r="ATD226" s="3297"/>
      <c r="ATE226" s="3297"/>
      <c r="ATF226" s="3297"/>
      <c r="ATG226" s="3297"/>
      <c r="ATH226" s="3297"/>
      <c r="ATI226" s="3297"/>
      <c r="ATJ226" s="3297"/>
      <c r="ATK226" s="3297"/>
      <c r="ATL226" s="3297"/>
      <c r="ATM226" s="3297"/>
      <c r="ATN226" s="3297"/>
      <c r="ATO226" s="3297"/>
      <c r="ATP226" s="3297"/>
      <c r="ATQ226" s="3297"/>
      <c r="ATR226" s="3297"/>
      <c r="ATS226" s="3297"/>
      <c r="ATT226" s="3297"/>
      <c r="ATU226" s="3297"/>
      <c r="ATV226" s="3297"/>
      <c r="ATW226" s="3297"/>
      <c r="ATX226" s="3297"/>
      <c r="ATY226" s="3297"/>
      <c r="ATZ226" s="3297"/>
      <c r="AUA226" s="3297"/>
      <c r="AUB226" s="3297"/>
      <c r="AUC226" s="3297"/>
      <c r="AUD226" s="3297"/>
      <c r="AUE226" s="3297"/>
      <c r="AUF226" s="3297"/>
      <c r="AUG226" s="3297"/>
      <c r="AUH226" s="3297"/>
      <c r="AUI226" s="3297"/>
      <c r="AUJ226" s="3297"/>
      <c r="AUK226" s="3297"/>
      <c r="AUL226" s="3297"/>
      <c r="AUM226" s="3297"/>
      <c r="AUN226" s="3297"/>
      <c r="AUO226" s="3297"/>
      <c r="AUP226" s="3297"/>
      <c r="AUQ226" s="3297"/>
      <c r="AUR226" s="3297"/>
      <c r="AUS226" s="3297"/>
      <c r="AUT226" s="3297"/>
      <c r="AUU226" s="3297"/>
      <c r="AUV226" s="3297"/>
      <c r="AUW226" s="3297"/>
      <c r="AUX226" s="3297"/>
      <c r="AUY226" s="3297"/>
      <c r="AUZ226" s="3297"/>
      <c r="AVA226" s="3297"/>
      <c r="AVB226" s="3297"/>
      <c r="AVC226" s="3297"/>
      <c r="AVD226" s="3297"/>
      <c r="AVE226" s="3297"/>
      <c r="AVF226" s="3297"/>
      <c r="AVG226" s="3297"/>
      <c r="AVH226" s="3297"/>
      <c r="AVI226" s="3297"/>
      <c r="AVJ226" s="3297"/>
      <c r="AVK226" s="3297"/>
      <c r="AVL226" s="3297"/>
      <c r="AVM226" s="3297"/>
      <c r="AVN226" s="3297"/>
      <c r="AVO226" s="3297"/>
      <c r="AVP226" s="3297"/>
      <c r="AVQ226" s="3297"/>
      <c r="AVR226" s="3297"/>
      <c r="AVS226" s="3297"/>
      <c r="AVT226" s="3297"/>
      <c r="AVU226" s="3297"/>
      <c r="AVV226" s="3297"/>
      <c r="AVW226" s="3297"/>
      <c r="AVX226" s="3297"/>
      <c r="AVY226" s="3297"/>
      <c r="AVZ226" s="3297"/>
      <c r="AWA226" s="3297"/>
      <c r="AWB226" s="3297"/>
      <c r="AWC226" s="3297"/>
      <c r="AWD226" s="3297"/>
      <c r="AWE226" s="3297"/>
      <c r="AWF226" s="3297"/>
      <c r="AWG226" s="3297"/>
      <c r="AWH226" s="3297"/>
      <c r="AWI226" s="3297"/>
      <c r="AWJ226" s="3297"/>
      <c r="AWK226" s="3297"/>
      <c r="AWL226" s="3297"/>
      <c r="AWM226" s="3297"/>
      <c r="AWN226" s="3297"/>
      <c r="AWO226" s="3297"/>
      <c r="AWP226" s="3297"/>
      <c r="AWQ226" s="3297"/>
      <c r="AWR226" s="3297"/>
      <c r="AWS226" s="3297"/>
      <c r="AWT226" s="3297"/>
      <c r="AWU226" s="3297"/>
      <c r="AWV226" s="3297"/>
      <c r="AWW226" s="3297"/>
      <c r="AWX226" s="3297"/>
      <c r="AWY226" s="3297"/>
      <c r="AWZ226" s="3297"/>
      <c r="AXA226" s="3297"/>
      <c r="AXB226" s="3297"/>
      <c r="AXC226" s="3297"/>
      <c r="AXD226" s="3297"/>
      <c r="AXE226" s="3297"/>
      <c r="AXF226" s="3297"/>
      <c r="AXG226" s="3297"/>
      <c r="AXH226" s="3297"/>
      <c r="AXI226" s="3297"/>
      <c r="AXJ226" s="3297"/>
    </row>
    <row r="227" spans="1:1310" s="3298" customFormat="1" ht="23.25" customHeight="1">
      <c r="A227" s="468"/>
      <c r="B227" s="6645" t="s">
        <v>3098</v>
      </c>
      <c r="C227" s="6645"/>
      <c r="D227" s="6645"/>
      <c r="E227" s="6645"/>
      <c r="F227" s="3300"/>
      <c r="G227" s="6645" t="s">
        <v>3099</v>
      </c>
      <c r="H227" s="6645"/>
      <c r="I227" s="6645"/>
      <c r="J227" s="3300"/>
      <c r="K227" s="6648"/>
      <c r="L227" s="6648"/>
      <c r="M227" s="6648"/>
      <c r="N227" s="3300"/>
      <c r="O227" s="6645" t="s">
        <v>3100</v>
      </c>
      <c r="P227" s="6645"/>
      <c r="Q227" s="3300"/>
      <c r="R227" s="443"/>
      <c r="S227" s="443"/>
      <c r="T227" s="443"/>
      <c r="U227" s="443"/>
      <c r="V227" s="443"/>
      <c r="W227" s="443"/>
      <c r="X227" s="443"/>
      <c r="Y227" s="443"/>
      <c r="Z227" s="443"/>
      <c r="AA227" s="443"/>
      <c r="AB227" s="443"/>
      <c r="AC227" s="443"/>
      <c r="AD227" s="3297"/>
      <c r="AE227" s="3297"/>
      <c r="AF227" s="3297"/>
      <c r="AG227" s="3297"/>
      <c r="AH227" s="3297"/>
      <c r="AI227" s="3297"/>
      <c r="AJ227" s="3297"/>
      <c r="AK227" s="3297"/>
      <c r="AL227" s="3297"/>
      <c r="AM227" s="3297"/>
      <c r="AN227" s="3297"/>
      <c r="AO227" s="3297"/>
      <c r="AP227" s="3297"/>
      <c r="AQ227" s="3297"/>
      <c r="AR227" s="3297"/>
      <c r="AS227" s="3297"/>
      <c r="AT227" s="3297"/>
      <c r="AU227" s="3297"/>
      <c r="AV227" s="3297"/>
      <c r="AW227" s="3297"/>
      <c r="AX227" s="3297"/>
      <c r="AY227" s="3297"/>
      <c r="AZ227" s="3297"/>
      <c r="BA227" s="3297"/>
      <c r="BB227" s="3297"/>
      <c r="BC227" s="3297"/>
      <c r="BD227" s="3297"/>
      <c r="BE227" s="3297"/>
      <c r="BF227" s="3297"/>
      <c r="BG227" s="3297"/>
      <c r="BH227" s="3297"/>
      <c r="BI227" s="3297"/>
      <c r="BJ227" s="3297"/>
      <c r="BK227" s="3297"/>
      <c r="BL227" s="3297"/>
      <c r="BM227" s="3297"/>
      <c r="BN227" s="3297"/>
      <c r="BO227" s="3297"/>
      <c r="BP227" s="3297"/>
      <c r="BQ227" s="3297"/>
      <c r="BR227" s="3297"/>
      <c r="BS227" s="3297"/>
      <c r="BT227" s="3297"/>
      <c r="BU227" s="3297"/>
      <c r="BV227" s="3297"/>
      <c r="BW227" s="3297"/>
      <c r="BX227" s="3297"/>
      <c r="BY227" s="3297"/>
      <c r="BZ227" s="3297"/>
      <c r="CA227" s="3297"/>
      <c r="CB227" s="3297"/>
      <c r="CC227" s="3297"/>
      <c r="CD227" s="3297"/>
      <c r="CE227" s="3297"/>
      <c r="CF227" s="3297"/>
      <c r="CG227" s="3297"/>
      <c r="CH227" s="3297"/>
      <c r="CI227" s="3297"/>
      <c r="CJ227" s="3297"/>
      <c r="CK227" s="3297"/>
      <c r="CL227" s="3297"/>
      <c r="CM227" s="3297"/>
      <c r="CN227" s="3297"/>
      <c r="CO227" s="3297"/>
      <c r="CP227" s="3297"/>
      <c r="CQ227" s="3297"/>
      <c r="CR227" s="3297"/>
      <c r="CS227" s="3297"/>
      <c r="CT227" s="3297"/>
      <c r="CU227" s="3297"/>
      <c r="CV227" s="3297"/>
      <c r="CW227" s="3297"/>
      <c r="CX227" s="3297"/>
      <c r="CY227" s="3297"/>
      <c r="CZ227" s="3297"/>
      <c r="DA227" s="3297"/>
      <c r="DB227" s="3297"/>
      <c r="DC227" s="3297"/>
      <c r="DD227" s="3297"/>
      <c r="DE227" s="3297"/>
      <c r="DF227" s="3297"/>
      <c r="DG227" s="3297"/>
      <c r="DH227" s="3297"/>
      <c r="DI227" s="3297"/>
      <c r="DJ227" s="3297"/>
      <c r="DK227" s="3297"/>
      <c r="DL227" s="3297"/>
      <c r="DM227" s="3297"/>
      <c r="DN227" s="3297"/>
      <c r="DO227" s="3297"/>
      <c r="DP227" s="3297"/>
      <c r="DQ227" s="3297"/>
      <c r="DR227" s="3297"/>
      <c r="DS227" s="3297"/>
      <c r="DT227" s="3297"/>
      <c r="DU227" s="3297"/>
      <c r="DV227" s="3297"/>
      <c r="DW227" s="3297"/>
      <c r="DX227" s="3297"/>
      <c r="DY227" s="3297"/>
      <c r="DZ227" s="3297"/>
      <c r="EA227" s="3297"/>
      <c r="EB227" s="3297"/>
      <c r="EC227" s="3297"/>
      <c r="ED227" s="3297"/>
      <c r="EE227" s="3297"/>
      <c r="EF227" s="3297"/>
      <c r="EG227" s="3297"/>
      <c r="EH227" s="3297"/>
      <c r="EI227" s="3297"/>
      <c r="EJ227" s="3297"/>
      <c r="EK227" s="3297"/>
      <c r="EL227" s="3297"/>
      <c r="EM227" s="3297"/>
      <c r="EN227" s="3297"/>
      <c r="EO227" s="3297"/>
      <c r="EP227" s="3297"/>
      <c r="EQ227" s="3297"/>
      <c r="ER227" s="3297"/>
      <c r="ES227" s="3297"/>
      <c r="ET227" s="3297"/>
      <c r="EU227" s="3297"/>
      <c r="EV227" s="3297"/>
      <c r="EW227" s="3297"/>
      <c r="EX227" s="3297"/>
      <c r="EY227" s="3297"/>
      <c r="EZ227" s="3297"/>
      <c r="FA227" s="3297"/>
      <c r="FB227" s="3297"/>
      <c r="FC227" s="3297"/>
      <c r="FD227" s="3297"/>
      <c r="FE227" s="3297"/>
      <c r="FF227" s="3297"/>
      <c r="FG227" s="3297"/>
      <c r="FH227" s="3297"/>
      <c r="FI227" s="3297"/>
      <c r="FJ227" s="3297"/>
      <c r="FK227" s="3297"/>
      <c r="FL227" s="3297"/>
      <c r="FM227" s="3297"/>
      <c r="FN227" s="3297"/>
      <c r="FO227" s="3297"/>
      <c r="FP227" s="3297"/>
      <c r="FQ227" s="3297"/>
      <c r="FR227" s="3297"/>
      <c r="FS227" s="3297"/>
      <c r="FT227" s="3297"/>
      <c r="FU227" s="3297"/>
      <c r="FV227" s="3297"/>
      <c r="FW227" s="3297"/>
      <c r="FX227" s="3297"/>
      <c r="FY227" s="3297"/>
      <c r="FZ227" s="3297"/>
      <c r="GA227" s="3297"/>
      <c r="GB227" s="3297"/>
      <c r="GC227" s="3297"/>
      <c r="GD227" s="3297"/>
      <c r="GE227" s="3297"/>
      <c r="GF227" s="3297"/>
      <c r="GG227" s="3297"/>
      <c r="GH227" s="3297"/>
      <c r="GI227" s="3297"/>
      <c r="GJ227" s="3297"/>
      <c r="GK227" s="3297"/>
      <c r="GL227" s="3297"/>
      <c r="GM227" s="3297"/>
      <c r="GN227" s="3297"/>
      <c r="GO227" s="3297"/>
      <c r="GP227" s="3297"/>
      <c r="GQ227" s="3297"/>
      <c r="GR227" s="3297"/>
      <c r="GS227" s="3297"/>
      <c r="GT227" s="3297"/>
      <c r="GU227" s="3297"/>
      <c r="GV227" s="3297"/>
      <c r="GW227" s="3297"/>
      <c r="GX227" s="3297"/>
      <c r="GY227" s="3297"/>
      <c r="GZ227" s="3297"/>
      <c r="HA227" s="3297"/>
      <c r="HB227" s="3297"/>
      <c r="HC227" s="3297"/>
      <c r="HD227" s="3297"/>
      <c r="HE227" s="3297"/>
      <c r="HF227" s="3297"/>
      <c r="HG227" s="3297"/>
      <c r="HH227" s="3297"/>
      <c r="HI227" s="3297"/>
      <c r="HJ227" s="3297"/>
      <c r="HK227" s="3297"/>
      <c r="HL227" s="3297"/>
      <c r="HM227" s="3297"/>
      <c r="HN227" s="3297"/>
      <c r="HO227" s="3297"/>
      <c r="HP227" s="3297"/>
      <c r="HQ227" s="3297"/>
      <c r="HR227" s="3297"/>
      <c r="HS227" s="3297"/>
      <c r="HT227" s="3297"/>
      <c r="HU227" s="3297"/>
      <c r="HV227" s="3297"/>
      <c r="HW227" s="3297"/>
      <c r="HX227" s="3297"/>
      <c r="HY227" s="3297"/>
      <c r="HZ227" s="3297"/>
      <c r="IA227" s="3297"/>
      <c r="IB227" s="3297"/>
      <c r="IC227" s="3297"/>
      <c r="ID227" s="3297"/>
      <c r="IE227" s="3297"/>
      <c r="IF227" s="3297"/>
      <c r="IG227" s="3297"/>
      <c r="IH227" s="3297"/>
      <c r="II227" s="3297"/>
      <c r="IJ227" s="3297"/>
      <c r="IK227" s="3297"/>
      <c r="IL227" s="3297"/>
      <c r="IM227" s="3297"/>
      <c r="IN227" s="3297"/>
      <c r="IO227" s="3297"/>
      <c r="IP227" s="3297"/>
      <c r="IQ227" s="3297"/>
      <c r="IR227" s="3297"/>
      <c r="IS227" s="3297"/>
      <c r="IT227" s="3297"/>
      <c r="IU227" s="3297"/>
      <c r="IV227" s="3297"/>
      <c r="IW227" s="3297"/>
      <c r="IX227" s="3297"/>
      <c r="IY227" s="3297"/>
      <c r="IZ227" s="3297"/>
      <c r="JA227" s="3297"/>
      <c r="JB227" s="3297"/>
      <c r="JC227" s="3297"/>
      <c r="JD227" s="3297"/>
      <c r="JE227" s="3297"/>
      <c r="JF227" s="3297"/>
      <c r="JG227" s="3297"/>
      <c r="JH227" s="3297"/>
      <c r="JI227" s="3297"/>
      <c r="JJ227" s="3297"/>
      <c r="JK227" s="3297"/>
      <c r="JL227" s="3297"/>
      <c r="JM227" s="3297"/>
      <c r="JN227" s="3297"/>
      <c r="JO227" s="3297"/>
      <c r="JP227" s="3297"/>
      <c r="JQ227" s="3297"/>
      <c r="JR227" s="3297"/>
      <c r="JS227" s="3297"/>
      <c r="JT227" s="3297"/>
      <c r="JU227" s="3297"/>
      <c r="JV227" s="3297"/>
      <c r="JW227" s="3297"/>
      <c r="JX227" s="3297"/>
      <c r="JY227" s="3297"/>
      <c r="JZ227" s="3297"/>
      <c r="KA227" s="3297"/>
      <c r="KB227" s="3297"/>
      <c r="KC227" s="3297"/>
      <c r="KD227" s="3297"/>
      <c r="KE227" s="3297"/>
      <c r="KF227" s="3297"/>
      <c r="KG227" s="3297"/>
      <c r="KH227" s="3297"/>
      <c r="KI227" s="3297"/>
      <c r="KJ227" s="3297"/>
      <c r="KK227" s="3297"/>
      <c r="KL227" s="3297"/>
      <c r="KM227" s="3297"/>
      <c r="KN227" s="3297"/>
      <c r="KO227" s="3297"/>
      <c r="KP227" s="3297"/>
      <c r="KQ227" s="3297"/>
      <c r="KR227" s="3297"/>
      <c r="KS227" s="3297"/>
      <c r="KT227" s="3297"/>
      <c r="KU227" s="3297"/>
      <c r="KV227" s="3297"/>
      <c r="KW227" s="3297"/>
      <c r="KX227" s="3297"/>
      <c r="KY227" s="3297"/>
      <c r="KZ227" s="3297"/>
      <c r="LA227" s="3297"/>
      <c r="LB227" s="3297"/>
      <c r="LC227" s="3297"/>
      <c r="LD227" s="3297"/>
      <c r="LE227" s="3297"/>
      <c r="LF227" s="3297"/>
      <c r="LG227" s="3297"/>
      <c r="LH227" s="3297"/>
      <c r="LI227" s="3297"/>
      <c r="LJ227" s="3297"/>
      <c r="LK227" s="3297"/>
      <c r="LL227" s="3297"/>
      <c r="LM227" s="3297"/>
      <c r="LN227" s="3297"/>
      <c r="LO227" s="3297"/>
      <c r="LP227" s="3297"/>
      <c r="LQ227" s="3297"/>
      <c r="LR227" s="3297"/>
      <c r="LS227" s="3297"/>
      <c r="LT227" s="3297"/>
      <c r="LU227" s="3297"/>
      <c r="LV227" s="3297"/>
      <c r="LW227" s="3297"/>
      <c r="LX227" s="3297"/>
      <c r="LY227" s="3297"/>
      <c r="LZ227" s="3297"/>
      <c r="MA227" s="3297"/>
      <c r="MB227" s="3297"/>
      <c r="MC227" s="3297"/>
      <c r="MD227" s="3297"/>
      <c r="ME227" s="3297"/>
      <c r="MF227" s="3297"/>
      <c r="MG227" s="3297"/>
      <c r="MH227" s="3297"/>
      <c r="MI227" s="3297"/>
      <c r="MJ227" s="3297"/>
      <c r="MK227" s="3297"/>
      <c r="ML227" s="3297"/>
      <c r="MM227" s="3297"/>
      <c r="MN227" s="3297"/>
      <c r="MO227" s="3297"/>
      <c r="MP227" s="3297"/>
      <c r="MQ227" s="3297"/>
      <c r="MR227" s="3297"/>
      <c r="MS227" s="3297"/>
      <c r="MT227" s="3297"/>
      <c r="MU227" s="3297"/>
      <c r="MV227" s="3297"/>
      <c r="MW227" s="3297"/>
      <c r="MX227" s="3297"/>
      <c r="MY227" s="3297"/>
      <c r="MZ227" s="3297"/>
      <c r="NA227" s="3297"/>
      <c r="NB227" s="3297"/>
      <c r="NC227" s="3297"/>
      <c r="ND227" s="3297"/>
      <c r="NE227" s="3297"/>
      <c r="NF227" s="3297"/>
      <c r="NG227" s="3297"/>
      <c r="NH227" s="3297"/>
      <c r="NI227" s="3297"/>
      <c r="NJ227" s="3297"/>
      <c r="NK227" s="3297"/>
      <c r="NL227" s="3297"/>
      <c r="NM227" s="3297"/>
      <c r="NN227" s="3297"/>
      <c r="NO227" s="3297"/>
      <c r="NP227" s="3297"/>
      <c r="NQ227" s="3297"/>
      <c r="NR227" s="3297"/>
      <c r="NS227" s="3297"/>
      <c r="NT227" s="3297"/>
      <c r="NU227" s="3297"/>
      <c r="NV227" s="3297"/>
      <c r="NW227" s="3297"/>
      <c r="NX227" s="3297"/>
      <c r="NY227" s="3297"/>
      <c r="NZ227" s="3297"/>
      <c r="OA227" s="3297"/>
      <c r="OB227" s="3297"/>
      <c r="OC227" s="3297"/>
      <c r="OD227" s="3297"/>
      <c r="OE227" s="3297"/>
      <c r="OF227" s="3297"/>
      <c r="OG227" s="3297"/>
      <c r="OH227" s="3297"/>
      <c r="OI227" s="3297"/>
      <c r="OJ227" s="3297"/>
      <c r="OK227" s="3297"/>
      <c r="OL227" s="3297"/>
      <c r="OM227" s="3297"/>
      <c r="ON227" s="3297"/>
      <c r="OO227" s="3297"/>
      <c r="OP227" s="3297"/>
      <c r="OQ227" s="3297"/>
      <c r="OR227" s="3297"/>
      <c r="OS227" s="3297"/>
      <c r="OT227" s="3297"/>
      <c r="OU227" s="3297"/>
      <c r="OV227" s="3297"/>
      <c r="OW227" s="3297"/>
      <c r="OX227" s="3297"/>
      <c r="OY227" s="3297"/>
      <c r="OZ227" s="3297"/>
      <c r="PA227" s="3297"/>
      <c r="PB227" s="3297"/>
      <c r="PC227" s="3297"/>
      <c r="PD227" s="3297"/>
      <c r="PE227" s="3297"/>
      <c r="PF227" s="3297"/>
      <c r="PG227" s="3297"/>
      <c r="PH227" s="3297"/>
      <c r="PI227" s="3297"/>
      <c r="PJ227" s="3297"/>
      <c r="PK227" s="3297"/>
      <c r="PL227" s="3297"/>
      <c r="PM227" s="3297"/>
      <c r="PN227" s="3297"/>
      <c r="PO227" s="3297"/>
      <c r="PP227" s="3297"/>
      <c r="PQ227" s="3297"/>
      <c r="PR227" s="3297"/>
      <c r="PS227" s="3297"/>
      <c r="PT227" s="3297"/>
      <c r="PU227" s="3297"/>
      <c r="PV227" s="3297"/>
      <c r="PW227" s="3297"/>
      <c r="PX227" s="3297"/>
      <c r="PY227" s="3297"/>
      <c r="PZ227" s="3297"/>
      <c r="QA227" s="3297"/>
      <c r="QB227" s="3297"/>
      <c r="QC227" s="3297"/>
      <c r="QD227" s="3297"/>
      <c r="QE227" s="3297"/>
      <c r="QF227" s="3297"/>
      <c r="QG227" s="3297"/>
      <c r="QH227" s="3297"/>
      <c r="QI227" s="3297"/>
      <c r="QJ227" s="3297"/>
      <c r="QK227" s="3297"/>
      <c r="QL227" s="3297"/>
      <c r="QM227" s="3297"/>
      <c r="QN227" s="3297"/>
      <c r="QO227" s="3297"/>
      <c r="QP227" s="3297"/>
      <c r="QQ227" s="3297"/>
      <c r="QR227" s="3297"/>
      <c r="QS227" s="3297"/>
      <c r="QT227" s="3297"/>
      <c r="QU227" s="3297"/>
      <c r="QV227" s="3297"/>
      <c r="QW227" s="3297"/>
      <c r="QX227" s="3297"/>
      <c r="QY227" s="3297"/>
      <c r="QZ227" s="3297"/>
      <c r="RA227" s="3297"/>
      <c r="RB227" s="3297"/>
      <c r="RC227" s="3297"/>
      <c r="RD227" s="3297"/>
      <c r="RE227" s="3297"/>
      <c r="RF227" s="3297"/>
      <c r="RG227" s="3297"/>
      <c r="RH227" s="3297"/>
      <c r="RI227" s="3297"/>
      <c r="RJ227" s="3297"/>
      <c r="RK227" s="3297"/>
      <c r="RL227" s="3297"/>
      <c r="RM227" s="3297"/>
      <c r="RN227" s="3297"/>
      <c r="RO227" s="3297"/>
      <c r="RP227" s="3297"/>
      <c r="RQ227" s="3297"/>
      <c r="RR227" s="3297"/>
      <c r="RS227" s="3297"/>
      <c r="RT227" s="3297"/>
      <c r="RU227" s="3297"/>
      <c r="RV227" s="3297"/>
      <c r="RW227" s="3297"/>
      <c r="RX227" s="3297"/>
      <c r="RY227" s="3297"/>
      <c r="RZ227" s="3297"/>
      <c r="SA227" s="3297"/>
      <c r="SB227" s="3297"/>
      <c r="SC227" s="3297"/>
      <c r="SD227" s="3297"/>
      <c r="SE227" s="3297"/>
      <c r="SF227" s="3297"/>
      <c r="SG227" s="3297"/>
      <c r="SH227" s="3297"/>
      <c r="SI227" s="3297"/>
      <c r="SJ227" s="3297"/>
      <c r="SK227" s="3297"/>
      <c r="SL227" s="3297"/>
      <c r="SM227" s="3297"/>
      <c r="SN227" s="3297"/>
      <c r="SO227" s="3297"/>
      <c r="SP227" s="3297"/>
      <c r="SQ227" s="3297"/>
      <c r="SR227" s="3297"/>
      <c r="SS227" s="3297"/>
      <c r="ST227" s="3297"/>
      <c r="SU227" s="3297"/>
      <c r="SV227" s="3297"/>
      <c r="SW227" s="3297"/>
      <c r="SX227" s="3297"/>
      <c r="SY227" s="3297"/>
      <c r="SZ227" s="3297"/>
      <c r="TA227" s="3297"/>
      <c r="TB227" s="3297"/>
      <c r="TC227" s="3297"/>
      <c r="TD227" s="3297"/>
      <c r="TE227" s="3297"/>
      <c r="TF227" s="3297"/>
      <c r="TG227" s="3297"/>
      <c r="TH227" s="3297"/>
      <c r="TI227" s="3297"/>
      <c r="TJ227" s="3297"/>
      <c r="TK227" s="3297"/>
      <c r="TL227" s="3297"/>
      <c r="TM227" s="3297"/>
      <c r="TN227" s="3297"/>
      <c r="TO227" s="3297"/>
      <c r="TP227" s="3297"/>
      <c r="TQ227" s="3297"/>
      <c r="TR227" s="3297"/>
      <c r="TS227" s="3297"/>
      <c r="TT227" s="3297"/>
      <c r="TU227" s="3297"/>
      <c r="TV227" s="3297"/>
      <c r="TW227" s="3297"/>
      <c r="TX227" s="3297"/>
      <c r="TY227" s="3297"/>
      <c r="TZ227" s="3297"/>
      <c r="UA227" s="3297"/>
      <c r="UB227" s="3297"/>
      <c r="UC227" s="3297"/>
      <c r="UD227" s="3297"/>
      <c r="UE227" s="3297"/>
      <c r="UF227" s="3297"/>
      <c r="UG227" s="3297"/>
      <c r="UH227" s="3297"/>
      <c r="UI227" s="3297"/>
      <c r="UJ227" s="3297"/>
      <c r="UK227" s="3297"/>
      <c r="UL227" s="3297"/>
      <c r="UM227" s="3297"/>
      <c r="UN227" s="3297"/>
      <c r="UO227" s="3297"/>
      <c r="UP227" s="3297"/>
      <c r="UQ227" s="3297"/>
      <c r="UR227" s="3297"/>
      <c r="US227" s="3297"/>
      <c r="UT227" s="3297"/>
      <c r="UU227" s="3297"/>
      <c r="UV227" s="3297"/>
      <c r="UW227" s="3297"/>
      <c r="UX227" s="3297"/>
      <c r="UY227" s="3297"/>
      <c r="UZ227" s="3297"/>
      <c r="VA227" s="3297"/>
      <c r="VB227" s="3297"/>
      <c r="VC227" s="3297"/>
      <c r="VD227" s="3297"/>
      <c r="VE227" s="3297"/>
      <c r="VF227" s="3297"/>
      <c r="VG227" s="3297"/>
      <c r="VH227" s="3297"/>
      <c r="VI227" s="3297"/>
      <c r="VJ227" s="3297"/>
      <c r="VK227" s="3297"/>
      <c r="VL227" s="3297"/>
      <c r="VM227" s="3297"/>
      <c r="VN227" s="3297"/>
      <c r="VO227" s="3297"/>
      <c r="VP227" s="3297"/>
      <c r="VQ227" s="3297"/>
      <c r="VR227" s="3297"/>
      <c r="VS227" s="3297"/>
      <c r="VT227" s="3297"/>
      <c r="VU227" s="3297"/>
      <c r="VV227" s="3297"/>
      <c r="VW227" s="3297"/>
      <c r="VX227" s="3297"/>
      <c r="VY227" s="3297"/>
      <c r="VZ227" s="3297"/>
      <c r="WA227" s="3297"/>
      <c r="WB227" s="3297"/>
      <c r="WC227" s="3297"/>
      <c r="WD227" s="3297"/>
      <c r="WE227" s="3297"/>
      <c r="WF227" s="3297"/>
      <c r="WG227" s="3297"/>
      <c r="WH227" s="3297"/>
      <c r="WI227" s="3297"/>
      <c r="WJ227" s="3297"/>
      <c r="WK227" s="3297"/>
      <c r="WL227" s="3297"/>
      <c r="WM227" s="3297"/>
      <c r="WN227" s="3297"/>
      <c r="WO227" s="3297"/>
      <c r="WP227" s="3297"/>
      <c r="WQ227" s="3297"/>
      <c r="WR227" s="3297"/>
      <c r="WS227" s="3297"/>
      <c r="WT227" s="3297"/>
      <c r="WU227" s="3297"/>
      <c r="WV227" s="3297"/>
      <c r="WW227" s="3297"/>
      <c r="WX227" s="3297"/>
      <c r="WY227" s="3297"/>
      <c r="WZ227" s="3297"/>
      <c r="XA227" s="3297"/>
      <c r="XB227" s="3297"/>
      <c r="XC227" s="3297"/>
      <c r="XD227" s="3297"/>
      <c r="XE227" s="3297"/>
      <c r="XF227" s="3297"/>
      <c r="XG227" s="3297"/>
      <c r="XH227" s="3297"/>
      <c r="XI227" s="3297"/>
      <c r="XJ227" s="3297"/>
      <c r="XK227" s="3297"/>
      <c r="XL227" s="3297"/>
      <c r="XM227" s="3297"/>
      <c r="XN227" s="3297"/>
      <c r="XO227" s="3297"/>
      <c r="XP227" s="3297"/>
      <c r="XQ227" s="3297"/>
      <c r="XR227" s="3297"/>
      <c r="XS227" s="3297"/>
      <c r="XT227" s="3297"/>
      <c r="XU227" s="3297"/>
      <c r="XV227" s="3297"/>
      <c r="XW227" s="3297"/>
      <c r="XX227" s="3297"/>
      <c r="XY227" s="3297"/>
      <c r="XZ227" s="3297"/>
      <c r="YA227" s="3297"/>
      <c r="YB227" s="3297"/>
      <c r="YC227" s="3297"/>
      <c r="YD227" s="3297"/>
      <c r="YE227" s="3297"/>
      <c r="YF227" s="3297"/>
      <c r="YG227" s="3297"/>
      <c r="YH227" s="3297"/>
      <c r="YI227" s="3297"/>
      <c r="YJ227" s="3297"/>
      <c r="YK227" s="3297"/>
      <c r="YL227" s="3297"/>
      <c r="YM227" s="3297"/>
      <c r="YN227" s="3297"/>
      <c r="YO227" s="3297"/>
      <c r="YP227" s="3297"/>
      <c r="YQ227" s="3297"/>
      <c r="YR227" s="3297"/>
      <c r="YS227" s="3297"/>
      <c r="YT227" s="3297"/>
      <c r="YU227" s="3297"/>
      <c r="YV227" s="3297"/>
      <c r="YW227" s="3297"/>
      <c r="YX227" s="3297"/>
      <c r="YY227" s="3297"/>
      <c r="YZ227" s="3297"/>
      <c r="ZA227" s="3297"/>
      <c r="ZB227" s="3297"/>
      <c r="ZC227" s="3297"/>
      <c r="ZD227" s="3297"/>
      <c r="ZE227" s="3297"/>
      <c r="ZF227" s="3297"/>
      <c r="ZG227" s="3297"/>
      <c r="ZH227" s="3297"/>
      <c r="ZI227" s="3297"/>
      <c r="ZJ227" s="3297"/>
      <c r="ZK227" s="3297"/>
      <c r="ZL227" s="3297"/>
      <c r="ZM227" s="3297"/>
      <c r="ZN227" s="3297"/>
      <c r="ZO227" s="3297"/>
      <c r="ZP227" s="3297"/>
      <c r="ZQ227" s="3297"/>
      <c r="ZR227" s="3297"/>
      <c r="ZS227" s="3297"/>
      <c r="ZT227" s="3297"/>
      <c r="ZU227" s="3297"/>
      <c r="ZV227" s="3297"/>
      <c r="ZW227" s="3297"/>
      <c r="ZX227" s="3297"/>
      <c r="ZY227" s="3297"/>
      <c r="ZZ227" s="3297"/>
      <c r="AAA227" s="3297"/>
      <c r="AAB227" s="3297"/>
      <c r="AAC227" s="3297"/>
      <c r="AAD227" s="3297"/>
      <c r="AAE227" s="3297"/>
      <c r="AAF227" s="3297"/>
      <c r="AAG227" s="3297"/>
      <c r="AAH227" s="3297"/>
      <c r="AAI227" s="3297"/>
      <c r="AAJ227" s="3297"/>
      <c r="AAK227" s="3297"/>
      <c r="AAL227" s="3297"/>
      <c r="AAM227" s="3297"/>
      <c r="AAN227" s="3297"/>
      <c r="AAO227" s="3297"/>
      <c r="AAP227" s="3297"/>
      <c r="AAQ227" s="3297"/>
      <c r="AAR227" s="3297"/>
      <c r="AAS227" s="3297"/>
      <c r="AAT227" s="3297"/>
      <c r="AAU227" s="3297"/>
      <c r="AAV227" s="3297"/>
      <c r="AAW227" s="3297"/>
      <c r="AAX227" s="3297"/>
      <c r="AAY227" s="3297"/>
      <c r="AAZ227" s="3297"/>
      <c r="ABA227" s="3297"/>
      <c r="ABB227" s="3297"/>
      <c r="ABC227" s="3297"/>
      <c r="ABD227" s="3297"/>
      <c r="ABE227" s="3297"/>
      <c r="ABF227" s="3297"/>
      <c r="ABG227" s="3297"/>
      <c r="ABH227" s="3297"/>
      <c r="ABI227" s="3297"/>
      <c r="ABJ227" s="3297"/>
      <c r="ABK227" s="3297"/>
      <c r="ABL227" s="3297"/>
      <c r="ABM227" s="3297"/>
      <c r="ABN227" s="3297"/>
      <c r="ABO227" s="3297"/>
      <c r="ABP227" s="3297"/>
      <c r="ABQ227" s="3297"/>
      <c r="ABR227" s="3297"/>
      <c r="ABS227" s="3297"/>
      <c r="ABT227" s="3297"/>
      <c r="ABU227" s="3297"/>
      <c r="ABV227" s="3297"/>
      <c r="ABW227" s="3297"/>
      <c r="ABX227" s="3297"/>
      <c r="ABY227" s="3297"/>
      <c r="ABZ227" s="3297"/>
      <c r="ACA227" s="3297"/>
      <c r="ACB227" s="3297"/>
      <c r="ACC227" s="3297"/>
      <c r="ACD227" s="3297"/>
      <c r="ACE227" s="3297"/>
      <c r="ACF227" s="3297"/>
      <c r="ACG227" s="3297"/>
      <c r="ACH227" s="3297"/>
      <c r="ACI227" s="3297"/>
      <c r="ACJ227" s="3297"/>
      <c r="ACK227" s="3297"/>
      <c r="ACL227" s="3297"/>
      <c r="ACM227" s="3297"/>
      <c r="ACN227" s="3297"/>
      <c r="ACO227" s="3297"/>
      <c r="ACP227" s="3297"/>
      <c r="ACQ227" s="3297"/>
      <c r="ACR227" s="3297"/>
      <c r="ACS227" s="3297"/>
      <c r="ACT227" s="3297"/>
      <c r="ACU227" s="3297"/>
      <c r="ACV227" s="3297"/>
      <c r="ACW227" s="3297"/>
      <c r="ACX227" s="3297"/>
      <c r="ACY227" s="3297"/>
      <c r="ACZ227" s="3297"/>
      <c r="ADA227" s="3297"/>
      <c r="ADB227" s="3297"/>
      <c r="ADC227" s="3297"/>
      <c r="ADD227" s="3297"/>
      <c r="ADE227" s="3297"/>
      <c r="ADF227" s="3297"/>
      <c r="ADG227" s="3297"/>
      <c r="ADH227" s="3297"/>
      <c r="ADI227" s="3297"/>
      <c r="ADJ227" s="3297"/>
      <c r="ADK227" s="3297"/>
      <c r="ADL227" s="3297"/>
      <c r="ADM227" s="3297"/>
      <c r="ADN227" s="3297"/>
      <c r="ADO227" s="3297"/>
      <c r="ADP227" s="3297"/>
      <c r="ADQ227" s="3297"/>
      <c r="ADR227" s="3297"/>
      <c r="ADS227" s="3297"/>
      <c r="ADT227" s="3297"/>
      <c r="ADU227" s="3297"/>
      <c r="ADV227" s="3297"/>
      <c r="ADW227" s="3297"/>
      <c r="ADX227" s="3297"/>
      <c r="ADY227" s="3297"/>
      <c r="ADZ227" s="3297"/>
      <c r="AEA227" s="3297"/>
      <c r="AEB227" s="3297"/>
      <c r="AEC227" s="3297"/>
      <c r="AED227" s="3297"/>
      <c r="AEE227" s="3297"/>
      <c r="AEF227" s="3297"/>
      <c r="AEG227" s="3297"/>
      <c r="AEH227" s="3297"/>
      <c r="AEI227" s="3297"/>
      <c r="AEJ227" s="3297"/>
      <c r="AEK227" s="3297"/>
      <c r="AEL227" s="3297"/>
      <c r="AEM227" s="3297"/>
      <c r="AEN227" s="3297"/>
      <c r="AEO227" s="3297"/>
      <c r="AEP227" s="3297"/>
      <c r="AEQ227" s="3297"/>
      <c r="AER227" s="3297"/>
      <c r="AES227" s="3297"/>
      <c r="AET227" s="3297"/>
      <c r="AEU227" s="3297"/>
      <c r="AEV227" s="3297"/>
      <c r="AEW227" s="3297"/>
      <c r="AEX227" s="3297"/>
      <c r="AEY227" s="3297"/>
      <c r="AEZ227" s="3297"/>
      <c r="AFA227" s="3297"/>
      <c r="AFB227" s="3297"/>
      <c r="AFC227" s="3297"/>
      <c r="AFD227" s="3297"/>
      <c r="AFE227" s="3297"/>
      <c r="AFF227" s="3297"/>
      <c r="AFG227" s="3297"/>
      <c r="AFH227" s="3297"/>
      <c r="AFI227" s="3297"/>
      <c r="AFJ227" s="3297"/>
      <c r="AFK227" s="3297"/>
      <c r="AFL227" s="3297"/>
      <c r="AFM227" s="3297"/>
      <c r="AFN227" s="3297"/>
      <c r="AFO227" s="3297"/>
      <c r="AFP227" s="3297"/>
      <c r="AFQ227" s="3297"/>
      <c r="AFR227" s="3297"/>
      <c r="AFS227" s="3297"/>
      <c r="AFT227" s="3297"/>
      <c r="AFU227" s="3297"/>
      <c r="AFV227" s="3297"/>
      <c r="AFW227" s="3297"/>
      <c r="AFX227" s="3297"/>
      <c r="AFY227" s="3297"/>
      <c r="AFZ227" s="3297"/>
      <c r="AGA227" s="3297"/>
      <c r="AGB227" s="3297"/>
      <c r="AGC227" s="3297"/>
      <c r="AGD227" s="3297"/>
      <c r="AGE227" s="3297"/>
      <c r="AGF227" s="3297"/>
      <c r="AGG227" s="3297"/>
      <c r="AGH227" s="3297"/>
      <c r="AGI227" s="3297"/>
      <c r="AGJ227" s="3297"/>
      <c r="AGK227" s="3297"/>
      <c r="AGL227" s="3297"/>
      <c r="AGM227" s="3297"/>
      <c r="AGN227" s="3297"/>
      <c r="AGO227" s="3297"/>
      <c r="AGP227" s="3297"/>
      <c r="AGQ227" s="3297"/>
      <c r="AGR227" s="3297"/>
      <c r="AGS227" s="3297"/>
      <c r="AGT227" s="3297"/>
      <c r="AGU227" s="3297"/>
      <c r="AGV227" s="3297"/>
      <c r="AGW227" s="3297"/>
      <c r="AGX227" s="3297"/>
      <c r="AGY227" s="3297"/>
      <c r="AGZ227" s="3297"/>
      <c r="AHA227" s="3297"/>
      <c r="AHB227" s="3297"/>
      <c r="AHC227" s="3297"/>
      <c r="AHD227" s="3297"/>
      <c r="AHE227" s="3297"/>
      <c r="AHF227" s="3297"/>
      <c r="AHG227" s="3297"/>
      <c r="AHH227" s="3297"/>
      <c r="AHI227" s="3297"/>
      <c r="AHJ227" s="3297"/>
      <c r="AHK227" s="3297"/>
      <c r="AHL227" s="3297"/>
      <c r="AHM227" s="3297"/>
      <c r="AHN227" s="3297"/>
      <c r="AHO227" s="3297"/>
      <c r="AHP227" s="3297"/>
      <c r="AHQ227" s="3297"/>
      <c r="AHR227" s="3297"/>
      <c r="AHS227" s="3297"/>
      <c r="AHT227" s="3297"/>
      <c r="AHU227" s="3297"/>
      <c r="AHV227" s="3297"/>
      <c r="AHW227" s="3297"/>
      <c r="AHX227" s="3297"/>
      <c r="AHY227" s="3297"/>
      <c r="AHZ227" s="3297"/>
      <c r="AIA227" s="3297"/>
      <c r="AIB227" s="3297"/>
      <c r="AIC227" s="3297"/>
      <c r="AID227" s="3297"/>
      <c r="AIE227" s="3297"/>
      <c r="AIF227" s="3297"/>
      <c r="AIG227" s="3297"/>
      <c r="AIH227" s="3297"/>
      <c r="AII227" s="3297"/>
      <c r="AIJ227" s="3297"/>
      <c r="AIK227" s="3297"/>
      <c r="AIL227" s="3297"/>
      <c r="AIM227" s="3297"/>
      <c r="AIN227" s="3297"/>
      <c r="AIO227" s="3297"/>
      <c r="AIP227" s="3297"/>
      <c r="AIQ227" s="3297"/>
      <c r="AIR227" s="3297"/>
      <c r="AIS227" s="3297"/>
      <c r="AIT227" s="3297"/>
      <c r="AIU227" s="3297"/>
      <c r="AIV227" s="3297"/>
      <c r="AIW227" s="3297"/>
      <c r="AIX227" s="3297"/>
      <c r="AIY227" s="3297"/>
      <c r="AIZ227" s="3297"/>
      <c r="AJA227" s="3297"/>
      <c r="AJB227" s="3297"/>
      <c r="AJC227" s="3297"/>
      <c r="AJD227" s="3297"/>
      <c r="AJE227" s="3297"/>
      <c r="AJF227" s="3297"/>
      <c r="AJG227" s="3297"/>
      <c r="AJH227" s="3297"/>
      <c r="AJI227" s="3297"/>
      <c r="AJJ227" s="3297"/>
      <c r="AJK227" s="3297"/>
      <c r="AJL227" s="3297"/>
      <c r="AJM227" s="3297"/>
      <c r="AJN227" s="3297"/>
      <c r="AJO227" s="3297"/>
      <c r="AJP227" s="3297"/>
      <c r="AJQ227" s="3297"/>
      <c r="AJR227" s="3297"/>
      <c r="AJS227" s="3297"/>
      <c r="AJT227" s="3297"/>
      <c r="AJU227" s="3297"/>
      <c r="AJV227" s="3297"/>
      <c r="AJW227" s="3297"/>
      <c r="AJX227" s="3297"/>
      <c r="AJY227" s="3297"/>
      <c r="AJZ227" s="3297"/>
      <c r="AKA227" s="3297"/>
      <c r="AKB227" s="3297"/>
      <c r="AKC227" s="3297"/>
      <c r="AKD227" s="3297"/>
      <c r="AKE227" s="3297"/>
      <c r="AKF227" s="3297"/>
      <c r="AKG227" s="3297"/>
      <c r="AKH227" s="3297"/>
      <c r="AKI227" s="3297"/>
      <c r="AKJ227" s="3297"/>
      <c r="AKK227" s="3297"/>
      <c r="AKL227" s="3297"/>
      <c r="AKM227" s="3297"/>
      <c r="AKN227" s="3297"/>
      <c r="AKO227" s="3297"/>
      <c r="AKP227" s="3297"/>
      <c r="AKQ227" s="3297"/>
      <c r="AKR227" s="3297"/>
      <c r="AKS227" s="3297"/>
      <c r="AKT227" s="3297"/>
      <c r="AKU227" s="3297"/>
      <c r="AKV227" s="3297"/>
      <c r="AKW227" s="3297"/>
      <c r="AKX227" s="3297"/>
      <c r="AKY227" s="3297"/>
      <c r="AKZ227" s="3297"/>
      <c r="ALA227" s="3297"/>
      <c r="ALB227" s="3297"/>
      <c r="ALC227" s="3297"/>
      <c r="ALD227" s="3297"/>
      <c r="ALE227" s="3297"/>
      <c r="ALF227" s="3297"/>
      <c r="ALG227" s="3297"/>
      <c r="ALH227" s="3297"/>
      <c r="ALI227" s="3297"/>
      <c r="ALJ227" s="3297"/>
      <c r="ALK227" s="3297"/>
      <c r="ALL227" s="3297"/>
      <c r="ALM227" s="3297"/>
      <c r="ALN227" s="3297"/>
      <c r="ALO227" s="3297"/>
      <c r="ALP227" s="3297"/>
      <c r="ALQ227" s="3297"/>
      <c r="ALR227" s="3297"/>
      <c r="ALS227" s="3297"/>
      <c r="ALT227" s="3297"/>
      <c r="ALU227" s="3297"/>
      <c r="ALV227" s="3297"/>
      <c r="ALW227" s="3297"/>
      <c r="ALX227" s="3297"/>
      <c r="ALY227" s="3297"/>
      <c r="ALZ227" s="3297"/>
      <c r="AMA227" s="3297"/>
      <c r="AMB227" s="3297"/>
      <c r="AMC227" s="3297"/>
      <c r="AMD227" s="3297"/>
      <c r="AME227" s="3297"/>
      <c r="AMF227" s="3297"/>
      <c r="AMG227" s="3297"/>
      <c r="AMH227" s="3297"/>
      <c r="AMI227" s="3297"/>
      <c r="AMJ227" s="3297"/>
      <c r="AMK227" s="3297"/>
      <c r="AML227" s="3297"/>
      <c r="AMM227" s="3297"/>
      <c r="AMN227" s="3297"/>
      <c r="AMO227" s="3297"/>
      <c r="AMP227" s="3297"/>
      <c r="AMQ227" s="3297"/>
      <c r="AMR227" s="3297"/>
      <c r="AMS227" s="3297"/>
      <c r="AMT227" s="3297"/>
      <c r="AMU227" s="3297"/>
      <c r="AMV227" s="3297"/>
      <c r="AMW227" s="3297"/>
      <c r="AMX227" s="3297"/>
      <c r="AMY227" s="3297"/>
      <c r="AMZ227" s="3297"/>
      <c r="ANA227" s="3297"/>
      <c r="ANB227" s="3297"/>
      <c r="ANC227" s="3297"/>
      <c r="AND227" s="3297"/>
      <c r="ANE227" s="3297"/>
      <c r="ANF227" s="3297"/>
      <c r="ANG227" s="3297"/>
      <c r="ANH227" s="3297"/>
      <c r="ANI227" s="3297"/>
      <c r="ANJ227" s="3297"/>
      <c r="ANK227" s="3297"/>
      <c r="ANL227" s="3297"/>
      <c r="ANM227" s="3297"/>
      <c r="ANN227" s="3297"/>
      <c r="ANO227" s="3297"/>
      <c r="ANP227" s="3297"/>
      <c r="ANQ227" s="3297"/>
      <c r="ANR227" s="3297"/>
      <c r="ANS227" s="3297"/>
      <c r="ANT227" s="3297"/>
      <c r="ANU227" s="3297"/>
      <c r="ANV227" s="3297"/>
      <c r="ANW227" s="3297"/>
      <c r="ANX227" s="3297"/>
      <c r="ANY227" s="3297"/>
      <c r="ANZ227" s="3297"/>
      <c r="AOA227" s="3297"/>
      <c r="AOB227" s="3297"/>
      <c r="AOC227" s="3297"/>
      <c r="AOD227" s="3297"/>
      <c r="AOE227" s="3297"/>
      <c r="AOF227" s="3297"/>
      <c r="AOG227" s="3297"/>
      <c r="AOH227" s="3297"/>
      <c r="AOI227" s="3297"/>
      <c r="AOJ227" s="3297"/>
      <c r="AOK227" s="3297"/>
      <c r="AOL227" s="3297"/>
      <c r="AOM227" s="3297"/>
      <c r="AON227" s="3297"/>
      <c r="AOO227" s="3297"/>
      <c r="AOP227" s="3297"/>
      <c r="AOQ227" s="3297"/>
      <c r="AOR227" s="3297"/>
      <c r="AOS227" s="3297"/>
      <c r="AOT227" s="3297"/>
      <c r="AOU227" s="3297"/>
      <c r="AOV227" s="3297"/>
      <c r="AOW227" s="3297"/>
      <c r="AOX227" s="3297"/>
      <c r="AOY227" s="3297"/>
      <c r="AOZ227" s="3297"/>
      <c r="APA227" s="3297"/>
      <c r="APB227" s="3297"/>
      <c r="APC227" s="3297"/>
      <c r="APD227" s="3297"/>
      <c r="APE227" s="3297"/>
      <c r="APF227" s="3297"/>
      <c r="APG227" s="3297"/>
      <c r="APH227" s="3297"/>
      <c r="API227" s="3297"/>
      <c r="APJ227" s="3297"/>
      <c r="APK227" s="3297"/>
      <c r="APL227" s="3297"/>
      <c r="APM227" s="3297"/>
      <c r="APN227" s="3297"/>
      <c r="APO227" s="3297"/>
      <c r="APP227" s="3297"/>
      <c r="APQ227" s="3297"/>
      <c r="APR227" s="3297"/>
      <c r="APS227" s="3297"/>
      <c r="APT227" s="3297"/>
      <c r="APU227" s="3297"/>
      <c r="APV227" s="3297"/>
      <c r="APW227" s="3297"/>
      <c r="APX227" s="3297"/>
      <c r="APY227" s="3297"/>
      <c r="APZ227" s="3297"/>
      <c r="AQA227" s="3297"/>
      <c r="AQB227" s="3297"/>
      <c r="AQC227" s="3297"/>
      <c r="AQD227" s="3297"/>
      <c r="AQE227" s="3297"/>
      <c r="AQF227" s="3297"/>
      <c r="AQG227" s="3297"/>
      <c r="AQH227" s="3297"/>
      <c r="AQI227" s="3297"/>
      <c r="AQJ227" s="3297"/>
      <c r="AQK227" s="3297"/>
      <c r="AQL227" s="3297"/>
      <c r="AQM227" s="3297"/>
      <c r="AQN227" s="3297"/>
      <c r="AQO227" s="3297"/>
      <c r="AQP227" s="3297"/>
      <c r="AQQ227" s="3297"/>
      <c r="AQR227" s="3297"/>
      <c r="AQS227" s="3297"/>
      <c r="AQT227" s="3297"/>
      <c r="AQU227" s="3297"/>
      <c r="AQV227" s="3297"/>
      <c r="AQW227" s="3297"/>
      <c r="AQX227" s="3297"/>
      <c r="AQY227" s="3297"/>
      <c r="AQZ227" s="3297"/>
      <c r="ARA227" s="3297"/>
      <c r="ARB227" s="3297"/>
      <c r="ARC227" s="3297"/>
      <c r="ARD227" s="3297"/>
      <c r="ARE227" s="3297"/>
      <c r="ARF227" s="3297"/>
      <c r="ARG227" s="3297"/>
      <c r="ARH227" s="3297"/>
      <c r="ARI227" s="3297"/>
      <c r="ARJ227" s="3297"/>
      <c r="ARK227" s="3297"/>
      <c r="ARL227" s="3297"/>
      <c r="ARM227" s="3297"/>
      <c r="ARN227" s="3297"/>
      <c r="ARO227" s="3297"/>
      <c r="ARP227" s="3297"/>
      <c r="ARQ227" s="3297"/>
      <c r="ARR227" s="3297"/>
      <c r="ARS227" s="3297"/>
      <c r="ART227" s="3297"/>
      <c r="ARU227" s="3297"/>
      <c r="ARV227" s="3297"/>
      <c r="ARW227" s="3297"/>
      <c r="ARX227" s="3297"/>
      <c r="ARY227" s="3297"/>
      <c r="ARZ227" s="3297"/>
      <c r="ASA227" s="3297"/>
      <c r="ASB227" s="3297"/>
      <c r="ASC227" s="3297"/>
      <c r="ASD227" s="3297"/>
      <c r="ASE227" s="3297"/>
      <c r="ASF227" s="3297"/>
      <c r="ASG227" s="3297"/>
      <c r="ASH227" s="3297"/>
      <c r="ASI227" s="3297"/>
      <c r="ASJ227" s="3297"/>
      <c r="ASK227" s="3297"/>
      <c r="ASL227" s="3297"/>
      <c r="ASM227" s="3297"/>
      <c r="ASN227" s="3297"/>
      <c r="ASO227" s="3297"/>
      <c r="ASP227" s="3297"/>
      <c r="ASQ227" s="3297"/>
      <c r="ASR227" s="3297"/>
      <c r="ASS227" s="3297"/>
      <c r="AST227" s="3297"/>
      <c r="ASU227" s="3297"/>
      <c r="ASV227" s="3297"/>
      <c r="ASW227" s="3297"/>
      <c r="ASX227" s="3297"/>
      <c r="ASY227" s="3297"/>
      <c r="ASZ227" s="3297"/>
      <c r="ATA227" s="3297"/>
      <c r="ATB227" s="3297"/>
      <c r="ATC227" s="3297"/>
      <c r="ATD227" s="3297"/>
      <c r="ATE227" s="3297"/>
      <c r="ATF227" s="3297"/>
      <c r="ATG227" s="3297"/>
      <c r="ATH227" s="3297"/>
      <c r="ATI227" s="3297"/>
      <c r="ATJ227" s="3297"/>
      <c r="ATK227" s="3297"/>
      <c r="ATL227" s="3297"/>
      <c r="ATM227" s="3297"/>
      <c r="ATN227" s="3297"/>
      <c r="ATO227" s="3297"/>
      <c r="ATP227" s="3297"/>
      <c r="ATQ227" s="3297"/>
      <c r="ATR227" s="3297"/>
      <c r="ATS227" s="3297"/>
      <c r="ATT227" s="3297"/>
      <c r="ATU227" s="3297"/>
      <c r="ATV227" s="3297"/>
      <c r="ATW227" s="3297"/>
      <c r="ATX227" s="3297"/>
      <c r="ATY227" s="3297"/>
      <c r="ATZ227" s="3297"/>
      <c r="AUA227" s="3297"/>
      <c r="AUB227" s="3297"/>
      <c r="AUC227" s="3297"/>
      <c r="AUD227" s="3297"/>
      <c r="AUE227" s="3297"/>
      <c r="AUF227" s="3297"/>
      <c r="AUG227" s="3297"/>
      <c r="AUH227" s="3297"/>
      <c r="AUI227" s="3297"/>
      <c r="AUJ227" s="3297"/>
      <c r="AUK227" s="3297"/>
      <c r="AUL227" s="3297"/>
      <c r="AUM227" s="3297"/>
      <c r="AUN227" s="3297"/>
      <c r="AUO227" s="3297"/>
      <c r="AUP227" s="3297"/>
      <c r="AUQ227" s="3297"/>
      <c r="AUR227" s="3297"/>
      <c r="AUS227" s="3297"/>
      <c r="AUT227" s="3297"/>
      <c r="AUU227" s="3297"/>
      <c r="AUV227" s="3297"/>
      <c r="AUW227" s="3297"/>
      <c r="AUX227" s="3297"/>
      <c r="AUY227" s="3297"/>
      <c r="AUZ227" s="3297"/>
      <c r="AVA227" s="3297"/>
      <c r="AVB227" s="3297"/>
      <c r="AVC227" s="3297"/>
      <c r="AVD227" s="3297"/>
      <c r="AVE227" s="3297"/>
      <c r="AVF227" s="3297"/>
      <c r="AVG227" s="3297"/>
      <c r="AVH227" s="3297"/>
      <c r="AVI227" s="3297"/>
      <c r="AVJ227" s="3297"/>
      <c r="AVK227" s="3297"/>
      <c r="AVL227" s="3297"/>
      <c r="AVM227" s="3297"/>
      <c r="AVN227" s="3297"/>
      <c r="AVO227" s="3297"/>
      <c r="AVP227" s="3297"/>
      <c r="AVQ227" s="3297"/>
      <c r="AVR227" s="3297"/>
      <c r="AVS227" s="3297"/>
      <c r="AVT227" s="3297"/>
      <c r="AVU227" s="3297"/>
      <c r="AVV227" s="3297"/>
      <c r="AVW227" s="3297"/>
      <c r="AVX227" s="3297"/>
      <c r="AVY227" s="3297"/>
      <c r="AVZ227" s="3297"/>
      <c r="AWA227" s="3297"/>
      <c r="AWB227" s="3297"/>
      <c r="AWC227" s="3297"/>
      <c r="AWD227" s="3297"/>
      <c r="AWE227" s="3297"/>
      <c r="AWF227" s="3297"/>
      <c r="AWG227" s="3297"/>
      <c r="AWH227" s="3297"/>
      <c r="AWI227" s="3297"/>
      <c r="AWJ227" s="3297"/>
      <c r="AWK227" s="3297"/>
      <c r="AWL227" s="3297"/>
      <c r="AWM227" s="3297"/>
      <c r="AWN227" s="3297"/>
      <c r="AWO227" s="3297"/>
      <c r="AWP227" s="3297"/>
      <c r="AWQ227" s="3297"/>
      <c r="AWR227" s="3297"/>
      <c r="AWS227" s="3297"/>
      <c r="AWT227" s="3297"/>
      <c r="AWU227" s="3297"/>
      <c r="AWV227" s="3297"/>
      <c r="AWW227" s="3297"/>
      <c r="AWX227" s="3297"/>
      <c r="AWY227" s="3297"/>
      <c r="AWZ227" s="3297"/>
      <c r="AXA227" s="3297"/>
      <c r="AXB227" s="3297"/>
      <c r="AXC227" s="3297"/>
      <c r="AXD227" s="3297"/>
      <c r="AXE227" s="3297"/>
      <c r="AXF227" s="3297"/>
      <c r="AXG227" s="3297"/>
      <c r="AXH227" s="3297"/>
      <c r="AXI227" s="3297"/>
      <c r="AXJ227" s="3297"/>
    </row>
    <row r="228" spans="1:1310" s="3298" customFormat="1" ht="23.25" customHeight="1">
      <c r="A228" s="468"/>
      <c r="B228" s="6645" t="s">
        <v>556</v>
      </c>
      <c r="C228" s="6645"/>
      <c r="D228" s="6645"/>
      <c r="E228" s="6645"/>
      <c r="F228" s="3300"/>
      <c r="G228" s="6645" t="s">
        <v>3084</v>
      </c>
      <c r="H228" s="6645"/>
      <c r="I228" s="6645"/>
      <c r="J228" s="3300"/>
      <c r="K228" s="6645" t="s">
        <v>3101</v>
      </c>
      <c r="L228" s="6645"/>
      <c r="M228" s="6645"/>
      <c r="N228" s="3300"/>
      <c r="O228" s="6645" t="s">
        <v>3102</v>
      </c>
      <c r="P228" s="6645"/>
      <c r="Q228" s="3300"/>
      <c r="R228" s="443"/>
      <c r="S228" s="443"/>
      <c r="T228" s="443"/>
      <c r="U228" s="443"/>
      <c r="V228" s="443"/>
      <c r="W228" s="443"/>
      <c r="X228" s="443"/>
      <c r="Y228" s="443"/>
      <c r="Z228" s="443"/>
      <c r="AA228" s="443"/>
      <c r="AB228" s="443"/>
      <c r="AC228" s="443"/>
      <c r="AD228" s="3297"/>
      <c r="AE228" s="3297"/>
      <c r="AF228" s="3297"/>
      <c r="AG228" s="3297"/>
      <c r="AH228" s="3297"/>
      <c r="AI228" s="3297"/>
      <c r="AJ228" s="3297"/>
      <c r="AK228" s="3297"/>
      <c r="AL228" s="3297"/>
      <c r="AM228" s="3297"/>
      <c r="AN228" s="3297"/>
      <c r="AO228" s="3297"/>
      <c r="AP228" s="3297"/>
      <c r="AQ228" s="3297"/>
      <c r="AR228" s="3297"/>
      <c r="AS228" s="3297"/>
      <c r="AT228" s="3297"/>
      <c r="AU228" s="3297"/>
      <c r="AV228" s="3297"/>
      <c r="AW228" s="3297"/>
      <c r="AX228" s="3297"/>
      <c r="AY228" s="3297"/>
      <c r="AZ228" s="3297"/>
      <c r="BA228" s="3297"/>
      <c r="BB228" s="3297"/>
      <c r="BC228" s="3297"/>
      <c r="BD228" s="3297"/>
      <c r="BE228" s="3297"/>
      <c r="BF228" s="3297"/>
      <c r="BG228" s="3297"/>
      <c r="BH228" s="3297"/>
      <c r="BI228" s="3297"/>
      <c r="BJ228" s="3297"/>
      <c r="BK228" s="3297"/>
      <c r="BL228" s="3297"/>
      <c r="BM228" s="3297"/>
      <c r="BN228" s="3297"/>
      <c r="BO228" s="3297"/>
      <c r="BP228" s="3297"/>
      <c r="BQ228" s="3297"/>
      <c r="BR228" s="3297"/>
      <c r="BS228" s="3297"/>
      <c r="BT228" s="3297"/>
      <c r="BU228" s="3297"/>
      <c r="BV228" s="3297"/>
      <c r="BW228" s="3297"/>
      <c r="BX228" s="3297"/>
      <c r="BY228" s="3297"/>
      <c r="BZ228" s="3297"/>
      <c r="CA228" s="3297"/>
      <c r="CB228" s="3297"/>
      <c r="CC228" s="3297"/>
      <c r="CD228" s="3297"/>
      <c r="CE228" s="3297"/>
      <c r="CF228" s="3297"/>
      <c r="CG228" s="3297"/>
      <c r="CH228" s="3297"/>
      <c r="CI228" s="3297"/>
      <c r="CJ228" s="3297"/>
      <c r="CK228" s="3297"/>
      <c r="CL228" s="3297"/>
      <c r="CM228" s="3297"/>
      <c r="CN228" s="3297"/>
      <c r="CO228" s="3297"/>
      <c r="CP228" s="3297"/>
      <c r="CQ228" s="3297"/>
      <c r="CR228" s="3297"/>
      <c r="CS228" s="3297"/>
      <c r="CT228" s="3297"/>
      <c r="CU228" s="3297"/>
      <c r="CV228" s="3297"/>
      <c r="CW228" s="3297"/>
      <c r="CX228" s="3297"/>
      <c r="CY228" s="3297"/>
      <c r="CZ228" s="3297"/>
      <c r="DA228" s="3297"/>
      <c r="DB228" s="3297"/>
      <c r="DC228" s="3297"/>
      <c r="DD228" s="3297"/>
      <c r="DE228" s="3297"/>
      <c r="DF228" s="3297"/>
      <c r="DG228" s="3297"/>
      <c r="DH228" s="3297"/>
      <c r="DI228" s="3297"/>
      <c r="DJ228" s="3297"/>
      <c r="DK228" s="3297"/>
      <c r="DL228" s="3297"/>
      <c r="DM228" s="3297"/>
      <c r="DN228" s="3297"/>
      <c r="DO228" s="3297"/>
      <c r="DP228" s="3297"/>
      <c r="DQ228" s="3297"/>
      <c r="DR228" s="3297"/>
      <c r="DS228" s="3297"/>
      <c r="DT228" s="3297"/>
      <c r="DU228" s="3297"/>
      <c r="DV228" s="3297"/>
      <c r="DW228" s="3297"/>
      <c r="DX228" s="3297"/>
      <c r="DY228" s="3297"/>
      <c r="DZ228" s="3297"/>
      <c r="EA228" s="3297"/>
      <c r="EB228" s="3297"/>
      <c r="EC228" s="3297"/>
      <c r="ED228" s="3297"/>
      <c r="EE228" s="3297"/>
      <c r="EF228" s="3297"/>
      <c r="EG228" s="3297"/>
      <c r="EH228" s="3297"/>
      <c r="EI228" s="3297"/>
      <c r="EJ228" s="3297"/>
      <c r="EK228" s="3297"/>
      <c r="EL228" s="3297"/>
      <c r="EM228" s="3297"/>
      <c r="EN228" s="3297"/>
      <c r="EO228" s="3297"/>
      <c r="EP228" s="3297"/>
      <c r="EQ228" s="3297"/>
      <c r="ER228" s="3297"/>
      <c r="ES228" s="3297"/>
      <c r="ET228" s="3297"/>
      <c r="EU228" s="3297"/>
      <c r="EV228" s="3297"/>
      <c r="EW228" s="3297"/>
      <c r="EX228" s="3297"/>
      <c r="EY228" s="3297"/>
      <c r="EZ228" s="3297"/>
      <c r="FA228" s="3297"/>
      <c r="FB228" s="3297"/>
      <c r="FC228" s="3297"/>
      <c r="FD228" s="3297"/>
      <c r="FE228" s="3297"/>
      <c r="FF228" s="3297"/>
      <c r="FG228" s="3297"/>
      <c r="FH228" s="3297"/>
      <c r="FI228" s="3297"/>
      <c r="FJ228" s="3297"/>
      <c r="FK228" s="3297"/>
      <c r="FL228" s="3297"/>
      <c r="FM228" s="3297"/>
      <c r="FN228" s="3297"/>
      <c r="FO228" s="3297"/>
      <c r="FP228" s="3297"/>
      <c r="FQ228" s="3297"/>
      <c r="FR228" s="3297"/>
      <c r="FS228" s="3297"/>
      <c r="FT228" s="3297"/>
      <c r="FU228" s="3297"/>
      <c r="FV228" s="3297"/>
      <c r="FW228" s="3297"/>
      <c r="FX228" s="3297"/>
      <c r="FY228" s="3297"/>
      <c r="FZ228" s="3297"/>
      <c r="GA228" s="3297"/>
      <c r="GB228" s="3297"/>
      <c r="GC228" s="3297"/>
      <c r="GD228" s="3297"/>
      <c r="GE228" s="3297"/>
      <c r="GF228" s="3297"/>
      <c r="GG228" s="3297"/>
      <c r="GH228" s="3297"/>
      <c r="GI228" s="3297"/>
      <c r="GJ228" s="3297"/>
      <c r="GK228" s="3297"/>
      <c r="GL228" s="3297"/>
      <c r="GM228" s="3297"/>
      <c r="GN228" s="3297"/>
      <c r="GO228" s="3297"/>
      <c r="GP228" s="3297"/>
      <c r="GQ228" s="3297"/>
      <c r="GR228" s="3297"/>
      <c r="GS228" s="3297"/>
      <c r="GT228" s="3297"/>
      <c r="GU228" s="3297"/>
      <c r="GV228" s="3297"/>
      <c r="GW228" s="3297"/>
      <c r="GX228" s="3297"/>
      <c r="GY228" s="3297"/>
      <c r="GZ228" s="3297"/>
      <c r="HA228" s="3297"/>
      <c r="HB228" s="3297"/>
      <c r="HC228" s="3297"/>
      <c r="HD228" s="3297"/>
      <c r="HE228" s="3297"/>
      <c r="HF228" s="3297"/>
      <c r="HG228" s="3297"/>
      <c r="HH228" s="3297"/>
      <c r="HI228" s="3297"/>
      <c r="HJ228" s="3297"/>
      <c r="HK228" s="3297"/>
      <c r="HL228" s="3297"/>
      <c r="HM228" s="3297"/>
      <c r="HN228" s="3297"/>
      <c r="HO228" s="3297"/>
      <c r="HP228" s="3297"/>
      <c r="HQ228" s="3297"/>
      <c r="HR228" s="3297"/>
      <c r="HS228" s="3297"/>
      <c r="HT228" s="3297"/>
      <c r="HU228" s="3297"/>
      <c r="HV228" s="3297"/>
      <c r="HW228" s="3297"/>
      <c r="HX228" s="3297"/>
      <c r="HY228" s="3297"/>
      <c r="HZ228" s="3297"/>
      <c r="IA228" s="3297"/>
      <c r="IB228" s="3297"/>
      <c r="IC228" s="3297"/>
      <c r="ID228" s="3297"/>
      <c r="IE228" s="3297"/>
      <c r="IF228" s="3297"/>
      <c r="IG228" s="3297"/>
      <c r="IH228" s="3297"/>
      <c r="II228" s="3297"/>
      <c r="IJ228" s="3297"/>
      <c r="IK228" s="3297"/>
      <c r="IL228" s="3297"/>
      <c r="IM228" s="3297"/>
      <c r="IN228" s="3297"/>
      <c r="IO228" s="3297"/>
      <c r="IP228" s="3297"/>
      <c r="IQ228" s="3297"/>
      <c r="IR228" s="3297"/>
      <c r="IS228" s="3297"/>
      <c r="IT228" s="3297"/>
      <c r="IU228" s="3297"/>
      <c r="IV228" s="3297"/>
      <c r="IW228" s="3297"/>
      <c r="IX228" s="3297"/>
      <c r="IY228" s="3297"/>
      <c r="IZ228" s="3297"/>
      <c r="JA228" s="3297"/>
      <c r="JB228" s="3297"/>
      <c r="JC228" s="3297"/>
      <c r="JD228" s="3297"/>
      <c r="JE228" s="3297"/>
      <c r="JF228" s="3297"/>
      <c r="JG228" s="3297"/>
      <c r="JH228" s="3297"/>
      <c r="JI228" s="3297"/>
      <c r="JJ228" s="3297"/>
      <c r="JK228" s="3297"/>
      <c r="JL228" s="3297"/>
      <c r="JM228" s="3297"/>
      <c r="JN228" s="3297"/>
      <c r="JO228" s="3297"/>
      <c r="JP228" s="3297"/>
      <c r="JQ228" s="3297"/>
      <c r="JR228" s="3297"/>
      <c r="JS228" s="3297"/>
      <c r="JT228" s="3297"/>
      <c r="JU228" s="3297"/>
      <c r="JV228" s="3297"/>
      <c r="JW228" s="3297"/>
      <c r="JX228" s="3297"/>
      <c r="JY228" s="3297"/>
      <c r="JZ228" s="3297"/>
      <c r="KA228" s="3297"/>
      <c r="KB228" s="3297"/>
      <c r="KC228" s="3297"/>
      <c r="KD228" s="3297"/>
      <c r="KE228" s="3297"/>
      <c r="KF228" s="3297"/>
      <c r="KG228" s="3297"/>
      <c r="KH228" s="3297"/>
      <c r="KI228" s="3297"/>
      <c r="KJ228" s="3297"/>
      <c r="KK228" s="3297"/>
      <c r="KL228" s="3297"/>
      <c r="KM228" s="3297"/>
      <c r="KN228" s="3297"/>
      <c r="KO228" s="3297"/>
      <c r="KP228" s="3297"/>
      <c r="KQ228" s="3297"/>
      <c r="KR228" s="3297"/>
      <c r="KS228" s="3297"/>
      <c r="KT228" s="3297"/>
      <c r="KU228" s="3297"/>
      <c r="KV228" s="3297"/>
      <c r="KW228" s="3297"/>
      <c r="KX228" s="3297"/>
      <c r="KY228" s="3297"/>
      <c r="KZ228" s="3297"/>
      <c r="LA228" s="3297"/>
      <c r="LB228" s="3297"/>
      <c r="LC228" s="3297"/>
      <c r="LD228" s="3297"/>
      <c r="LE228" s="3297"/>
      <c r="LF228" s="3297"/>
      <c r="LG228" s="3297"/>
      <c r="LH228" s="3297"/>
      <c r="LI228" s="3297"/>
      <c r="LJ228" s="3297"/>
      <c r="LK228" s="3297"/>
      <c r="LL228" s="3297"/>
      <c r="LM228" s="3297"/>
      <c r="LN228" s="3297"/>
      <c r="LO228" s="3297"/>
      <c r="LP228" s="3297"/>
      <c r="LQ228" s="3297"/>
      <c r="LR228" s="3297"/>
      <c r="LS228" s="3297"/>
      <c r="LT228" s="3297"/>
      <c r="LU228" s="3297"/>
      <c r="LV228" s="3297"/>
      <c r="LW228" s="3297"/>
      <c r="LX228" s="3297"/>
      <c r="LY228" s="3297"/>
      <c r="LZ228" s="3297"/>
      <c r="MA228" s="3297"/>
      <c r="MB228" s="3297"/>
      <c r="MC228" s="3297"/>
      <c r="MD228" s="3297"/>
      <c r="ME228" s="3297"/>
      <c r="MF228" s="3297"/>
      <c r="MG228" s="3297"/>
      <c r="MH228" s="3297"/>
      <c r="MI228" s="3297"/>
      <c r="MJ228" s="3297"/>
      <c r="MK228" s="3297"/>
      <c r="ML228" s="3297"/>
      <c r="MM228" s="3297"/>
      <c r="MN228" s="3297"/>
      <c r="MO228" s="3297"/>
      <c r="MP228" s="3297"/>
      <c r="MQ228" s="3297"/>
      <c r="MR228" s="3297"/>
      <c r="MS228" s="3297"/>
      <c r="MT228" s="3297"/>
      <c r="MU228" s="3297"/>
      <c r="MV228" s="3297"/>
      <c r="MW228" s="3297"/>
      <c r="MX228" s="3297"/>
      <c r="MY228" s="3297"/>
      <c r="MZ228" s="3297"/>
      <c r="NA228" s="3297"/>
      <c r="NB228" s="3297"/>
      <c r="NC228" s="3297"/>
      <c r="ND228" s="3297"/>
      <c r="NE228" s="3297"/>
      <c r="NF228" s="3297"/>
      <c r="NG228" s="3297"/>
      <c r="NH228" s="3297"/>
      <c r="NI228" s="3297"/>
      <c r="NJ228" s="3297"/>
      <c r="NK228" s="3297"/>
      <c r="NL228" s="3297"/>
      <c r="NM228" s="3297"/>
      <c r="NN228" s="3297"/>
      <c r="NO228" s="3297"/>
      <c r="NP228" s="3297"/>
      <c r="NQ228" s="3297"/>
      <c r="NR228" s="3297"/>
      <c r="NS228" s="3297"/>
      <c r="NT228" s="3297"/>
      <c r="NU228" s="3297"/>
      <c r="NV228" s="3297"/>
      <c r="NW228" s="3297"/>
      <c r="NX228" s="3297"/>
      <c r="NY228" s="3297"/>
      <c r="NZ228" s="3297"/>
      <c r="OA228" s="3297"/>
      <c r="OB228" s="3297"/>
      <c r="OC228" s="3297"/>
      <c r="OD228" s="3297"/>
      <c r="OE228" s="3297"/>
      <c r="OF228" s="3297"/>
      <c r="OG228" s="3297"/>
      <c r="OH228" s="3297"/>
      <c r="OI228" s="3297"/>
      <c r="OJ228" s="3297"/>
      <c r="OK228" s="3297"/>
      <c r="OL228" s="3297"/>
      <c r="OM228" s="3297"/>
      <c r="ON228" s="3297"/>
      <c r="OO228" s="3297"/>
      <c r="OP228" s="3297"/>
      <c r="OQ228" s="3297"/>
      <c r="OR228" s="3297"/>
      <c r="OS228" s="3297"/>
      <c r="OT228" s="3297"/>
      <c r="OU228" s="3297"/>
      <c r="OV228" s="3297"/>
      <c r="OW228" s="3297"/>
      <c r="OX228" s="3297"/>
      <c r="OY228" s="3297"/>
      <c r="OZ228" s="3297"/>
      <c r="PA228" s="3297"/>
      <c r="PB228" s="3297"/>
      <c r="PC228" s="3297"/>
      <c r="PD228" s="3297"/>
      <c r="PE228" s="3297"/>
      <c r="PF228" s="3297"/>
      <c r="PG228" s="3297"/>
      <c r="PH228" s="3297"/>
      <c r="PI228" s="3297"/>
      <c r="PJ228" s="3297"/>
      <c r="PK228" s="3297"/>
      <c r="PL228" s="3297"/>
      <c r="PM228" s="3297"/>
      <c r="PN228" s="3297"/>
      <c r="PO228" s="3297"/>
      <c r="PP228" s="3297"/>
      <c r="PQ228" s="3297"/>
      <c r="PR228" s="3297"/>
      <c r="PS228" s="3297"/>
      <c r="PT228" s="3297"/>
      <c r="PU228" s="3297"/>
      <c r="PV228" s="3297"/>
      <c r="PW228" s="3297"/>
      <c r="PX228" s="3297"/>
      <c r="PY228" s="3297"/>
      <c r="PZ228" s="3297"/>
      <c r="QA228" s="3297"/>
      <c r="QB228" s="3297"/>
      <c r="QC228" s="3297"/>
      <c r="QD228" s="3297"/>
      <c r="QE228" s="3297"/>
      <c r="QF228" s="3297"/>
      <c r="QG228" s="3297"/>
      <c r="QH228" s="3297"/>
      <c r="QI228" s="3297"/>
      <c r="QJ228" s="3297"/>
      <c r="QK228" s="3297"/>
      <c r="QL228" s="3297"/>
      <c r="QM228" s="3297"/>
      <c r="QN228" s="3297"/>
      <c r="QO228" s="3297"/>
      <c r="QP228" s="3297"/>
      <c r="QQ228" s="3297"/>
      <c r="QR228" s="3297"/>
      <c r="QS228" s="3297"/>
      <c r="QT228" s="3297"/>
      <c r="QU228" s="3297"/>
      <c r="QV228" s="3297"/>
      <c r="QW228" s="3297"/>
      <c r="QX228" s="3297"/>
      <c r="QY228" s="3297"/>
      <c r="QZ228" s="3297"/>
      <c r="RA228" s="3297"/>
      <c r="RB228" s="3297"/>
      <c r="RC228" s="3297"/>
      <c r="RD228" s="3297"/>
      <c r="RE228" s="3297"/>
      <c r="RF228" s="3297"/>
      <c r="RG228" s="3297"/>
      <c r="RH228" s="3297"/>
      <c r="RI228" s="3297"/>
      <c r="RJ228" s="3297"/>
      <c r="RK228" s="3297"/>
      <c r="RL228" s="3297"/>
      <c r="RM228" s="3297"/>
      <c r="RN228" s="3297"/>
      <c r="RO228" s="3297"/>
      <c r="RP228" s="3297"/>
      <c r="RQ228" s="3297"/>
      <c r="RR228" s="3297"/>
      <c r="RS228" s="3297"/>
      <c r="RT228" s="3297"/>
      <c r="RU228" s="3297"/>
      <c r="RV228" s="3297"/>
      <c r="RW228" s="3297"/>
      <c r="RX228" s="3297"/>
      <c r="RY228" s="3297"/>
      <c r="RZ228" s="3297"/>
      <c r="SA228" s="3297"/>
      <c r="SB228" s="3297"/>
      <c r="SC228" s="3297"/>
      <c r="SD228" s="3297"/>
      <c r="SE228" s="3297"/>
      <c r="SF228" s="3297"/>
      <c r="SG228" s="3297"/>
      <c r="SH228" s="3297"/>
      <c r="SI228" s="3297"/>
      <c r="SJ228" s="3297"/>
      <c r="SK228" s="3297"/>
      <c r="SL228" s="3297"/>
      <c r="SM228" s="3297"/>
      <c r="SN228" s="3297"/>
      <c r="SO228" s="3297"/>
      <c r="SP228" s="3297"/>
      <c r="SQ228" s="3297"/>
      <c r="SR228" s="3297"/>
      <c r="SS228" s="3297"/>
      <c r="ST228" s="3297"/>
      <c r="SU228" s="3297"/>
      <c r="SV228" s="3297"/>
      <c r="SW228" s="3297"/>
      <c r="SX228" s="3297"/>
      <c r="SY228" s="3297"/>
      <c r="SZ228" s="3297"/>
      <c r="TA228" s="3297"/>
      <c r="TB228" s="3297"/>
      <c r="TC228" s="3297"/>
      <c r="TD228" s="3297"/>
      <c r="TE228" s="3297"/>
      <c r="TF228" s="3297"/>
      <c r="TG228" s="3297"/>
      <c r="TH228" s="3297"/>
      <c r="TI228" s="3297"/>
      <c r="TJ228" s="3297"/>
      <c r="TK228" s="3297"/>
      <c r="TL228" s="3297"/>
      <c r="TM228" s="3297"/>
      <c r="TN228" s="3297"/>
      <c r="TO228" s="3297"/>
      <c r="TP228" s="3297"/>
      <c r="TQ228" s="3297"/>
      <c r="TR228" s="3297"/>
      <c r="TS228" s="3297"/>
      <c r="TT228" s="3297"/>
      <c r="TU228" s="3297"/>
      <c r="TV228" s="3297"/>
      <c r="TW228" s="3297"/>
      <c r="TX228" s="3297"/>
      <c r="TY228" s="3297"/>
      <c r="TZ228" s="3297"/>
      <c r="UA228" s="3297"/>
      <c r="UB228" s="3297"/>
      <c r="UC228" s="3297"/>
      <c r="UD228" s="3297"/>
      <c r="UE228" s="3297"/>
      <c r="UF228" s="3297"/>
      <c r="UG228" s="3297"/>
      <c r="UH228" s="3297"/>
      <c r="UI228" s="3297"/>
      <c r="UJ228" s="3297"/>
      <c r="UK228" s="3297"/>
      <c r="UL228" s="3297"/>
      <c r="UM228" s="3297"/>
      <c r="UN228" s="3297"/>
      <c r="UO228" s="3297"/>
      <c r="UP228" s="3297"/>
      <c r="UQ228" s="3297"/>
      <c r="UR228" s="3297"/>
      <c r="US228" s="3297"/>
      <c r="UT228" s="3297"/>
      <c r="UU228" s="3297"/>
      <c r="UV228" s="3297"/>
      <c r="UW228" s="3297"/>
      <c r="UX228" s="3297"/>
      <c r="UY228" s="3297"/>
      <c r="UZ228" s="3297"/>
      <c r="VA228" s="3297"/>
      <c r="VB228" s="3297"/>
      <c r="VC228" s="3297"/>
      <c r="VD228" s="3297"/>
      <c r="VE228" s="3297"/>
      <c r="VF228" s="3297"/>
      <c r="VG228" s="3297"/>
      <c r="VH228" s="3297"/>
      <c r="VI228" s="3297"/>
      <c r="VJ228" s="3297"/>
      <c r="VK228" s="3297"/>
      <c r="VL228" s="3297"/>
      <c r="VM228" s="3297"/>
      <c r="VN228" s="3297"/>
      <c r="VO228" s="3297"/>
      <c r="VP228" s="3297"/>
      <c r="VQ228" s="3297"/>
      <c r="VR228" s="3297"/>
      <c r="VS228" s="3297"/>
      <c r="VT228" s="3297"/>
      <c r="VU228" s="3297"/>
      <c r="VV228" s="3297"/>
      <c r="VW228" s="3297"/>
      <c r="VX228" s="3297"/>
      <c r="VY228" s="3297"/>
      <c r="VZ228" s="3297"/>
      <c r="WA228" s="3297"/>
      <c r="WB228" s="3297"/>
      <c r="WC228" s="3297"/>
      <c r="WD228" s="3297"/>
      <c r="WE228" s="3297"/>
      <c r="WF228" s="3297"/>
      <c r="WG228" s="3297"/>
      <c r="WH228" s="3297"/>
      <c r="WI228" s="3297"/>
      <c r="WJ228" s="3297"/>
      <c r="WK228" s="3297"/>
      <c r="WL228" s="3297"/>
      <c r="WM228" s="3297"/>
      <c r="WN228" s="3297"/>
      <c r="WO228" s="3297"/>
      <c r="WP228" s="3297"/>
      <c r="WQ228" s="3297"/>
      <c r="WR228" s="3297"/>
      <c r="WS228" s="3297"/>
      <c r="WT228" s="3297"/>
      <c r="WU228" s="3297"/>
      <c r="WV228" s="3297"/>
      <c r="WW228" s="3297"/>
      <c r="WX228" s="3297"/>
      <c r="WY228" s="3297"/>
      <c r="WZ228" s="3297"/>
      <c r="XA228" s="3297"/>
      <c r="XB228" s="3297"/>
      <c r="XC228" s="3297"/>
      <c r="XD228" s="3297"/>
      <c r="XE228" s="3297"/>
      <c r="XF228" s="3297"/>
      <c r="XG228" s="3297"/>
      <c r="XH228" s="3297"/>
      <c r="XI228" s="3297"/>
      <c r="XJ228" s="3297"/>
      <c r="XK228" s="3297"/>
      <c r="XL228" s="3297"/>
      <c r="XM228" s="3297"/>
      <c r="XN228" s="3297"/>
      <c r="XO228" s="3297"/>
      <c r="XP228" s="3297"/>
      <c r="XQ228" s="3297"/>
      <c r="XR228" s="3297"/>
      <c r="XS228" s="3297"/>
      <c r="XT228" s="3297"/>
      <c r="XU228" s="3297"/>
      <c r="XV228" s="3297"/>
      <c r="XW228" s="3297"/>
      <c r="XX228" s="3297"/>
      <c r="XY228" s="3297"/>
      <c r="XZ228" s="3297"/>
      <c r="YA228" s="3297"/>
      <c r="YB228" s="3297"/>
      <c r="YC228" s="3297"/>
      <c r="YD228" s="3297"/>
      <c r="YE228" s="3297"/>
      <c r="YF228" s="3297"/>
      <c r="YG228" s="3297"/>
      <c r="YH228" s="3297"/>
      <c r="YI228" s="3297"/>
      <c r="YJ228" s="3297"/>
      <c r="YK228" s="3297"/>
      <c r="YL228" s="3297"/>
      <c r="YM228" s="3297"/>
      <c r="YN228" s="3297"/>
      <c r="YO228" s="3297"/>
      <c r="YP228" s="3297"/>
      <c r="YQ228" s="3297"/>
      <c r="YR228" s="3297"/>
      <c r="YS228" s="3297"/>
      <c r="YT228" s="3297"/>
      <c r="YU228" s="3297"/>
      <c r="YV228" s="3297"/>
      <c r="YW228" s="3297"/>
      <c r="YX228" s="3297"/>
      <c r="YY228" s="3297"/>
      <c r="YZ228" s="3297"/>
      <c r="ZA228" s="3297"/>
      <c r="ZB228" s="3297"/>
      <c r="ZC228" s="3297"/>
      <c r="ZD228" s="3297"/>
      <c r="ZE228" s="3297"/>
      <c r="ZF228" s="3297"/>
      <c r="ZG228" s="3297"/>
      <c r="ZH228" s="3297"/>
      <c r="ZI228" s="3297"/>
      <c r="ZJ228" s="3297"/>
      <c r="ZK228" s="3297"/>
      <c r="ZL228" s="3297"/>
      <c r="ZM228" s="3297"/>
      <c r="ZN228" s="3297"/>
      <c r="ZO228" s="3297"/>
      <c r="ZP228" s="3297"/>
      <c r="ZQ228" s="3297"/>
      <c r="ZR228" s="3297"/>
      <c r="ZS228" s="3297"/>
      <c r="ZT228" s="3297"/>
      <c r="ZU228" s="3297"/>
      <c r="ZV228" s="3297"/>
      <c r="ZW228" s="3297"/>
      <c r="ZX228" s="3297"/>
      <c r="ZY228" s="3297"/>
      <c r="ZZ228" s="3297"/>
      <c r="AAA228" s="3297"/>
      <c r="AAB228" s="3297"/>
      <c r="AAC228" s="3297"/>
      <c r="AAD228" s="3297"/>
      <c r="AAE228" s="3297"/>
      <c r="AAF228" s="3297"/>
      <c r="AAG228" s="3297"/>
      <c r="AAH228" s="3297"/>
      <c r="AAI228" s="3297"/>
      <c r="AAJ228" s="3297"/>
      <c r="AAK228" s="3297"/>
      <c r="AAL228" s="3297"/>
      <c r="AAM228" s="3297"/>
      <c r="AAN228" s="3297"/>
      <c r="AAO228" s="3297"/>
      <c r="AAP228" s="3297"/>
      <c r="AAQ228" s="3297"/>
      <c r="AAR228" s="3297"/>
      <c r="AAS228" s="3297"/>
      <c r="AAT228" s="3297"/>
      <c r="AAU228" s="3297"/>
      <c r="AAV228" s="3297"/>
      <c r="AAW228" s="3297"/>
      <c r="AAX228" s="3297"/>
      <c r="AAY228" s="3297"/>
      <c r="AAZ228" s="3297"/>
      <c r="ABA228" s="3297"/>
      <c r="ABB228" s="3297"/>
      <c r="ABC228" s="3297"/>
      <c r="ABD228" s="3297"/>
      <c r="ABE228" s="3297"/>
      <c r="ABF228" s="3297"/>
      <c r="ABG228" s="3297"/>
      <c r="ABH228" s="3297"/>
      <c r="ABI228" s="3297"/>
      <c r="ABJ228" s="3297"/>
      <c r="ABK228" s="3297"/>
      <c r="ABL228" s="3297"/>
      <c r="ABM228" s="3297"/>
      <c r="ABN228" s="3297"/>
      <c r="ABO228" s="3297"/>
      <c r="ABP228" s="3297"/>
      <c r="ABQ228" s="3297"/>
      <c r="ABR228" s="3297"/>
      <c r="ABS228" s="3297"/>
      <c r="ABT228" s="3297"/>
      <c r="ABU228" s="3297"/>
      <c r="ABV228" s="3297"/>
      <c r="ABW228" s="3297"/>
      <c r="ABX228" s="3297"/>
      <c r="ABY228" s="3297"/>
      <c r="ABZ228" s="3297"/>
      <c r="ACA228" s="3297"/>
      <c r="ACB228" s="3297"/>
      <c r="ACC228" s="3297"/>
      <c r="ACD228" s="3297"/>
      <c r="ACE228" s="3297"/>
      <c r="ACF228" s="3297"/>
      <c r="ACG228" s="3297"/>
      <c r="ACH228" s="3297"/>
      <c r="ACI228" s="3297"/>
      <c r="ACJ228" s="3297"/>
      <c r="ACK228" s="3297"/>
      <c r="ACL228" s="3297"/>
      <c r="ACM228" s="3297"/>
      <c r="ACN228" s="3297"/>
      <c r="ACO228" s="3297"/>
      <c r="ACP228" s="3297"/>
      <c r="ACQ228" s="3297"/>
      <c r="ACR228" s="3297"/>
      <c r="ACS228" s="3297"/>
      <c r="ACT228" s="3297"/>
      <c r="ACU228" s="3297"/>
      <c r="ACV228" s="3297"/>
      <c r="ACW228" s="3297"/>
      <c r="ACX228" s="3297"/>
      <c r="ACY228" s="3297"/>
      <c r="ACZ228" s="3297"/>
      <c r="ADA228" s="3297"/>
      <c r="ADB228" s="3297"/>
      <c r="ADC228" s="3297"/>
      <c r="ADD228" s="3297"/>
      <c r="ADE228" s="3297"/>
      <c r="ADF228" s="3297"/>
      <c r="ADG228" s="3297"/>
      <c r="ADH228" s="3297"/>
      <c r="ADI228" s="3297"/>
      <c r="ADJ228" s="3297"/>
      <c r="ADK228" s="3297"/>
      <c r="ADL228" s="3297"/>
      <c r="ADM228" s="3297"/>
      <c r="ADN228" s="3297"/>
      <c r="ADO228" s="3297"/>
      <c r="ADP228" s="3297"/>
      <c r="ADQ228" s="3297"/>
      <c r="ADR228" s="3297"/>
      <c r="ADS228" s="3297"/>
      <c r="ADT228" s="3297"/>
      <c r="ADU228" s="3297"/>
      <c r="ADV228" s="3297"/>
      <c r="ADW228" s="3297"/>
      <c r="ADX228" s="3297"/>
      <c r="ADY228" s="3297"/>
      <c r="ADZ228" s="3297"/>
      <c r="AEA228" s="3297"/>
      <c r="AEB228" s="3297"/>
      <c r="AEC228" s="3297"/>
      <c r="AED228" s="3297"/>
      <c r="AEE228" s="3297"/>
      <c r="AEF228" s="3297"/>
      <c r="AEG228" s="3297"/>
      <c r="AEH228" s="3297"/>
      <c r="AEI228" s="3297"/>
      <c r="AEJ228" s="3297"/>
      <c r="AEK228" s="3297"/>
      <c r="AEL228" s="3297"/>
      <c r="AEM228" s="3297"/>
      <c r="AEN228" s="3297"/>
      <c r="AEO228" s="3297"/>
      <c r="AEP228" s="3297"/>
      <c r="AEQ228" s="3297"/>
      <c r="AER228" s="3297"/>
      <c r="AES228" s="3297"/>
      <c r="AET228" s="3297"/>
      <c r="AEU228" s="3297"/>
      <c r="AEV228" s="3297"/>
      <c r="AEW228" s="3297"/>
      <c r="AEX228" s="3297"/>
      <c r="AEY228" s="3297"/>
      <c r="AEZ228" s="3297"/>
      <c r="AFA228" s="3297"/>
      <c r="AFB228" s="3297"/>
      <c r="AFC228" s="3297"/>
      <c r="AFD228" s="3297"/>
      <c r="AFE228" s="3297"/>
      <c r="AFF228" s="3297"/>
      <c r="AFG228" s="3297"/>
      <c r="AFH228" s="3297"/>
      <c r="AFI228" s="3297"/>
      <c r="AFJ228" s="3297"/>
      <c r="AFK228" s="3297"/>
      <c r="AFL228" s="3297"/>
      <c r="AFM228" s="3297"/>
      <c r="AFN228" s="3297"/>
      <c r="AFO228" s="3297"/>
      <c r="AFP228" s="3297"/>
      <c r="AFQ228" s="3297"/>
      <c r="AFR228" s="3297"/>
      <c r="AFS228" s="3297"/>
      <c r="AFT228" s="3297"/>
      <c r="AFU228" s="3297"/>
      <c r="AFV228" s="3297"/>
      <c r="AFW228" s="3297"/>
      <c r="AFX228" s="3297"/>
      <c r="AFY228" s="3297"/>
      <c r="AFZ228" s="3297"/>
      <c r="AGA228" s="3297"/>
      <c r="AGB228" s="3297"/>
      <c r="AGC228" s="3297"/>
      <c r="AGD228" s="3297"/>
      <c r="AGE228" s="3297"/>
      <c r="AGF228" s="3297"/>
      <c r="AGG228" s="3297"/>
      <c r="AGH228" s="3297"/>
      <c r="AGI228" s="3297"/>
      <c r="AGJ228" s="3297"/>
      <c r="AGK228" s="3297"/>
      <c r="AGL228" s="3297"/>
      <c r="AGM228" s="3297"/>
      <c r="AGN228" s="3297"/>
      <c r="AGO228" s="3297"/>
      <c r="AGP228" s="3297"/>
      <c r="AGQ228" s="3297"/>
      <c r="AGR228" s="3297"/>
      <c r="AGS228" s="3297"/>
      <c r="AGT228" s="3297"/>
      <c r="AGU228" s="3297"/>
      <c r="AGV228" s="3297"/>
      <c r="AGW228" s="3297"/>
      <c r="AGX228" s="3297"/>
      <c r="AGY228" s="3297"/>
      <c r="AGZ228" s="3297"/>
      <c r="AHA228" s="3297"/>
      <c r="AHB228" s="3297"/>
      <c r="AHC228" s="3297"/>
      <c r="AHD228" s="3297"/>
      <c r="AHE228" s="3297"/>
      <c r="AHF228" s="3297"/>
      <c r="AHG228" s="3297"/>
      <c r="AHH228" s="3297"/>
      <c r="AHI228" s="3297"/>
      <c r="AHJ228" s="3297"/>
      <c r="AHK228" s="3297"/>
      <c r="AHL228" s="3297"/>
      <c r="AHM228" s="3297"/>
      <c r="AHN228" s="3297"/>
      <c r="AHO228" s="3297"/>
      <c r="AHP228" s="3297"/>
      <c r="AHQ228" s="3297"/>
      <c r="AHR228" s="3297"/>
      <c r="AHS228" s="3297"/>
      <c r="AHT228" s="3297"/>
      <c r="AHU228" s="3297"/>
      <c r="AHV228" s="3297"/>
      <c r="AHW228" s="3297"/>
      <c r="AHX228" s="3297"/>
      <c r="AHY228" s="3297"/>
      <c r="AHZ228" s="3297"/>
      <c r="AIA228" s="3297"/>
      <c r="AIB228" s="3297"/>
      <c r="AIC228" s="3297"/>
      <c r="AID228" s="3297"/>
      <c r="AIE228" s="3297"/>
      <c r="AIF228" s="3297"/>
      <c r="AIG228" s="3297"/>
      <c r="AIH228" s="3297"/>
      <c r="AII228" s="3297"/>
      <c r="AIJ228" s="3297"/>
      <c r="AIK228" s="3297"/>
      <c r="AIL228" s="3297"/>
      <c r="AIM228" s="3297"/>
      <c r="AIN228" s="3297"/>
      <c r="AIO228" s="3297"/>
      <c r="AIP228" s="3297"/>
      <c r="AIQ228" s="3297"/>
      <c r="AIR228" s="3297"/>
      <c r="AIS228" s="3297"/>
      <c r="AIT228" s="3297"/>
      <c r="AIU228" s="3297"/>
      <c r="AIV228" s="3297"/>
      <c r="AIW228" s="3297"/>
      <c r="AIX228" s="3297"/>
      <c r="AIY228" s="3297"/>
      <c r="AIZ228" s="3297"/>
      <c r="AJA228" s="3297"/>
      <c r="AJB228" s="3297"/>
      <c r="AJC228" s="3297"/>
      <c r="AJD228" s="3297"/>
      <c r="AJE228" s="3297"/>
      <c r="AJF228" s="3297"/>
      <c r="AJG228" s="3297"/>
      <c r="AJH228" s="3297"/>
      <c r="AJI228" s="3297"/>
      <c r="AJJ228" s="3297"/>
      <c r="AJK228" s="3297"/>
      <c r="AJL228" s="3297"/>
      <c r="AJM228" s="3297"/>
      <c r="AJN228" s="3297"/>
      <c r="AJO228" s="3297"/>
      <c r="AJP228" s="3297"/>
      <c r="AJQ228" s="3297"/>
      <c r="AJR228" s="3297"/>
      <c r="AJS228" s="3297"/>
      <c r="AJT228" s="3297"/>
      <c r="AJU228" s="3297"/>
      <c r="AJV228" s="3297"/>
      <c r="AJW228" s="3297"/>
      <c r="AJX228" s="3297"/>
      <c r="AJY228" s="3297"/>
      <c r="AJZ228" s="3297"/>
      <c r="AKA228" s="3297"/>
      <c r="AKB228" s="3297"/>
      <c r="AKC228" s="3297"/>
      <c r="AKD228" s="3297"/>
      <c r="AKE228" s="3297"/>
      <c r="AKF228" s="3297"/>
      <c r="AKG228" s="3297"/>
      <c r="AKH228" s="3297"/>
      <c r="AKI228" s="3297"/>
      <c r="AKJ228" s="3297"/>
      <c r="AKK228" s="3297"/>
      <c r="AKL228" s="3297"/>
      <c r="AKM228" s="3297"/>
      <c r="AKN228" s="3297"/>
      <c r="AKO228" s="3297"/>
      <c r="AKP228" s="3297"/>
      <c r="AKQ228" s="3297"/>
      <c r="AKR228" s="3297"/>
      <c r="AKS228" s="3297"/>
      <c r="AKT228" s="3297"/>
      <c r="AKU228" s="3297"/>
      <c r="AKV228" s="3297"/>
      <c r="AKW228" s="3297"/>
      <c r="AKX228" s="3297"/>
      <c r="AKY228" s="3297"/>
      <c r="AKZ228" s="3297"/>
      <c r="ALA228" s="3297"/>
      <c r="ALB228" s="3297"/>
      <c r="ALC228" s="3297"/>
      <c r="ALD228" s="3297"/>
      <c r="ALE228" s="3297"/>
      <c r="ALF228" s="3297"/>
      <c r="ALG228" s="3297"/>
      <c r="ALH228" s="3297"/>
      <c r="ALI228" s="3297"/>
      <c r="ALJ228" s="3297"/>
      <c r="ALK228" s="3297"/>
      <c r="ALL228" s="3297"/>
      <c r="ALM228" s="3297"/>
      <c r="ALN228" s="3297"/>
      <c r="ALO228" s="3297"/>
      <c r="ALP228" s="3297"/>
      <c r="ALQ228" s="3297"/>
      <c r="ALR228" s="3297"/>
      <c r="ALS228" s="3297"/>
      <c r="ALT228" s="3297"/>
      <c r="ALU228" s="3297"/>
      <c r="ALV228" s="3297"/>
      <c r="ALW228" s="3297"/>
      <c r="ALX228" s="3297"/>
      <c r="ALY228" s="3297"/>
      <c r="ALZ228" s="3297"/>
      <c r="AMA228" s="3297"/>
      <c r="AMB228" s="3297"/>
      <c r="AMC228" s="3297"/>
      <c r="AMD228" s="3297"/>
      <c r="AME228" s="3297"/>
      <c r="AMF228" s="3297"/>
      <c r="AMG228" s="3297"/>
      <c r="AMH228" s="3297"/>
      <c r="AMI228" s="3297"/>
      <c r="AMJ228" s="3297"/>
      <c r="AMK228" s="3297"/>
      <c r="AML228" s="3297"/>
      <c r="AMM228" s="3297"/>
      <c r="AMN228" s="3297"/>
      <c r="AMO228" s="3297"/>
      <c r="AMP228" s="3297"/>
      <c r="AMQ228" s="3297"/>
      <c r="AMR228" s="3297"/>
      <c r="AMS228" s="3297"/>
      <c r="AMT228" s="3297"/>
      <c r="AMU228" s="3297"/>
      <c r="AMV228" s="3297"/>
      <c r="AMW228" s="3297"/>
      <c r="AMX228" s="3297"/>
      <c r="AMY228" s="3297"/>
      <c r="AMZ228" s="3297"/>
      <c r="ANA228" s="3297"/>
      <c r="ANB228" s="3297"/>
      <c r="ANC228" s="3297"/>
      <c r="AND228" s="3297"/>
      <c r="ANE228" s="3297"/>
      <c r="ANF228" s="3297"/>
      <c r="ANG228" s="3297"/>
      <c r="ANH228" s="3297"/>
      <c r="ANI228" s="3297"/>
      <c r="ANJ228" s="3297"/>
      <c r="ANK228" s="3297"/>
      <c r="ANL228" s="3297"/>
      <c r="ANM228" s="3297"/>
      <c r="ANN228" s="3297"/>
      <c r="ANO228" s="3297"/>
      <c r="ANP228" s="3297"/>
      <c r="ANQ228" s="3297"/>
      <c r="ANR228" s="3297"/>
      <c r="ANS228" s="3297"/>
      <c r="ANT228" s="3297"/>
      <c r="ANU228" s="3297"/>
      <c r="ANV228" s="3297"/>
      <c r="ANW228" s="3297"/>
      <c r="ANX228" s="3297"/>
      <c r="ANY228" s="3297"/>
      <c r="ANZ228" s="3297"/>
      <c r="AOA228" s="3297"/>
      <c r="AOB228" s="3297"/>
      <c r="AOC228" s="3297"/>
      <c r="AOD228" s="3297"/>
      <c r="AOE228" s="3297"/>
      <c r="AOF228" s="3297"/>
      <c r="AOG228" s="3297"/>
      <c r="AOH228" s="3297"/>
      <c r="AOI228" s="3297"/>
      <c r="AOJ228" s="3297"/>
      <c r="AOK228" s="3297"/>
      <c r="AOL228" s="3297"/>
      <c r="AOM228" s="3297"/>
      <c r="AON228" s="3297"/>
      <c r="AOO228" s="3297"/>
      <c r="AOP228" s="3297"/>
      <c r="AOQ228" s="3297"/>
      <c r="AOR228" s="3297"/>
      <c r="AOS228" s="3297"/>
      <c r="AOT228" s="3297"/>
      <c r="AOU228" s="3297"/>
      <c r="AOV228" s="3297"/>
      <c r="AOW228" s="3297"/>
      <c r="AOX228" s="3297"/>
      <c r="AOY228" s="3297"/>
      <c r="AOZ228" s="3297"/>
      <c r="APA228" s="3297"/>
      <c r="APB228" s="3297"/>
      <c r="APC228" s="3297"/>
      <c r="APD228" s="3297"/>
      <c r="APE228" s="3297"/>
      <c r="APF228" s="3297"/>
      <c r="APG228" s="3297"/>
      <c r="APH228" s="3297"/>
      <c r="API228" s="3297"/>
      <c r="APJ228" s="3297"/>
      <c r="APK228" s="3297"/>
      <c r="APL228" s="3297"/>
      <c r="APM228" s="3297"/>
      <c r="APN228" s="3297"/>
      <c r="APO228" s="3297"/>
      <c r="APP228" s="3297"/>
      <c r="APQ228" s="3297"/>
      <c r="APR228" s="3297"/>
      <c r="APS228" s="3297"/>
      <c r="APT228" s="3297"/>
      <c r="APU228" s="3297"/>
      <c r="APV228" s="3297"/>
      <c r="APW228" s="3297"/>
      <c r="APX228" s="3297"/>
      <c r="APY228" s="3297"/>
      <c r="APZ228" s="3297"/>
      <c r="AQA228" s="3297"/>
      <c r="AQB228" s="3297"/>
      <c r="AQC228" s="3297"/>
      <c r="AQD228" s="3297"/>
      <c r="AQE228" s="3297"/>
      <c r="AQF228" s="3297"/>
      <c r="AQG228" s="3297"/>
      <c r="AQH228" s="3297"/>
      <c r="AQI228" s="3297"/>
      <c r="AQJ228" s="3297"/>
      <c r="AQK228" s="3297"/>
      <c r="AQL228" s="3297"/>
      <c r="AQM228" s="3297"/>
      <c r="AQN228" s="3297"/>
      <c r="AQO228" s="3297"/>
      <c r="AQP228" s="3297"/>
      <c r="AQQ228" s="3297"/>
      <c r="AQR228" s="3297"/>
      <c r="AQS228" s="3297"/>
      <c r="AQT228" s="3297"/>
      <c r="AQU228" s="3297"/>
      <c r="AQV228" s="3297"/>
      <c r="AQW228" s="3297"/>
      <c r="AQX228" s="3297"/>
      <c r="AQY228" s="3297"/>
      <c r="AQZ228" s="3297"/>
      <c r="ARA228" s="3297"/>
      <c r="ARB228" s="3297"/>
      <c r="ARC228" s="3297"/>
      <c r="ARD228" s="3297"/>
      <c r="ARE228" s="3297"/>
      <c r="ARF228" s="3297"/>
      <c r="ARG228" s="3297"/>
      <c r="ARH228" s="3297"/>
      <c r="ARI228" s="3297"/>
      <c r="ARJ228" s="3297"/>
      <c r="ARK228" s="3297"/>
      <c r="ARL228" s="3297"/>
      <c r="ARM228" s="3297"/>
      <c r="ARN228" s="3297"/>
      <c r="ARO228" s="3297"/>
      <c r="ARP228" s="3297"/>
      <c r="ARQ228" s="3297"/>
      <c r="ARR228" s="3297"/>
      <c r="ARS228" s="3297"/>
      <c r="ART228" s="3297"/>
      <c r="ARU228" s="3297"/>
      <c r="ARV228" s="3297"/>
      <c r="ARW228" s="3297"/>
      <c r="ARX228" s="3297"/>
      <c r="ARY228" s="3297"/>
      <c r="ARZ228" s="3297"/>
      <c r="ASA228" s="3297"/>
      <c r="ASB228" s="3297"/>
      <c r="ASC228" s="3297"/>
      <c r="ASD228" s="3297"/>
      <c r="ASE228" s="3297"/>
      <c r="ASF228" s="3297"/>
      <c r="ASG228" s="3297"/>
      <c r="ASH228" s="3297"/>
      <c r="ASI228" s="3297"/>
      <c r="ASJ228" s="3297"/>
      <c r="ASK228" s="3297"/>
      <c r="ASL228" s="3297"/>
      <c r="ASM228" s="3297"/>
      <c r="ASN228" s="3297"/>
      <c r="ASO228" s="3297"/>
      <c r="ASP228" s="3297"/>
      <c r="ASQ228" s="3297"/>
      <c r="ASR228" s="3297"/>
      <c r="ASS228" s="3297"/>
      <c r="AST228" s="3297"/>
      <c r="ASU228" s="3297"/>
      <c r="ASV228" s="3297"/>
      <c r="ASW228" s="3297"/>
      <c r="ASX228" s="3297"/>
      <c r="ASY228" s="3297"/>
      <c r="ASZ228" s="3297"/>
      <c r="ATA228" s="3297"/>
      <c r="ATB228" s="3297"/>
      <c r="ATC228" s="3297"/>
      <c r="ATD228" s="3297"/>
      <c r="ATE228" s="3297"/>
      <c r="ATF228" s="3297"/>
      <c r="ATG228" s="3297"/>
      <c r="ATH228" s="3297"/>
      <c r="ATI228" s="3297"/>
      <c r="ATJ228" s="3297"/>
      <c r="ATK228" s="3297"/>
      <c r="ATL228" s="3297"/>
      <c r="ATM228" s="3297"/>
      <c r="ATN228" s="3297"/>
      <c r="ATO228" s="3297"/>
      <c r="ATP228" s="3297"/>
      <c r="ATQ228" s="3297"/>
      <c r="ATR228" s="3297"/>
      <c r="ATS228" s="3297"/>
      <c r="ATT228" s="3297"/>
      <c r="ATU228" s="3297"/>
      <c r="ATV228" s="3297"/>
      <c r="ATW228" s="3297"/>
      <c r="ATX228" s="3297"/>
      <c r="ATY228" s="3297"/>
      <c r="ATZ228" s="3297"/>
      <c r="AUA228" s="3297"/>
      <c r="AUB228" s="3297"/>
      <c r="AUC228" s="3297"/>
      <c r="AUD228" s="3297"/>
      <c r="AUE228" s="3297"/>
      <c r="AUF228" s="3297"/>
      <c r="AUG228" s="3297"/>
      <c r="AUH228" s="3297"/>
      <c r="AUI228" s="3297"/>
      <c r="AUJ228" s="3297"/>
      <c r="AUK228" s="3297"/>
      <c r="AUL228" s="3297"/>
      <c r="AUM228" s="3297"/>
      <c r="AUN228" s="3297"/>
      <c r="AUO228" s="3297"/>
      <c r="AUP228" s="3297"/>
      <c r="AUQ228" s="3297"/>
      <c r="AUR228" s="3297"/>
      <c r="AUS228" s="3297"/>
      <c r="AUT228" s="3297"/>
      <c r="AUU228" s="3297"/>
      <c r="AUV228" s="3297"/>
      <c r="AUW228" s="3297"/>
      <c r="AUX228" s="3297"/>
      <c r="AUY228" s="3297"/>
      <c r="AUZ228" s="3297"/>
      <c r="AVA228" s="3297"/>
      <c r="AVB228" s="3297"/>
      <c r="AVC228" s="3297"/>
      <c r="AVD228" s="3297"/>
      <c r="AVE228" s="3297"/>
      <c r="AVF228" s="3297"/>
      <c r="AVG228" s="3297"/>
      <c r="AVH228" s="3297"/>
      <c r="AVI228" s="3297"/>
      <c r="AVJ228" s="3297"/>
      <c r="AVK228" s="3297"/>
      <c r="AVL228" s="3297"/>
      <c r="AVM228" s="3297"/>
      <c r="AVN228" s="3297"/>
      <c r="AVO228" s="3297"/>
      <c r="AVP228" s="3297"/>
      <c r="AVQ228" s="3297"/>
      <c r="AVR228" s="3297"/>
      <c r="AVS228" s="3297"/>
      <c r="AVT228" s="3297"/>
      <c r="AVU228" s="3297"/>
      <c r="AVV228" s="3297"/>
      <c r="AVW228" s="3297"/>
      <c r="AVX228" s="3297"/>
      <c r="AVY228" s="3297"/>
      <c r="AVZ228" s="3297"/>
      <c r="AWA228" s="3297"/>
      <c r="AWB228" s="3297"/>
      <c r="AWC228" s="3297"/>
      <c r="AWD228" s="3297"/>
      <c r="AWE228" s="3297"/>
      <c r="AWF228" s="3297"/>
      <c r="AWG228" s="3297"/>
      <c r="AWH228" s="3297"/>
      <c r="AWI228" s="3297"/>
      <c r="AWJ228" s="3297"/>
      <c r="AWK228" s="3297"/>
      <c r="AWL228" s="3297"/>
      <c r="AWM228" s="3297"/>
      <c r="AWN228" s="3297"/>
      <c r="AWO228" s="3297"/>
      <c r="AWP228" s="3297"/>
      <c r="AWQ228" s="3297"/>
      <c r="AWR228" s="3297"/>
      <c r="AWS228" s="3297"/>
      <c r="AWT228" s="3297"/>
      <c r="AWU228" s="3297"/>
      <c r="AWV228" s="3297"/>
      <c r="AWW228" s="3297"/>
      <c r="AWX228" s="3297"/>
      <c r="AWY228" s="3297"/>
      <c r="AWZ228" s="3297"/>
      <c r="AXA228" s="3297"/>
      <c r="AXB228" s="3297"/>
      <c r="AXC228" s="3297"/>
      <c r="AXD228" s="3297"/>
      <c r="AXE228" s="3297"/>
      <c r="AXF228" s="3297"/>
      <c r="AXG228" s="3297"/>
      <c r="AXH228" s="3297"/>
      <c r="AXI228" s="3297"/>
      <c r="AXJ228" s="3297"/>
    </row>
    <row r="229" spans="1:1310" s="3298" customFormat="1" ht="23.25" customHeight="1">
      <c r="A229" s="468"/>
      <c r="B229" s="6645" t="s">
        <v>555</v>
      </c>
      <c r="C229" s="6645"/>
      <c r="D229" s="6645"/>
      <c r="E229" s="6645"/>
      <c r="F229" s="3300"/>
      <c r="G229" s="6645" t="s">
        <v>3103</v>
      </c>
      <c r="H229" s="6645"/>
      <c r="I229" s="6645"/>
      <c r="J229" s="3300"/>
      <c r="K229" s="6645" t="s">
        <v>3104</v>
      </c>
      <c r="L229" s="6645"/>
      <c r="M229" s="6645"/>
      <c r="N229" s="3300"/>
      <c r="O229" s="6645" t="s">
        <v>3102</v>
      </c>
      <c r="P229" s="6645"/>
      <c r="Q229" s="3300"/>
      <c r="R229" s="443"/>
      <c r="S229" s="443"/>
      <c r="T229" s="443"/>
      <c r="U229" s="443"/>
      <c r="V229" s="443"/>
      <c r="W229" s="443"/>
      <c r="X229" s="443"/>
      <c r="Y229" s="443"/>
      <c r="Z229" s="443"/>
      <c r="AA229" s="443"/>
      <c r="AB229" s="443"/>
      <c r="AC229" s="443"/>
      <c r="AD229" s="3297"/>
      <c r="AE229" s="3297"/>
      <c r="AF229" s="3297"/>
      <c r="AG229" s="3297"/>
      <c r="AH229" s="3297"/>
      <c r="AI229" s="3297"/>
      <c r="AJ229" s="3297"/>
      <c r="AK229" s="3297"/>
      <c r="AL229" s="3297"/>
      <c r="AM229" s="3297"/>
      <c r="AN229" s="3297"/>
      <c r="AO229" s="3297"/>
      <c r="AP229" s="3297"/>
      <c r="AQ229" s="3297"/>
      <c r="AR229" s="3297"/>
      <c r="AS229" s="3297"/>
      <c r="AT229" s="3297"/>
      <c r="AU229" s="3297"/>
      <c r="AV229" s="3297"/>
      <c r="AW229" s="3297"/>
      <c r="AX229" s="3297"/>
      <c r="AY229" s="3297"/>
      <c r="AZ229" s="3297"/>
      <c r="BA229" s="3297"/>
      <c r="BB229" s="3297"/>
      <c r="BC229" s="3297"/>
      <c r="BD229" s="3297"/>
      <c r="BE229" s="3297"/>
      <c r="BF229" s="3297"/>
      <c r="BG229" s="3297"/>
      <c r="BH229" s="3297"/>
      <c r="BI229" s="3297"/>
      <c r="BJ229" s="3297"/>
      <c r="BK229" s="3297"/>
      <c r="BL229" s="3297"/>
      <c r="BM229" s="3297"/>
      <c r="BN229" s="3297"/>
      <c r="BO229" s="3297"/>
      <c r="BP229" s="3297"/>
      <c r="BQ229" s="3297"/>
      <c r="BR229" s="3297"/>
      <c r="BS229" s="3297"/>
      <c r="BT229" s="3297"/>
      <c r="BU229" s="3297"/>
      <c r="BV229" s="3297"/>
      <c r="BW229" s="3297"/>
      <c r="BX229" s="3297"/>
      <c r="BY229" s="3297"/>
      <c r="BZ229" s="3297"/>
      <c r="CA229" s="3297"/>
      <c r="CB229" s="3297"/>
      <c r="CC229" s="3297"/>
      <c r="CD229" s="3297"/>
      <c r="CE229" s="3297"/>
      <c r="CF229" s="3297"/>
      <c r="CG229" s="3297"/>
      <c r="CH229" s="3297"/>
      <c r="CI229" s="3297"/>
      <c r="CJ229" s="3297"/>
      <c r="CK229" s="3297"/>
      <c r="CL229" s="3297"/>
      <c r="CM229" s="3297"/>
      <c r="CN229" s="3297"/>
      <c r="CO229" s="3297"/>
      <c r="CP229" s="3297"/>
      <c r="CQ229" s="3297"/>
      <c r="CR229" s="3297"/>
      <c r="CS229" s="3297"/>
      <c r="CT229" s="3297"/>
      <c r="CU229" s="3297"/>
      <c r="CV229" s="3297"/>
      <c r="CW229" s="3297"/>
      <c r="CX229" s="3297"/>
      <c r="CY229" s="3297"/>
      <c r="CZ229" s="3297"/>
      <c r="DA229" s="3297"/>
      <c r="DB229" s="3297"/>
      <c r="DC229" s="3297"/>
      <c r="DD229" s="3297"/>
      <c r="DE229" s="3297"/>
      <c r="DF229" s="3297"/>
      <c r="DG229" s="3297"/>
      <c r="DH229" s="3297"/>
      <c r="DI229" s="3297"/>
      <c r="DJ229" s="3297"/>
      <c r="DK229" s="3297"/>
      <c r="DL229" s="3297"/>
      <c r="DM229" s="3297"/>
      <c r="DN229" s="3297"/>
      <c r="DO229" s="3297"/>
      <c r="DP229" s="3297"/>
      <c r="DQ229" s="3297"/>
      <c r="DR229" s="3297"/>
      <c r="DS229" s="3297"/>
      <c r="DT229" s="3297"/>
      <c r="DU229" s="3297"/>
      <c r="DV229" s="3297"/>
      <c r="DW229" s="3297"/>
      <c r="DX229" s="3297"/>
      <c r="DY229" s="3297"/>
      <c r="DZ229" s="3297"/>
      <c r="EA229" s="3297"/>
      <c r="EB229" s="3297"/>
      <c r="EC229" s="3297"/>
      <c r="ED229" s="3297"/>
      <c r="EE229" s="3297"/>
      <c r="EF229" s="3297"/>
      <c r="EG229" s="3297"/>
      <c r="EH229" s="3297"/>
      <c r="EI229" s="3297"/>
      <c r="EJ229" s="3297"/>
      <c r="EK229" s="3297"/>
      <c r="EL229" s="3297"/>
      <c r="EM229" s="3297"/>
      <c r="EN229" s="3297"/>
      <c r="EO229" s="3297"/>
      <c r="EP229" s="3297"/>
      <c r="EQ229" s="3297"/>
      <c r="ER229" s="3297"/>
      <c r="ES229" s="3297"/>
      <c r="ET229" s="3297"/>
      <c r="EU229" s="3297"/>
      <c r="EV229" s="3297"/>
      <c r="EW229" s="3297"/>
      <c r="EX229" s="3297"/>
      <c r="EY229" s="3297"/>
      <c r="EZ229" s="3297"/>
      <c r="FA229" s="3297"/>
      <c r="FB229" s="3297"/>
      <c r="FC229" s="3297"/>
      <c r="FD229" s="3297"/>
      <c r="FE229" s="3297"/>
      <c r="FF229" s="3297"/>
      <c r="FG229" s="3297"/>
      <c r="FH229" s="3297"/>
      <c r="FI229" s="3297"/>
      <c r="FJ229" s="3297"/>
      <c r="FK229" s="3297"/>
      <c r="FL229" s="3297"/>
      <c r="FM229" s="3297"/>
      <c r="FN229" s="3297"/>
      <c r="FO229" s="3297"/>
      <c r="FP229" s="3297"/>
      <c r="FQ229" s="3297"/>
      <c r="FR229" s="3297"/>
      <c r="FS229" s="3297"/>
      <c r="FT229" s="3297"/>
      <c r="FU229" s="3297"/>
      <c r="FV229" s="3297"/>
      <c r="FW229" s="3297"/>
      <c r="FX229" s="3297"/>
      <c r="FY229" s="3297"/>
      <c r="FZ229" s="3297"/>
      <c r="GA229" s="3297"/>
      <c r="GB229" s="3297"/>
      <c r="GC229" s="3297"/>
      <c r="GD229" s="3297"/>
      <c r="GE229" s="3297"/>
      <c r="GF229" s="3297"/>
      <c r="GG229" s="3297"/>
      <c r="GH229" s="3297"/>
      <c r="GI229" s="3297"/>
      <c r="GJ229" s="3297"/>
      <c r="GK229" s="3297"/>
      <c r="GL229" s="3297"/>
      <c r="GM229" s="3297"/>
      <c r="GN229" s="3297"/>
      <c r="GO229" s="3297"/>
      <c r="GP229" s="3297"/>
      <c r="GQ229" s="3297"/>
      <c r="GR229" s="3297"/>
      <c r="GS229" s="3297"/>
      <c r="GT229" s="3297"/>
      <c r="GU229" s="3297"/>
      <c r="GV229" s="3297"/>
      <c r="GW229" s="3297"/>
      <c r="GX229" s="3297"/>
      <c r="GY229" s="3297"/>
      <c r="GZ229" s="3297"/>
      <c r="HA229" s="3297"/>
      <c r="HB229" s="3297"/>
      <c r="HC229" s="3297"/>
      <c r="HD229" s="3297"/>
      <c r="HE229" s="3297"/>
      <c r="HF229" s="3297"/>
      <c r="HG229" s="3297"/>
      <c r="HH229" s="3297"/>
      <c r="HI229" s="3297"/>
      <c r="HJ229" s="3297"/>
      <c r="HK229" s="3297"/>
      <c r="HL229" s="3297"/>
      <c r="HM229" s="3297"/>
      <c r="HN229" s="3297"/>
      <c r="HO229" s="3297"/>
      <c r="HP229" s="3297"/>
      <c r="HQ229" s="3297"/>
      <c r="HR229" s="3297"/>
      <c r="HS229" s="3297"/>
      <c r="HT229" s="3297"/>
      <c r="HU229" s="3297"/>
      <c r="HV229" s="3297"/>
      <c r="HW229" s="3297"/>
      <c r="HX229" s="3297"/>
      <c r="HY229" s="3297"/>
      <c r="HZ229" s="3297"/>
      <c r="IA229" s="3297"/>
      <c r="IB229" s="3297"/>
      <c r="IC229" s="3297"/>
      <c r="ID229" s="3297"/>
      <c r="IE229" s="3297"/>
      <c r="IF229" s="3297"/>
      <c r="IG229" s="3297"/>
      <c r="IH229" s="3297"/>
      <c r="II229" s="3297"/>
      <c r="IJ229" s="3297"/>
      <c r="IK229" s="3297"/>
      <c r="IL229" s="3297"/>
      <c r="IM229" s="3297"/>
      <c r="IN229" s="3297"/>
      <c r="IO229" s="3297"/>
      <c r="IP229" s="3297"/>
      <c r="IQ229" s="3297"/>
      <c r="IR229" s="3297"/>
      <c r="IS229" s="3297"/>
      <c r="IT229" s="3297"/>
      <c r="IU229" s="3297"/>
      <c r="IV229" s="3297"/>
      <c r="IW229" s="3297"/>
      <c r="IX229" s="3297"/>
      <c r="IY229" s="3297"/>
      <c r="IZ229" s="3297"/>
      <c r="JA229" s="3297"/>
      <c r="JB229" s="3297"/>
      <c r="JC229" s="3297"/>
      <c r="JD229" s="3297"/>
      <c r="JE229" s="3297"/>
      <c r="JF229" s="3297"/>
      <c r="JG229" s="3297"/>
      <c r="JH229" s="3297"/>
      <c r="JI229" s="3297"/>
      <c r="JJ229" s="3297"/>
      <c r="JK229" s="3297"/>
      <c r="JL229" s="3297"/>
      <c r="JM229" s="3297"/>
      <c r="JN229" s="3297"/>
      <c r="JO229" s="3297"/>
      <c r="JP229" s="3297"/>
      <c r="JQ229" s="3297"/>
      <c r="JR229" s="3297"/>
      <c r="JS229" s="3297"/>
      <c r="JT229" s="3297"/>
      <c r="JU229" s="3297"/>
      <c r="JV229" s="3297"/>
      <c r="JW229" s="3297"/>
      <c r="JX229" s="3297"/>
      <c r="JY229" s="3297"/>
      <c r="JZ229" s="3297"/>
      <c r="KA229" s="3297"/>
      <c r="KB229" s="3297"/>
      <c r="KC229" s="3297"/>
      <c r="KD229" s="3297"/>
      <c r="KE229" s="3297"/>
      <c r="KF229" s="3297"/>
      <c r="KG229" s="3297"/>
      <c r="KH229" s="3297"/>
      <c r="KI229" s="3297"/>
      <c r="KJ229" s="3297"/>
      <c r="KK229" s="3297"/>
      <c r="KL229" s="3297"/>
      <c r="KM229" s="3297"/>
      <c r="KN229" s="3297"/>
      <c r="KO229" s="3297"/>
      <c r="KP229" s="3297"/>
      <c r="KQ229" s="3297"/>
      <c r="KR229" s="3297"/>
      <c r="KS229" s="3297"/>
      <c r="KT229" s="3297"/>
      <c r="KU229" s="3297"/>
      <c r="KV229" s="3297"/>
      <c r="KW229" s="3297"/>
      <c r="KX229" s="3297"/>
      <c r="KY229" s="3297"/>
      <c r="KZ229" s="3297"/>
      <c r="LA229" s="3297"/>
      <c r="LB229" s="3297"/>
      <c r="LC229" s="3297"/>
      <c r="LD229" s="3297"/>
      <c r="LE229" s="3297"/>
      <c r="LF229" s="3297"/>
      <c r="LG229" s="3297"/>
      <c r="LH229" s="3297"/>
      <c r="LI229" s="3297"/>
      <c r="LJ229" s="3297"/>
      <c r="LK229" s="3297"/>
      <c r="LL229" s="3297"/>
      <c r="LM229" s="3297"/>
      <c r="LN229" s="3297"/>
      <c r="LO229" s="3297"/>
      <c r="LP229" s="3297"/>
      <c r="LQ229" s="3297"/>
      <c r="LR229" s="3297"/>
      <c r="LS229" s="3297"/>
      <c r="LT229" s="3297"/>
      <c r="LU229" s="3297"/>
      <c r="LV229" s="3297"/>
      <c r="LW229" s="3297"/>
      <c r="LX229" s="3297"/>
      <c r="LY229" s="3297"/>
      <c r="LZ229" s="3297"/>
      <c r="MA229" s="3297"/>
      <c r="MB229" s="3297"/>
      <c r="MC229" s="3297"/>
      <c r="MD229" s="3297"/>
      <c r="ME229" s="3297"/>
      <c r="MF229" s="3297"/>
      <c r="MG229" s="3297"/>
      <c r="MH229" s="3297"/>
      <c r="MI229" s="3297"/>
      <c r="MJ229" s="3297"/>
      <c r="MK229" s="3297"/>
      <c r="ML229" s="3297"/>
      <c r="MM229" s="3297"/>
      <c r="MN229" s="3297"/>
      <c r="MO229" s="3297"/>
      <c r="MP229" s="3297"/>
      <c r="MQ229" s="3297"/>
      <c r="MR229" s="3297"/>
      <c r="MS229" s="3297"/>
      <c r="MT229" s="3297"/>
      <c r="MU229" s="3297"/>
      <c r="MV229" s="3297"/>
      <c r="MW229" s="3297"/>
      <c r="MX229" s="3297"/>
      <c r="MY229" s="3297"/>
      <c r="MZ229" s="3297"/>
      <c r="NA229" s="3297"/>
      <c r="NB229" s="3297"/>
      <c r="NC229" s="3297"/>
      <c r="ND229" s="3297"/>
      <c r="NE229" s="3297"/>
      <c r="NF229" s="3297"/>
      <c r="NG229" s="3297"/>
      <c r="NH229" s="3297"/>
      <c r="NI229" s="3297"/>
      <c r="NJ229" s="3297"/>
      <c r="NK229" s="3297"/>
      <c r="NL229" s="3297"/>
      <c r="NM229" s="3297"/>
      <c r="NN229" s="3297"/>
      <c r="NO229" s="3297"/>
      <c r="NP229" s="3297"/>
      <c r="NQ229" s="3297"/>
      <c r="NR229" s="3297"/>
      <c r="NS229" s="3297"/>
      <c r="NT229" s="3297"/>
      <c r="NU229" s="3297"/>
      <c r="NV229" s="3297"/>
      <c r="NW229" s="3297"/>
      <c r="NX229" s="3297"/>
      <c r="NY229" s="3297"/>
      <c r="NZ229" s="3297"/>
      <c r="OA229" s="3297"/>
      <c r="OB229" s="3297"/>
      <c r="OC229" s="3297"/>
      <c r="OD229" s="3297"/>
      <c r="OE229" s="3297"/>
      <c r="OF229" s="3297"/>
      <c r="OG229" s="3297"/>
      <c r="OH229" s="3297"/>
      <c r="OI229" s="3297"/>
      <c r="OJ229" s="3297"/>
      <c r="OK229" s="3297"/>
      <c r="OL229" s="3297"/>
      <c r="OM229" s="3297"/>
      <c r="ON229" s="3297"/>
      <c r="OO229" s="3297"/>
      <c r="OP229" s="3297"/>
      <c r="OQ229" s="3297"/>
      <c r="OR229" s="3297"/>
      <c r="OS229" s="3297"/>
      <c r="OT229" s="3297"/>
      <c r="OU229" s="3297"/>
      <c r="OV229" s="3297"/>
      <c r="OW229" s="3297"/>
      <c r="OX229" s="3297"/>
      <c r="OY229" s="3297"/>
      <c r="OZ229" s="3297"/>
      <c r="PA229" s="3297"/>
      <c r="PB229" s="3297"/>
      <c r="PC229" s="3297"/>
      <c r="PD229" s="3297"/>
      <c r="PE229" s="3297"/>
      <c r="PF229" s="3297"/>
      <c r="PG229" s="3297"/>
      <c r="PH229" s="3297"/>
      <c r="PI229" s="3297"/>
      <c r="PJ229" s="3297"/>
      <c r="PK229" s="3297"/>
      <c r="PL229" s="3297"/>
      <c r="PM229" s="3297"/>
      <c r="PN229" s="3297"/>
      <c r="PO229" s="3297"/>
      <c r="PP229" s="3297"/>
      <c r="PQ229" s="3297"/>
      <c r="PR229" s="3297"/>
      <c r="PS229" s="3297"/>
      <c r="PT229" s="3297"/>
      <c r="PU229" s="3297"/>
      <c r="PV229" s="3297"/>
      <c r="PW229" s="3297"/>
      <c r="PX229" s="3297"/>
      <c r="PY229" s="3297"/>
      <c r="PZ229" s="3297"/>
      <c r="QA229" s="3297"/>
      <c r="QB229" s="3297"/>
      <c r="QC229" s="3297"/>
      <c r="QD229" s="3297"/>
      <c r="QE229" s="3297"/>
      <c r="QF229" s="3297"/>
      <c r="QG229" s="3297"/>
      <c r="QH229" s="3297"/>
      <c r="QI229" s="3297"/>
      <c r="QJ229" s="3297"/>
      <c r="QK229" s="3297"/>
      <c r="QL229" s="3297"/>
      <c r="QM229" s="3297"/>
      <c r="QN229" s="3297"/>
      <c r="QO229" s="3297"/>
      <c r="QP229" s="3297"/>
      <c r="QQ229" s="3297"/>
      <c r="QR229" s="3297"/>
      <c r="QS229" s="3297"/>
      <c r="QT229" s="3297"/>
      <c r="QU229" s="3297"/>
      <c r="QV229" s="3297"/>
      <c r="QW229" s="3297"/>
      <c r="QX229" s="3297"/>
      <c r="QY229" s="3297"/>
      <c r="QZ229" s="3297"/>
      <c r="RA229" s="3297"/>
      <c r="RB229" s="3297"/>
      <c r="RC229" s="3297"/>
      <c r="RD229" s="3297"/>
      <c r="RE229" s="3297"/>
      <c r="RF229" s="3297"/>
      <c r="RG229" s="3297"/>
      <c r="RH229" s="3297"/>
      <c r="RI229" s="3297"/>
      <c r="RJ229" s="3297"/>
      <c r="RK229" s="3297"/>
      <c r="RL229" s="3297"/>
      <c r="RM229" s="3297"/>
      <c r="RN229" s="3297"/>
      <c r="RO229" s="3297"/>
      <c r="RP229" s="3297"/>
      <c r="RQ229" s="3297"/>
      <c r="RR229" s="3297"/>
      <c r="RS229" s="3297"/>
      <c r="RT229" s="3297"/>
      <c r="RU229" s="3297"/>
      <c r="RV229" s="3297"/>
      <c r="RW229" s="3297"/>
      <c r="RX229" s="3297"/>
      <c r="RY229" s="3297"/>
      <c r="RZ229" s="3297"/>
      <c r="SA229" s="3297"/>
      <c r="SB229" s="3297"/>
      <c r="SC229" s="3297"/>
      <c r="SD229" s="3297"/>
      <c r="SE229" s="3297"/>
      <c r="SF229" s="3297"/>
      <c r="SG229" s="3297"/>
      <c r="SH229" s="3297"/>
      <c r="SI229" s="3297"/>
      <c r="SJ229" s="3297"/>
      <c r="SK229" s="3297"/>
      <c r="SL229" s="3297"/>
      <c r="SM229" s="3297"/>
      <c r="SN229" s="3297"/>
      <c r="SO229" s="3297"/>
      <c r="SP229" s="3297"/>
      <c r="SQ229" s="3297"/>
      <c r="SR229" s="3297"/>
      <c r="SS229" s="3297"/>
      <c r="ST229" s="3297"/>
      <c r="SU229" s="3297"/>
      <c r="SV229" s="3297"/>
      <c r="SW229" s="3297"/>
      <c r="SX229" s="3297"/>
      <c r="SY229" s="3297"/>
      <c r="SZ229" s="3297"/>
      <c r="TA229" s="3297"/>
      <c r="TB229" s="3297"/>
      <c r="TC229" s="3297"/>
      <c r="TD229" s="3297"/>
      <c r="TE229" s="3297"/>
      <c r="TF229" s="3297"/>
      <c r="TG229" s="3297"/>
      <c r="TH229" s="3297"/>
      <c r="TI229" s="3297"/>
      <c r="TJ229" s="3297"/>
      <c r="TK229" s="3297"/>
      <c r="TL229" s="3297"/>
      <c r="TM229" s="3297"/>
      <c r="TN229" s="3297"/>
      <c r="TO229" s="3297"/>
      <c r="TP229" s="3297"/>
      <c r="TQ229" s="3297"/>
      <c r="TR229" s="3297"/>
      <c r="TS229" s="3297"/>
      <c r="TT229" s="3297"/>
      <c r="TU229" s="3297"/>
      <c r="TV229" s="3297"/>
      <c r="TW229" s="3297"/>
      <c r="TX229" s="3297"/>
      <c r="TY229" s="3297"/>
      <c r="TZ229" s="3297"/>
      <c r="UA229" s="3297"/>
      <c r="UB229" s="3297"/>
      <c r="UC229" s="3297"/>
      <c r="UD229" s="3297"/>
      <c r="UE229" s="3297"/>
      <c r="UF229" s="3297"/>
      <c r="UG229" s="3297"/>
      <c r="UH229" s="3297"/>
      <c r="UI229" s="3297"/>
      <c r="UJ229" s="3297"/>
      <c r="UK229" s="3297"/>
      <c r="UL229" s="3297"/>
      <c r="UM229" s="3297"/>
      <c r="UN229" s="3297"/>
      <c r="UO229" s="3297"/>
      <c r="UP229" s="3297"/>
      <c r="UQ229" s="3297"/>
      <c r="UR229" s="3297"/>
      <c r="US229" s="3297"/>
      <c r="UT229" s="3297"/>
      <c r="UU229" s="3297"/>
      <c r="UV229" s="3297"/>
      <c r="UW229" s="3297"/>
      <c r="UX229" s="3297"/>
      <c r="UY229" s="3297"/>
      <c r="UZ229" s="3297"/>
      <c r="VA229" s="3297"/>
      <c r="VB229" s="3297"/>
      <c r="VC229" s="3297"/>
      <c r="VD229" s="3297"/>
      <c r="VE229" s="3297"/>
      <c r="VF229" s="3297"/>
      <c r="VG229" s="3297"/>
      <c r="VH229" s="3297"/>
      <c r="VI229" s="3297"/>
      <c r="VJ229" s="3297"/>
      <c r="VK229" s="3297"/>
      <c r="VL229" s="3297"/>
      <c r="VM229" s="3297"/>
      <c r="VN229" s="3297"/>
      <c r="VO229" s="3297"/>
      <c r="VP229" s="3297"/>
      <c r="VQ229" s="3297"/>
      <c r="VR229" s="3297"/>
      <c r="VS229" s="3297"/>
      <c r="VT229" s="3297"/>
      <c r="VU229" s="3297"/>
      <c r="VV229" s="3297"/>
      <c r="VW229" s="3297"/>
      <c r="VX229" s="3297"/>
      <c r="VY229" s="3297"/>
      <c r="VZ229" s="3297"/>
      <c r="WA229" s="3297"/>
      <c r="WB229" s="3297"/>
      <c r="WC229" s="3297"/>
      <c r="WD229" s="3297"/>
      <c r="WE229" s="3297"/>
      <c r="WF229" s="3297"/>
      <c r="WG229" s="3297"/>
      <c r="WH229" s="3297"/>
      <c r="WI229" s="3297"/>
      <c r="WJ229" s="3297"/>
      <c r="WK229" s="3297"/>
      <c r="WL229" s="3297"/>
      <c r="WM229" s="3297"/>
      <c r="WN229" s="3297"/>
      <c r="WO229" s="3297"/>
      <c r="WP229" s="3297"/>
      <c r="WQ229" s="3297"/>
      <c r="WR229" s="3297"/>
      <c r="WS229" s="3297"/>
      <c r="WT229" s="3297"/>
      <c r="WU229" s="3297"/>
      <c r="WV229" s="3297"/>
      <c r="WW229" s="3297"/>
      <c r="WX229" s="3297"/>
      <c r="WY229" s="3297"/>
      <c r="WZ229" s="3297"/>
      <c r="XA229" s="3297"/>
      <c r="XB229" s="3297"/>
      <c r="XC229" s="3297"/>
      <c r="XD229" s="3297"/>
      <c r="XE229" s="3297"/>
      <c r="XF229" s="3297"/>
      <c r="XG229" s="3297"/>
      <c r="XH229" s="3297"/>
      <c r="XI229" s="3297"/>
      <c r="XJ229" s="3297"/>
      <c r="XK229" s="3297"/>
      <c r="XL229" s="3297"/>
      <c r="XM229" s="3297"/>
      <c r="XN229" s="3297"/>
      <c r="XO229" s="3297"/>
      <c r="XP229" s="3297"/>
      <c r="XQ229" s="3297"/>
      <c r="XR229" s="3297"/>
      <c r="XS229" s="3297"/>
      <c r="XT229" s="3297"/>
      <c r="XU229" s="3297"/>
      <c r="XV229" s="3297"/>
      <c r="XW229" s="3297"/>
      <c r="XX229" s="3297"/>
      <c r="XY229" s="3297"/>
      <c r="XZ229" s="3297"/>
      <c r="YA229" s="3297"/>
      <c r="YB229" s="3297"/>
      <c r="YC229" s="3297"/>
      <c r="YD229" s="3297"/>
      <c r="YE229" s="3297"/>
      <c r="YF229" s="3297"/>
      <c r="YG229" s="3297"/>
      <c r="YH229" s="3297"/>
      <c r="YI229" s="3297"/>
      <c r="YJ229" s="3297"/>
      <c r="YK229" s="3297"/>
      <c r="YL229" s="3297"/>
      <c r="YM229" s="3297"/>
      <c r="YN229" s="3297"/>
      <c r="YO229" s="3297"/>
      <c r="YP229" s="3297"/>
      <c r="YQ229" s="3297"/>
      <c r="YR229" s="3297"/>
      <c r="YS229" s="3297"/>
      <c r="YT229" s="3297"/>
      <c r="YU229" s="3297"/>
      <c r="YV229" s="3297"/>
      <c r="YW229" s="3297"/>
      <c r="YX229" s="3297"/>
      <c r="YY229" s="3297"/>
      <c r="YZ229" s="3297"/>
      <c r="ZA229" s="3297"/>
      <c r="ZB229" s="3297"/>
      <c r="ZC229" s="3297"/>
      <c r="ZD229" s="3297"/>
      <c r="ZE229" s="3297"/>
      <c r="ZF229" s="3297"/>
      <c r="ZG229" s="3297"/>
      <c r="ZH229" s="3297"/>
      <c r="ZI229" s="3297"/>
      <c r="ZJ229" s="3297"/>
      <c r="ZK229" s="3297"/>
      <c r="ZL229" s="3297"/>
      <c r="ZM229" s="3297"/>
      <c r="ZN229" s="3297"/>
      <c r="ZO229" s="3297"/>
      <c r="ZP229" s="3297"/>
      <c r="ZQ229" s="3297"/>
      <c r="ZR229" s="3297"/>
      <c r="ZS229" s="3297"/>
      <c r="ZT229" s="3297"/>
      <c r="ZU229" s="3297"/>
      <c r="ZV229" s="3297"/>
      <c r="ZW229" s="3297"/>
      <c r="ZX229" s="3297"/>
      <c r="ZY229" s="3297"/>
      <c r="ZZ229" s="3297"/>
      <c r="AAA229" s="3297"/>
      <c r="AAB229" s="3297"/>
      <c r="AAC229" s="3297"/>
      <c r="AAD229" s="3297"/>
      <c r="AAE229" s="3297"/>
      <c r="AAF229" s="3297"/>
      <c r="AAG229" s="3297"/>
      <c r="AAH229" s="3297"/>
      <c r="AAI229" s="3297"/>
      <c r="AAJ229" s="3297"/>
      <c r="AAK229" s="3297"/>
      <c r="AAL229" s="3297"/>
      <c r="AAM229" s="3297"/>
      <c r="AAN229" s="3297"/>
      <c r="AAO229" s="3297"/>
      <c r="AAP229" s="3297"/>
      <c r="AAQ229" s="3297"/>
      <c r="AAR229" s="3297"/>
      <c r="AAS229" s="3297"/>
      <c r="AAT229" s="3297"/>
      <c r="AAU229" s="3297"/>
      <c r="AAV229" s="3297"/>
      <c r="AAW229" s="3297"/>
      <c r="AAX229" s="3297"/>
      <c r="AAY229" s="3297"/>
      <c r="AAZ229" s="3297"/>
      <c r="ABA229" s="3297"/>
      <c r="ABB229" s="3297"/>
      <c r="ABC229" s="3297"/>
      <c r="ABD229" s="3297"/>
      <c r="ABE229" s="3297"/>
      <c r="ABF229" s="3297"/>
      <c r="ABG229" s="3297"/>
      <c r="ABH229" s="3297"/>
      <c r="ABI229" s="3297"/>
      <c r="ABJ229" s="3297"/>
      <c r="ABK229" s="3297"/>
      <c r="ABL229" s="3297"/>
      <c r="ABM229" s="3297"/>
      <c r="ABN229" s="3297"/>
      <c r="ABO229" s="3297"/>
      <c r="ABP229" s="3297"/>
      <c r="ABQ229" s="3297"/>
      <c r="ABR229" s="3297"/>
      <c r="ABS229" s="3297"/>
      <c r="ABT229" s="3297"/>
      <c r="ABU229" s="3297"/>
      <c r="ABV229" s="3297"/>
      <c r="ABW229" s="3297"/>
      <c r="ABX229" s="3297"/>
      <c r="ABY229" s="3297"/>
      <c r="ABZ229" s="3297"/>
      <c r="ACA229" s="3297"/>
      <c r="ACB229" s="3297"/>
      <c r="ACC229" s="3297"/>
      <c r="ACD229" s="3297"/>
      <c r="ACE229" s="3297"/>
      <c r="ACF229" s="3297"/>
      <c r="ACG229" s="3297"/>
      <c r="ACH229" s="3297"/>
      <c r="ACI229" s="3297"/>
      <c r="ACJ229" s="3297"/>
      <c r="ACK229" s="3297"/>
      <c r="ACL229" s="3297"/>
      <c r="ACM229" s="3297"/>
      <c r="ACN229" s="3297"/>
      <c r="ACO229" s="3297"/>
      <c r="ACP229" s="3297"/>
      <c r="ACQ229" s="3297"/>
      <c r="ACR229" s="3297"/>
      <c r="ACS229" s="3297"/>
      <c r="ACT229" s="3297"/>
      <c r="ACU229" s="3297"/>
      <c r="ACV229" s="3297"/>
      <c r="ACW229" s="3297"/>
      <c r="ACX229" s="3297"/>
      <c r="ACY229" s="3297"/>
      <c r="ACZ229" s="3297"/>
      <c r="ADA229" s="3297"/>
      <c r="ADB229" s="3297"/>
      <c r="ADC229" s="3297"/>
      <c r="ADD229" s="3297"/>
      <c r="ADE229" s="3297"/>
      <c r="ADF229" s="3297"/>
      <c r="ADG229" s="3297"/>
      <c r="ADH229" s="3297"/>
      <c r="ADI229" s="3297"/>
      <c r="ADJ229" s="3297"/>
      <c r="ADK229" s="3297"/>
      <c r="ADL229" s="3297"/>
      <c r="ADM229" s="3297"/>
      <c r="ADN229" s="3297"/>
      <c r="ADO229" s="3297"/>
      <c r="ADP229" s="3297"/>
      <c r="ADQ229" s="3297"/>
      <c r="ADR229" s="3297"/>
      <c r="ADS229" s="3297"/>
      <c r="ADT229" s="3297"/>
      <c r="ADU229" s="3297"/>
      <c r="ADV229" s="3297"/>
      <c r="ADW229" s="3297"/>
      <c r="ADX229" s="3297"/>
      <c r="ADY229" s="3297"/>
      <c r="ADZ229" s="3297"/>
      <c r="AEA229" s="3297"/>
      <c r="AEB229" s="3297"/>
      <c r="AEC229" s="3297"/>
      <c r="AED229" s="3297"/>
      <c r="AEE229" s="3297"/>
      <c r="AEF229" s="3297"/>
      <c r="AEG229" s="3297"/>
      <c r="AEH229" s="3297"/>
      <c r="AEI229" s="3297"/>
      <c r="AEJ229" s="3297"/>
      <c r="AEK229" s="3297"/>
      <c r="AEL229" s="3297"/>
      <c r="AEM229" s="3297"/>
      <c r="AEN229" s="3297"/>
      <c r="AEO229" s="3297"/>
      <c r="AEP229" s="3297"/>
      <c r="AEQ229" s="3297"/>
      <c r="AER229" s="3297"/>
      <c r="AES229" s="3297"/>
      <c r="AET229" s="3297"/>
      <c r="AEU229" s="3297"/>
      <c r="AEV229" s="3297"/>
      <c r="AEW229" s="3297"/>
      <c r="AEX229" s="3297"/>
      <c r="AEY229" s="3297"/>
      <c r="AEZ229" s="3297"/>
      <c r="AFA229" s="3297"/>
      <c r="AFB229" s="3297"/>
      <c r="AFC229" s="3297"/>
      <c r="AFD229" s="3297"/>
      <c r="AFE229" s="3297"/>
      <c r="AFF229" s="3297"/>
      <c r="AFG229" s="3297"/>
      <c r="AFH229" s="3297"/>
      <c r="AFI229" s="3297"/>
      <c r="AFJ229" s="3297"/>
      <c r="AFK229" s="3297"/>
      <c r="AFL229" s="3297"/>
      <c r="AFM229" s="3297"/>
      <c r="AFN229" s="3297"/>
      <c r="AFO229" s="3297"/>
      <c r="AFP229" s="3297"/>
      <c r="AFQ229" s="3297"/>
      <c r="AFR229" s="3297"/>
      <c r="AFS229" s="3297"/>
      <c r="AFT229" s="3297"/>
      <c r="AFU229" s="3297"/>
      <c r="AFV229" s="3297"/>
      <c r="AFW229" s="3297"/>
      <c r="AFX229" s="3297"/>
      <c r="AFY229" s="3297"/>
      <c r="AFZ229" s="3297"/>
      <c r="AGA229" s="3297"/>
      <c r="AGB229" s="3297"/>
      <c r="AGC229" s="3297"/>
      <c r="AGD229" s="3297"/>
      <c r="AGE229" s="3297"/>
      <c r="AGF229" s="3297"/>
      <c r="AGG229" s="3297"/>
      <c r="AGH229" s="3297"/>
      <c r="AGI229" s="3297"/>
      <c r="AGJ229" s="3297"/>
      <c r="AGK229" s="3297"/>
      <c r="AGL229" s="3297"/>
      <c r="AGM229" s="3297"/>
      <c r="AGN229" s="3297"/>
      <c r="AGO229" s="3297"/>
      <c r="AGP229" s="3297"/>
      <c r="AGQ229" s="3297"/>
      <c r="AGR229" s="3297"/>
      <c r="AGS229" s="3297"/>
      <c r="AGT229" s="3297"/>
      <c r="AGU229" s="3297"/>
      <c r="AGV229" s="3297"/>
      <c r="AGW229" s="3297"/>
      <c r="AGX229" s="3297"/>
      <c r="AGY229" s="3297"/>
      <c r="AGZ229" s="3297"/>
      <c r="AHA229" s="3297"/>
      <c r="AHB229" s="3297"/>
      <c r="AHC229" s="3297"/>
      <c r="AHD229" s="3297"/>
      <c r="AHE229" s="3297"/>
      <c r="AHF229" s="3297"/>
      <c r="AHG229" s="3297"/>
      <c r="AHH229" s="3297"/>
      <c r="AHI229" s="3297"/>
      <c r="AHJ229" s="3297"/>
      <c r="AHK229" s="3297"/>
      <c r="AHL229" s="3297"/>
      <c r="AHM229" s="3297"/>
      <c r="AHN229" s="3297"/>
      <c r="AHO229" s="3297"/>
      <c r="AHP229" s="3297"/>
      <c r="AHQ229" s="3297"/>
      <c r="AHR229" s="3297"/>
      <c r="AHS229" s="3297"/>
      <c r="AHT229" s="3297"/>
      <c r="AHU229" s="3297"/>
      <c r="AHV229" s="3297"/>
      <c r="AHW229" s="3297"/>
      <c r="AHX229" s="3297"/>
      <c r="AHY229" s="3297"/>
      <c r="AHZ229" s="3297"/>
      <c r="AIA229" s="3297"/>
      <c r="AIB229" s="3297"/>
      <c r="AIC229" s="3297"/>
      <c r="AID229" s="3297"/>
      <c r="AIE229" s="3297"/>
      <c r="AIF229" s="3297"/>
      <c r="AIG229" s="3297"/>
      <c r="AIH229" s="3297"/>
      <c r="AII229" s="3297"/>
      <c r="AIJ229" s="3297"/>
      <c r="AIK229" s="3297"/>
      <c r="AIL229" s="3297"/>
      <c r="AIM229" s="3297"/>
      <c r="AIN229" s="3297"/>
      <c r="AIO229" s="3297"/>
      <c r="AIP229" s="3297"/>
      <c r="AIQ229" s="3297"/>
      <c r="AIR229" s="3297"/>
      <c r="AIS229" s="3297"/>
      <c r="AIT229" s="3297"/>
      <c r="AIU229" s="3297"/>
      <c r="AIV229" s="3297"/>
      <c r="AIW229" s="3297"/>
      <c r="AIX229" s="3297"/>
      <c r="AIY229" s="3297"/>
      <c r="AIZ229" s="3297"/>
      <c r="AJA229" s="3297"/>
      <c r="AJB229" s="3297"/>
      <c r="AJC229" s="3297"/>
      <c r="AJD229" s="3297"/>
      <c r="AJE229" s="3297"/>
      <c r="AJF229" s="3297"/>
      <c r="AJG229" s="3297"/>
      <c r="AJH229" s="3297"/>
      <c r="AJI229" s="3297"/>
      <c r="AJJ229" s="3297"/>
      <c r="AJK229" s="3297"/>
      <c r="AJL229" s="3297"/>
      <c r="AJM229" s="3297"/>
      <c r="AJN229" s="3297"/>
      <c r="AJO229" s="3297"/>
      <c r="AJP229" s="3297"/>
      <c r="AJQ229" s="3297"/>
      <c r="AJR229" s="3297"/>
      <c r="AJS229" s="3297"/>
      <c r="AJT229" s="3297"/>
      <c r="AJU229" s="3297"/>
      <c r="AJV229" s="3297"/>
      <c r="AJW229" s="3297"/>
      <c r="AJX229" s="3297"/>
      <c r="AJY229" s="3297"/>
      <c r="AJZ229" s="3297"/>
      <c r="AKA229" s="3297"/>
      <c r="AKB229" s="3297"/>
      <c r="AKC229" s="3297"/>
      <c r="AKD229" s="3297"/>
      <c r="AKE229" s="3297"/>
      <c r="AKF229" s="3297"/>
      <c r="AKG229" s="3297"/>
      <c r="AKH229" s="3297"/>
      <c r="AKI229" s="3297"/>
      <c r="AKJ229" s="3297"/>
      <c r="AKK229" s="3297"/>
      <c r="AKL229" s="3297"/>
      <c r="AKM229" s="3297"/>
      <c r="AKN229" s="3297"/>
      <c r="AKO229" s="3297"/>
      <c r="AKP229" s="3297"/>
      <c r="AKQ229" s="3297"/>
      <c r="AKR229" s="3297"/>
      <c r="AKS229" s="3297"/>
      <c r="AKT229" s="3297"/>
      <c r="AKU229" s="3297"/>
      <c r="AKV229" s="3297"/>
      <c r="AKW229" s="3297"/>
      <c r="AKX229" s="3297"/>
      <c r="AKY229" s="3297"/>
      <c r="AKZ229" s="3297"/>
      <c r="ALA229" s="3297"/>
      <c r="ALB229" s="3297"/>
      <c r="ALC229" s="3297"/>
      <c r="ALD229" s="3297"/>
      <c r="ALE229" s="3297"/>
      <c r="ALF229" s="3297"/>
      <c r="ALG229" s="3297"/>
      <c r="ALH229" s="3297"/>
      <c r="ALI229" s="3297"/>
      <c r="ALJ229" s="3297"/>
      <c r="ALK229" s="3297"/>
      <c r="ALL229" s="3297"/>
      <c r="ALM229" s="3297"/>
      <c r="ALN229" s="3297"/>
      <c r="ALO229" s="3297"/>
      <c r="ALP229" s="3297"/>
      <c r="ALQ229" s="3297"/>
      <c r="ALR229" s="3297"/>
      <c r="ALS229" s="3297"/>
      <c r="ALT229" s="3297"/>
      <c r="ALU229" s="3297"/>
      <c r="ALV229" s="3297"/>
      <c r="ALW229" s="3297"/>
      <c r="ALX229" s="3297"/>
      <c r="ALY229" s="3297"/>
      <c r="ALZ229" s="3297"/>
      <c r="AMA229" s="3297"/>
      <c r="AMB229" s="3297"/>
      <c r="AMC229" s="3297"/>
      <c r="AMD229" s="3297"/>
      <c r="AME229" s="3297"/>
      <c r="AMF229" s="3297"/>
      <c r="AMG229" s="3297"/>
      <c r="AMH229" s="3297"/>
      <c r="AMI229" s="3297"/>
      <c r="AMJ229" s="3297"/>
      <c r="AMK229" s="3297"/>
      <c r="AML229" s="3297"/>
      <c r="AMM229" s="3297"/>
      <c r="AMN229" s="3297"/>
      <c r="AMO229" s="3297"/>
      <c r="AMP229" s="3297"/>
      <c r="AMQ229" s="3297"/>
      <c r="AMR229" s="3297"/>
      <c r="AMS229" s="3297"/>
      <c r="AMT229" s="3297"/>
      <c r="AMU229" s="3297"/>
      <c r="AMV229" s="3297"/>
      <c r="AMW229" s="3297"/>
      <c r="AMX229" s="3297"/>
      <c r="AMY229" s="3297"/>
      <c r="AMZ229" s="3297"/>
      <c r="ANA229" s="3297"/>
      <c r="ANB229" s="3297"/>
      <c r="ANC229" s="3297"/>
      <c r="AND229" s="3297"/>
      <c r="ANE229" s="3297"/>
      <c r="ANF229" s="3297"/>
      <c r="ANG229" s="3297"/>
      <c r="ANH229" s="3297"/>
      <c r="ANI229" s="3297"/>
      <c r="ANJ229" s="3297"/>
      <c r="ANK229" s="3297"/>
      <c r="ANL229" s="3297"/>
      <c r="ANM229" s="3297"/>
      <c r="ANN229" s="3297"/>
      <c r="ANO229" s="3297"/>
      <c r="ANP229" s="3297"/>
      <c r="ANQ229" s="3297"/>
      <c r="ANR229" s="3297"/>
      <c r="ANS229" s="3297"/>
      <c r="ANT229" s="3297"/>
      <c r="ANU229" s="3297"/>
      <c r="ANV229" s="3297"/>
      <c r="ANW229" s="3297"/>
      <c r="ANX229" s="3297"/>
      <c r="ANY229" s="3297"/>
      <c r="ANZ229" s="3297"/>
      <c r="AOA229" s="3297"/>
      <c r="AOB229" s="3297"/>
      <c r="AOC229" s="3297"/>
      <c r="AOD229" s="3297"/>
      <c r="AOE229" s="3297"/>
      <c r="AOF229" s="3297"/>
      <c r="AOG229" s="3297"/>
      <c r="AOH229" s="3297"/>
      <c r="AOI229" s="3297"/>
      <c r="AOJ229" s="3297"/>
      <c r="AOK229" s="3297"/>
      <c r="AOL229" s="3297"/>
      <c r="AOM229" s="3297"/>
      <c r="AON229" s="3297"/>
      <c r="AOO229" s="3297"/>
      <c r="AOP229" s="3297"/>
      <c r="AOQ229" s="3297"/>
      <c r="AOR229" s="3297"/>
      <c r="AOS229" s="3297"/>
      <c r="AOT229" s="3297"/>
      <c r="AOU229" s="3297"/>
      <c r="AOV229" s="3297"/>
      <c r="AOW229" s="3297"/>
      <c r="AOX229" s="3297"/>
      <c r="AOY229" s="3297"/>
      <c r="AOZ229" s="3297"/>
      <c r="APA229" s="3297"/>
      <c r="APB229" s="3297"/>
      <c r="APC229" s="3297"/>
      <c r="APD229" s="3297"/>
      <c r="APE229" s="3297"/>
      <c r="APF229" s="3297"/>
      <c r="APG229" s="3297"/>
      <c r="APH229" s="3297"/>
      <c r="API229" s="3297"/>
      <c r="APJ229" s="3297"/>
      <c r="APK229" s="3297"/>
      <c r="APL229" s="3297"/>
      <c r="APM229" s="3297"/>
      <c r="APN229" s="3297"/>
      <c r="APO229" s="3297"/>
      <c r="APP229" s="3297"/>
      <c r="APQ229" s="3297"/>
      <c r="APR229" s="3297"/>
      <c r="APS229" s="3297"/>
      <c r="APT229" s="3297"/>
      <c r="APU229" s="3297"/>
      <c r="APV229" s="3297"/>
      <c r="APW229" s="3297"/>
      <c r="APX229" s="3297"/>
      <c r="APY229" s="3297"/>
      <c r="APZ229" s="3297"/>
      <c r="AQA229" s="3297"/>
      <c r="AQB229" s="3297"/>
      <c r="AQC229" s="3297"/>
      <c r="AQD229" s="3297"/>
      <c r="AQE229" s="3297"/>
      <c r="AQF229" s="3297"/>
      <c r="AQG229" s="3297"/>
      <c r="AQH229" s="3297"/>
      <c r="AQI229" s="3297"/>
      <c r="AQJ229" s="3297"/>
      <c r="AQK229" s="3297"/>
      <c r="AQL229" s="3297"/>
      <c r="AQM229" s="3297"/>
      <c r="AQN229" s="3297"/>
      <c r="AQO229" s="3297"/>
      <c r="AQP229" s="3297"/>
      <c r="AQQ229" s="3297"/>
      <c r="AQR229" s="3297"/>
      <c r="AQS229" s="3297"/>
      <c r="AQT229" s="3297"/>
      <c r="AQU229" s="3297"/>
      <c r="AQV229" s="3297"/>
      <c r="AQW229" s="3297"/>
      <c r="AQX229" s="3297"/>
      <c r="AQY229" s="3297"/>
      <c r="AQZ229" s="3297"/>
      <c r="ARA229" s="3297"/>
      <c r="ARB229" s="3297"/>
      <c r="ARC229" s="3297"/>
      <c r="ARD229" s="3297"/>
      <c r="ARE229" s="3297"/>
      <c r="ARF229" s="3297"/>
      <c r="ARG229" s="3297"/>
      <c r="ARH229" s="3297"/>
      <c r="ARI229" s="3297"/>
      <c r="ARJ229" s="3297"/>
      <c r="ARK229" s="3297"/>
      <c r="ARL229" s="3297"/>
      <c r="ARM229" s="3297"/>
      <c r="ARN229" s="3297"/>
      <c r="ARO229" s="3297"/>
      <c r="ARP229" s="3297"/>
      <c r="ARQ229" s="3297"/>
      <c r="ARR229" s="3297"/>
      <c r="ARS229" s="3297"/>
      <c r="ART229" s="3297"/>
      <c r="ARU229" s="3297"/>
      <c r="ARV229" s="3297"/>
      <c r="ARW229" s="3297"/>
      <c r="ARX229" s="3297"/>
      <c r="ARY229" s="3297"/>
      <c r="ARZ229" s="3297"/>
      <c r="ASA229" s="3297"/>
      <c r="ASB229" s="3297"/>
      <c r="ASC229" s="3297"/>
      <c r="ASD229" s="3297"/>
      <c r="ASE229" s="3297"/>
      <c r="ASF229" s="3297"/>
      <c r="ASG229" s="3297"/>
      <c r="ASH229" s="3297"/>
      <c r="ASI229" s="3297"/>
      <c r="ASJ229" s="3297"/>
      <c r="ASK229" s="3297"/>
      <c r="ASL229" s="3297"/>
      <c r="ASM229" s="3297"/>
      <c r="ASN229" s="3297"/>
      <c r="ASO229" s="3297"/>
      <c r="ASP229" s="3297"/>
      <c r="ASQ229" s="3297"/>
      <c r="ASR229" s="3297"/>
      <c r="ASS229" s="3297"/>
      <c r="AST229" s="3297"/>
      <c r="ASU229" s="3297"/>
      <c r="ASV229" s="3297"/>
      <c r="ASW229" s="3297"/>
      <c r="ASX229" s="3297"/>
      <c r="ASY229" s="3297"/>
      <c r="ASZ229" s="3297"/>
      <c r="ATA229" s="3297"/>
      <c r="ATB229" s="3297"/>
      <c r="ATC229" s="3297"/>
      <c r="ATD229" s="3297"/>
      <c r="ATE229" s="3297"/>
      <c r="ATF229" s="3297"/>
      <c r="ATG229" s="3297"/>
      <c r="ATH229" s="3297"/>
      <c r="ATI229" s="3297"/>
      <c r="ATJ229" s="3297"/>
      <c r="ATK229" s="3297"/>
      <c r="ATL229" s="3297"/>
      <c r="ATM229" s="3297"/>
      <c r="ATN229" s="3297"/>
      <c r="ATO229" s="3297"/>
      <c r="ATP229" s="3297"/>
      <c r="ATQ229" s="3297"/>
      <c r="ATR229" s="3297"/>
      <c r="ATS229" s="3297"/>
      <c r="ATT229" s="3297"/>
      <c r="ATU229" s="3297"/>
      <c r="ATV229" s="3297"/>
      <c r="ATW229" s="3297"/>
      <c r="ATX229" s="3297"/>
      <c r="ATY229" s="3297"/>
      <c r="ATZ229" s="3297"/>
      <c r="AUA229" s="3297"/>
      <c r="AUB229" s="3297"/>
      <c r="AUC229" s="3297"/>
      <c r="AUD229" s="3297"/>
      <c r="AUE229" s="3297"/>
      <c r="AUF229" s="3297"/>
      <c r="AUG229" s="3297"/>
      <c r="AUH229" s="3297"/>
      <c r="AUI229" s="3297"/>
      <c r="AUJ229" s="3297"/>
      <c r="AUK229" s="3297"/>
      <c r="AUL229" s="3297"/>
      <c r="AUM229" s="3297"/>
      <c r="AUN229" s="3297"/>
      <c r="AUO229" s="3297"/>
      <c r="AUP229" s="3297"/>
      <c r="AUQ229" s="3297"/>
      <c r="AUR229" s="3297"/>
      <c r="AUS229" s="3297"/>
      <c r="AUT229" s="3297"/>
      <c r="AUU229" s="3297"/>
      <c r="AUV229" s="3297"/>
      <c r="AUW229" s="3297"/>
      <c r="AUX229" s="3297"/>
      <c r="AUY229" s="3297"/>
      <c r="AUZ229" s="3297"/>
      <c r="AVA229" s="3297"/>
      <c r="AVB229" s="3297"/>
      <c r="AVC229" s="3297"/>
      <c r="AVD229" s="3297"/>
      <c r="AVE229" s="3297"/>
      <c r="AVF229" s="3297"/>
      <c r="AVG229" s="3297"/>
      <c r="AVH229" s="3297"/>
      <c r="AVI229" s="3297"/>
      <c r="AVJ229" s="3297"/>
      <c r="AVK229" s="3297"/>
      <c r="AVL229" s="3297"/>
      <c r="AVM229" s="3297"/>
      <c r="AVN229" s="3297"/>
      <c r="AVO229" s="3297"/>
      <c r="AVP229" s="3297"/>
      <c r="AVQ229" s="3297"/>
      <c r="AVR229" s="3297"/>
      <c r="AVS229" s="3297"/>
      <c r="AVT229" s="3297"/>
      <c r="AVU229" s="3297"/>
      <c r="AVV229" s="3297"/>
      <c r="AVW229" s="3297"/>
      <c r="AVX229" s="3297"/>
      <c r="AVY229" s="3297"/>
      <c r="AVZ229" s="3297"/>
      <c r="AWA229" s="3297"/>
      <c r="AWB229" s="3297"/>
      <c r="AWC229" s="3297"/>
      <c r="AWD229" s="3297"/>
      <c r="AWE229" s="3297"/>
      <c r="AWF229" s="3297"/>
      <c r="AWG229" s="3297"/>
      <c r="AWH229" s="3297"/>
      <c r="AWI229" s="3297"/>
      <c r="AWJ229" s="3297"/>
      <c r="AWK229" s="3297"/>
      <c r="AWL229" s="3297"/>
      <c r="AWM229" s="3297"/>
      <c r="AWN229" s="3297"/>
      <c r="AWO229" s="3297"/>
      <c r="AWP229" s="3297"/>
      <c r="AWQ229" s="3297"/>
      <c r="AWR229" s="3297"/>
      <c r="AWS229" s="3297"/>
      <c r="AWT229" s="3297"/>
      <c r="AWU229" s="3297"/>
      <c r="AWV229" s="3297"/>
      <c r="AWW229" s="3297"/>
      <c r="AWX229" s="3297"/>
      <c r="AWY229" s="3297"/>
      <c r="AWZ229" s="3297"/>
      <c r="AXA229" s="3297"/>
      <c r="AXB229" s="3297"/>
      <c r="AXC229" s="3297"/>
      <c r="AXD229" s="3297"/>
      <c r="AXE229" s="3297"/>
      <c r="AXF229" s="3297"/>
      <c r="AXG229" s="3297"/>
      <c r="AXH229" s="3297"/>
      <c r="AXI229" s="3297"/>
      <c r="AXJ229" s="3297"/>
    </row>
    <row r="230" spans="1:1310" s="3298" customFormat="1" ht="23.25" customHeight="1">
      <c r="A230" s="468"/>
      <c r="B230" s="6645" t="s">
        <v>3105</v>
      </c>
      <c r="C230" s="6645"/>
      <c r="D230" s="6645"/>
      <c r="E230" s="6645"/>
      <c r="F230" s="3300"/>
      <c r="G230" s="6645" t="s">
        <v>3106</v>
      </c>
      <c r="H230" s="6645"/>
      <c r="I230" s="6645"/>
      <c r="J230" s="3300"/>
      <c r="K230" s="6645" t="s">
        <v>3107</v>
      </c>
      <c r="L230" s="6645"/>
      <c r="M230" s="6645"/>
      <c r="N230" s="3300"/>
      <c r="O230" s="6645" t="s">
        <v>554</v>
      </c>
      <c r="P230" s="6645"/>
      <c r="Q230" s="3300"/>
      <c r="R230" s="443"/>
      <c r="S230" s="443"/>
      <c r="T230" s="443"/>
      <c r="U230" s="443"/>
      <c r="V230" s="443"/>
      <c r="W230" s="443"/>
      <c r="X230" s="443"/>
      <c r="Y230" s="443"/>
      <c r="Z230" s="443"/>
      <c r="AA230" s="443"/>
      <c r="AB230" s="443"/>
      <c r="AC230" s="443"/>
      <c r="AD230" s="3297"/>
      <c r="AE230" s="3297"/>
      <c r="AF230" s="3297"/>
      <c r="AG230" s="3297"/>
      <c r="AH230" s="3297"/>
      <c r="AI230" s="3297"/>
      <c r="AJ230" s="3297"/>
      <c r="AK230" s="3297"/>
      <c r="AL230" s="3297"/>
      <c r="AM230" s="3297"/>
      <c r="AN230" s="3297"/>
      <c r="AO230" s="3297"/>
      <c r="AP230" s="3297"/>
      <c r="AQ230" s="3297"/>
      <c r="AR230" s="3297"/>
      <c r="AS230" s="3297"/>
      <c r="AT230" s="3297"/>
      <c r="AU230" s="3297"/>
      <c r="AV230" s="3297"/>
      <c r="AW230" s="3297"/>
      <c r="AX230" s="3297"/>
      <c r="AY230" s="3297"/>
      <c r="AZ230" s="3297"/>
      <c r="BA230" s="3297"/>
      <c r="BB230" s="3297"/>
      <c r="BC230" s="3297"/>
      <c r="BD230" s="3297"/>
      <c r="BE230" s="3297"/>
      <c r="BF230" s="3297"/>
      <c r="BG230" s="3297"/>
      <c r="BH230" s="3297"/>
      <c r="BI230" s="3297"/>
      <c r="BJ230" s="3297"/>
      <c r="BK230" s="3297"/>
      <c r="BL230" s="3297"/>
      <c r="BM230" s="3297"/>
      <c r="BN230" s="3297"/>
      <c r="BO230" s="3297"/>
      <c r="BP230" s="3297"/>
      <c r="BQ230" s="3297"/>
      <c r="BR230" s="3297"/>
      <c r="BS230" s="3297"/>
      <c r="BT230" s="3297"/>
      <c r="BU230" s="3297"/>
      <c r="BV230" s="3297"/>
      <c r="BW230" s="3297"/>
      <c r="BX230" s="3297"/>
      <c r="BY230" s="3297"/>
      <c r="BZ230" s="3297"/>
      <c r="CA230" s="3297"/>
      <c r="CB230" s="3297"/>
      <c r="CC230" s="3297"/>
      <c r="CD230" s="3297"/>
      <c r="CE230" s="3297"/>
      <c r="CF230" s="3297"/>
      <c r="CG230" s="3297"/>
      <c r="CH230" s="3297"/>
      <c r="CI230" s="3297"/>
      <c r="CJ230" s="3297"/>
      <c r="CK230" s="3297"/>
      <c r="CL230" s="3297"/>
      <c r="CM230" s="3297"/>
      <c r="CN230" s="3297"/>
      <c r="CO230" s="3297"/>
      <c r="CP230" s="3297"/>
      <c r="CQ230" s="3297"/>
      <c r="CR230" s="3297"/>
      <c r="CS230" s="3297"/>
      <c r="CT230" s="3297"/>
      <c r="CU230" s="3297"/>
      <c r="CV230" s="3297"/>
      <c r="CW230" s="3297"/>
      <c r="CX230" s="3297"/>
      <c r="CY230" s="3297"/>
      <c r="CZ230" s="3297"/>
      <c r="DA230" s="3297"/>
      <c r="DB230" s="3297"/>
      <c r="DC230" s="3297"/>
      <c r="DD230" s="3297"/>
      <c r="DE230" s="3297"/>
      <c r="DF230" s="3297"/>
      <c r="DG230" s="3297"/>
      <c r="DH230" s="3297"/>
      <c r="DI230" s="3297"/>
      <c r="DJ230" s="3297"/>
      <c r="DK230" s="3297"/>
      <c r="DL230" s="3297"/>
      <c r="DM230" s="3297"/>
      <c r="DN230" s="3297"/>
      <c r="DO230" s="3297"/>
      <c r="DP230" s="3297"/>
      <c r="DQ230" s="3297"/>
      <c r="DR230" s="3297"/>
      <c r="DS230" s="3297"/>
      <c r="DT230" s="3297"/>
      <c r="DU230" s="3297"/>
      <c r="DV230" s="3297"/>
      <c r="DW230" s="3297"/>
      <c r="DX230" s="3297"/>
      <c r="DY230" s="3297"/>
      <c r="DZ230" s="3297"/>
      <c r="EA230" s="3297"/>
      <c r="EB230" s="3297"/>
      <c r="EC230" s="3297"/>
      <c r="ED230" s="3297"/>
      <c r="EE230" s="3297"/>
      <c r="EF230" s="3297"/>
      <c r="EG230" s="3297"/>
      <c r="EH230" s="3297"/>
      <c r="EI230" s="3297"/>
      <c r="EJ230" s="3297"/>
      <c r="EK230" s="3297"/>
      <c r="EL230" s="3297"/>
      <c r="EM230" s="3297"/>
      <c r="EN230" s="3297"/>
      <c r="EO230" s="3297"/>
      <c r="EP230" s="3297"/>
      <c r="EQ230" s="3297"/>
      <c r="ER230" s="3297"/>
      <c r="ES230" s="3297"/>
      <c r="ET230" s="3297"/>
      <c r="EU230" s="3297"/>
      <c r="EV230" s="3297"/>
      <c r="EW230" s="3297"/>
      <c r="EX230" s="3297"/>
      <c r="EY230" s="3297"/>
      <c r="EZ230" s="3297"/>
      <c r="FA230" s="3297"/>
      <c r="FB230" s="3297"/>
      <c r="FC230" s="3297"/>
      <c r="FD230" s="3297"/>
      <c r="FE230" s="3297"/>
      <c r="FF230" s="3297"/>
      <c r="FG230" s="3297"/>
      <c r="FH230" s="3297"/>
      <c r="FI230" s="3297"/>
      <c r="FJ230" s="3297"/>
      <c r="FK230" s="3297"/>
      <c r="FL230" s="3297"/>
      <c r="FM230" s="3297"/>
      <c r="FN230" s="3297"/>
      <c r="FO230" s="3297"/>
      <c r="FP230" s="3297"/>
      <c r="FQ230" s="3297"/>
      <c r="FR230" s="3297"/>
      <c r="FS230" s="3297"/>
      <c r="FT230" s="3297"/>
      <c r="FU230" s="3297"/>
      <c r="FV230" s="3297"/>
      <c r="FW230" s="3297"/>
      <c r="FX230" s="3297"/>
      <c r="FY230" s="3297"/>
      <c r="FZ230" s="3297"/>
      <c r="GA230" s="3297"/>
      <c r="GB230" s="3297"/>
      <c r="GC230" s="3297"/>
      <c r="GD230" s="3297"/>
      <c r="GE230" s="3297"/>
      <c r="GF230" s="3297"/>
      <c r="GG230" s="3297"/>
      <c r="GH230" s="3297"/>
      <c r="GI230" s="3297"/>
      <c r="GJ230" s="3297"/>
      <c r="GK230" s="3297"/>
      <c r="GL230" s="3297"/>
      <c r="GM230" s="3297"/>
      <c r="GN230" s="3297"/>
      <c r="GO230" s="3297"/>
      <c r="GP230" s="3297"/>
      <c r="GQ230" s="3297"/>
      <c r="GR230" s="3297"/>
      <c r="GS230" s="3297"/>
      <c r="GT230" s="3297"/>
      <c r="GU230" s="3297"/>
      <c r="GV230" s="3297"/>
      <c r="GW230" s="3297"/>
      <c r="GX230" s="3297"/>
      <c r="GY230" s="3297"/>
      <c r="GZ230" s="3297"/>
      <c r="HA230" s="3297"/>
      <c r="HB230" s="3297"/>
      <c r="HC230" s="3297"/>
      <c r="HD230" s="3297"/>
      <c r="HE230" s="3297"/>
      <c r="HF230" s="3297"/>
      <c r="HG230" s="3297"/>
      <c r="HH230" s="3297"/>
      <c r="HI230" s="3297"/>
      <c r="HJ230" s="3297"/>
      <c r="HK230" s="3297"/>
      <c r="HL230" s="3297"/>
      <c r="HM230" s="3297"/>
      <c r="HN230" s="3297"/>
      <c r="HO230" s="3297"/>
      <c r="HP230" s="3297"/>
      <c r="HQ230" s="3297"/>
      <c r="HR230" s="3297"/>
      <c r="HS230" s="3297"/>
      <c r="HT230" s="3297"/>
      <c r="HU230" s="3297"/>
      <c r="HV230" s="3297"/>
      <c r="HW230" s="3297"/>
      <c r="HX230" s="3297"/>
      <c r="HY230" s="3297"/>
      <c r="HZ230" s="3297"/>
      <c r="IA230" s="3297"/>
      <c r="IB230" s="3297"/>
      <c r="IC230" s="3297"/>
      <c r="ID230" s="3297"/>
      <c r="IE230" s="3297"/>
      <c r="IF230" s="3297"/>
      <c r="IG230" s="3297"/>
      <c r="IH230" s="3297"/>
      <c r="II230" s="3297"/>
      <c r="IJ230" s="3297"/>
      <c r="IK230" s="3297"/>
      <c r="IL230" s="3297"/>
      <c r="IM230" s="3297"/>
      <c r="IN230" s="3297"/>
      <c r="IO230" s="3297"/>
      <c r="IP230" s="3297"/>
      <c r="IQ230" s="3297"/>
      <c r="IR230" s="3297"/>
      <c r="IS230" s="3297"/>
      <c r="IT230" s="3297"/>
      <c r="IU230" s="3297"/>
      <c r="IV230" s="3297"/>
      <c r="IW230" s="3297"/>
      <c r="IX230" s="3297"/>
      <c r="IY230" s="3297"/>
      <c r="IZ230" s="3297"/>
      <c r="JA230" s="3297"/>
      <c r="JB230" s="3297"/>
      <c r="JC230" s="3297"/>
      <c r="JD230" s="3297"/>
      <c r="JE230" s="3297"/>
      <c r="JF230" s="3297"/>
      <c r="JG230" s="3297"/>
      <c r="JH230" s="3297"/>
      <c r="JI230" s="3297"/>
      <c r="JJ230" s="3297"/>
      <c r="JK230" s="3297"/>
      <c r="JL230" s="3297"/>
      <c r="JM230" s="3297"/>
      <c r="JN230" s="3297"/>
      <c r="JO230" s="3297"/>
      <c r="JP230" s="3297"/>
      <c r="JQ230" s="3297"/>
      <c r="JR230" s="3297"/>
      <c r="JS230" s="3297"/>
      <c r="JT230" s="3297"/>
      <c r="JU230" s="3297"/>
      <c r="JV230" s="3297"/>
      <c r="JW230" s="3297"/>
      <c r="JX230" s="3297"/>
      <c r="JY230" s="3297"/>
      <c r="JZ230" s="3297"/>
      <c r="KA230" s="3297"/>
      <c r="KB230" s="3297"/>
      <c r="KC230" s="3297"/>
      <c r="KD230" s="3297"/>
      <c r="KE230" s="3297"/>
      <c r="KF230" s="3297"/>
      <c r="KG230" s="3297"/>
      <c r="KH230" s="3297"/>
      <c r="KI230" s="3297"/>
      <c r="KJ230" s="3297"/>
      <c r="KK230" s="3297"/>
      <c r="KL230" s="3297"/>
      <c r="KM230" s="3297"/>
      <c r="KN230" s="3297"/>
      <c r="KO230" s="3297"/>
      <c r="KP230" s="3297"/>
      <c r="KQ230" s="3297"/>
      <c r="KR230" s="3297"/>
      <c r="KS230" s="3297"/>
      <c r="KT230" s="3297"/>
      <c r="KU230" s="3297"/>
      <c r="KV230" s="3297"/>
      <c r="KW230" s="3297"/>
      <c r="KX230" s="3297"/>
      <c r="KY230" s="3297"/>
      <c r="KZ230" s="3297"/>
      <c r="LA230" s="3297"/>
      <c r="LB230" s="3297"/>
      <c r="LC230" s="3297"/>
      <c r="LD230" s="3297"/>
      <c r="LE230" s="3297"/>
      <c r="LF230" s="3297"/>
      <c r="LG230" s="3297"/>
      <c r="LH230" s="3297"/>
      <c r="LI230" s="3297"/>
      <c r="LJ230" s="3297"/>
      <c r="LK230" s="3297"/>
      <c r="LL230" s="3297"/>
      <c r="LM230" s="3297"/>
      <c r="LN230" s="3297"/>
      <c r="LO230" s="3297"/>
      <c r="LP230" s="3297"/>
      <c r="LQ230" s="3297"/>
      <c r="LR230" s="3297"/>
      <c r="LS230" s="3297"/>
      <c r="LT230" s="3297"/>
      <c r="LU230" s="3297"/>
      <c r="LV230" s="3297"/>
      <c r="LW230" s="3297"/>
      <c r="LX230" s="3297"/>
      <c r="LY230" s="3297"/>
      <c r="LZ230" s="3297"/>
      <c r="MA230" s="3297"/>
      <c r="MB230" s="3297"/>
      <c r="MC230" s="3297"/>
      <c r="MD230" s="3297"/>
      <c r="ME230" s="3297"/>
      <c r="MF230" s="3297"/>
      <c r="MG230" s="3297"/>
      <c r="MH230" s="3297"/>
      <c r="MI230" s="3297"/>
      <c r="MJ230" s="3297"/>
      <c r="MK230" s="3297"/>
      <c r="ML230" s="3297"/>
      <c r="MM230" s="3297"/>
      <c r="MN230" s="3297"/>
      <c r="MO230" s="3297"/>
      <c r="MP230" s="3297"/>
      <c r="MQ230" s="3297"/>
      <c r="MR230" s="3297"/>
      <c r="MS230" s="3297"/>
      <c r="MT230" s="3297"/>
      <c r="MU230" s="3297"/>
      <c r="MV230" s="3297"/>
      <c r="MW230" s="3297"/>
      <c r="MX230" s="3297"/>
      <c r="MY230" s="3297"/>
      <c r="MZ230" s="3297"/>
      <c r="NA230" s="3297"/>
      <c r="NB230" s="3297"/>
      <c r="NC230" s="3297"/>
      <c r="ND230" s="3297"/>
      <c r="NE230" s="3297"/>
      <c r="NF230" s="3297"/>
      <c r="NG230" s="3297"/>
      <c r="NH230" s="3297"/>
      <c r="NI230" s="3297"/>
      <c r="NJ230" s="3297"/>
      <c r="NK230" s="3297"/>
      <c r="NL230" s="3297"/>
      <c r="NM230" s="3297"/>
      <c r="NN230" s="3297"/>
      <c r="NO230" s="3297"/>
      <c r="NP230" s="3297"/>
      <c r="NQ230" s="3297"/>
      <c r="NR230" s="3297"/>
      <c r="NS230" s="3297"/>
      <c r="NT230" s="3297"/>
      <c r="NU230" s="3297"/>
      <c r="NV230" s="3297"/>
      <c r="NW230" s="3297"/>
      <c r="NX230" s="3297"/>
      <c r="NY230" s="3297"/>
      <c r="NZ230" s="3297"/>
      <c r="OA230" s="3297"/>
      <c r="OB230" s="3297"/>
      <c r="OC230" s="3297"/>
      <c r="OD230" s="3297"/>
      <c r="OE230" s="3297"/>
      <c r="OF230" s="3297"/>
      <c r="OG230" s="3297"/>
      <c r="OH230" s="3297"/>
      <c r="OI230" s="3297"/>
      <c r="OJ230" s="3297"/>
      <c r="OK230" s="3297"/>
      <c r="OL230" s="3297"/>
      <c r="OM230" s="3297"/>
      <c r="ON230" s="3297"/>
      <c r="OO230" s="3297"/>
      <c r="OP230" s="3297"/>
      <c r="OQ230" s="3297"/>
      <c r="OR230" s="3297"/>
      <c r="OS230" s="3297"/>
      <c r="OT230" s="3297"/>
      <c r="OU230" s="3297"/>
      <c r="OV230" s="3297"/>
      <c r="OW230" s="3297"/>
      <c r="OX230" s="3297"/>
      <c r="OY230" s="3297"/>
      <c r="OZ230" s="3297"/>
      <c r="PA230" s="3297"/>
      <c r="PB230" s="3297"/>
      <c r="PC230" s="3297"/>
      <c r="PD230" s="3297"/>
      <c r="PE230" s="3297"/>
      <c r="PF230" s="3297"/>
      <c r="PG230" s="3297"/>
      <c r="PH230" s="3297"/>
      <c r="PI230" s="3297"/>
      <c r="PJ230" s="3297"/>
      <c r="PK230" s="3297"/>
      <c r="PL230" s="3297"/>
      <c r="PM230" s="3297"/>
      <c r="PN230" s="3297"/>
      <c r="PO230" s="3297"/>
      <c r="PP230" s="3297"/>
      <c r="PQ230" s="3297"/>
      <c r="PR230" s="3297"/>
      <c r="PS230" s="3297"/>
      <c r="PT230" s="3297"/>
      <c r="PU230" s="3297"/>
      <c r="PV230" s="3297"/>
      <c r="PW230" s="3297"/>
      <c r="PX230" s="3297"/>
      <c r="PY230" s="3297"/>
      <c r="PZ230" s="3297"/>
      <c r="QA230" s="3297"/>
      <c r="QB230" s="3297"/>
      <c r="QC230" s="3297"/>
      <c r="QD230" s="3297"/>
      <c r="QE230" s="3297"/>
      <c r="QF230" s="3297"/>
      <c r="QG230" s="3297"/>
      <c r="QH230" s="3297"/>
      <c r="QI230" s="3297"/>
      <c r="QJ230" s="3297"/>
      <c r="QK230" s="3297"/>
      <c r="QL230" s="3297"/>
      <c r="QM230" s="3297"/>
      <c r="QN230" s="3297"/>
      <c r="QO230" s="3297"/>
      <c r="QP230" s="3297"/>
      <c r="QQ230" s="3297"/>
      <c r="QR230" s="3297"/>
      <c r="QS230" s="3297"/>
      <c r="QT230" s="3297"/>
      <c r="QU230" s="3297"/>
      <c r="QV230" s="3297"/>
      <c r="QW230" s="3297"/>
      <c r="QX230" s="3297"/>
      <c r="QY230" s="3297"/>
      <c r="QZ230" s="3297"/>
      <c r="RA230" s="3297"/>
      <c r="RB230" s="3297"/>
      <c r="RC230" s="3297"/>
      <c r="RD230" s="3297"/>
      <c r="RE230" s="3297"/>
      <c r="RF230" s="3297"/>
      <c r="RG230" s="3297"/>
      <c r="RH230" s="3297"/>
      <c r="RI230" s="3297"/>
      <c r="RJ230" s="3297"/>
      <c r="RK230" s="3297"/>
      <c r="RL230" s="3297"/>
      <c r="RM230" s="3297"/>
      <c r="RN230" s="3297"/>
      <c r="RO230" s="3297"/>
      <c r="RP230" s="3297"/>
      <c r="RQ230" s="3297"/>
      <c r="RR230" s="3297"/>
      <c r="RS230" s="3297"/>
      <c r="RT230" s="3297"/>
      <c r="RU230" s="3297"/>
      <c r="RV230" s="3297"/>
      <c r="RW230" s="3297"/>
      <c r="RX230" s="3297"/>
      <c r="RY230" s="3297"/>
      <c r="RZ230" s="3297"/>
      <c r="SA230" s="3297"/>
      <c r="SB230" s="3297"/>
      <c r="SC230" s="3297"/>
      <c r="SD230" s="3297"/>
      <c r="SE230" s="3297"/>
      <c r="SF230" s="3297"/>
      <c r="SG230" s="3297"/>
      <c r="SH230" s="3297"/>
      <c r="SI230" s="3297"/>
      <c r="SJ230" s="3297"/>
      <c r="SK230" s="3297"/>
      <c r="SL230" s="3297"/>
      <c r="SM230" s="3297"/>
      <c r="SN230" s="3297"/>
      <c r="SO230" s="3297"/>
      <c r="SP230" s="3297"/>
      <c r="SQ230" s="3297"/>
      <c r="SR230" s="3297"/>
      <c r="SS230" s="3297"/>
      <c r="ST230" s="3297"/>
      <c r="SU230" s="3297"/>
      <c r="SV230" s="3297"/>
      <c r="SW230" s="3297"/>
      <c r="SX230" s="3297"/>
      <c r="SY230" s="3297"/>
      <c r="SZ230" s="3297"/>
      <c r="TA230" s="3297"/>
      <c r="TB230" s="3297"/>
      <c r="TC230" s="3297"/>
      <c r="TD230" s="3297"/>
      <c r="TE230" s="3297"/>
      <c r="TF230" s="3297"/>
      <c r="TG230" s="3297"/>
      <c r="TH230" s="3297"/>
      <c r="TI230" s="3297"/>
      <c r="TJ230" s="3297"/>
      <c r="TK230" s="3297"/>
      <c r="TL230" s="3297"/>
      <c r="TM230" s="3297"/>
      <c r="TN230" s="3297"/>
      <c r="TO230" s="3297"/>
      <c r="TP230" s="3297"/>
      <c r="TQ230" s="3297"/>
      <c r="TR230" s="3297"/>
      <c r="TS230" s="3297"/>
      <c r="TT230" s="3297"/>
      <c r="TU230" s="3297"/>
      <c r="TV230" s="3297"/>
      <c r="TW230" s="3297"/>
      <c r="TX230" s="3297"/>
      <c r="TY230" s="3297"/>
      <c r="TZ230" s="3297"/>
      <c r="UA230" s="3297"/>
      <c r="UB230" s="3297"/>
      <c r="UC230" s="3297"/>
      <c r="UD230" s="3297"/>
      <c r="UE230" s="3297"/>
      <c r="UF230" s="3297"/>
      <c r="UG230" s="3297"/>
      <c r="UH230" s="3297"/>
      <c r="UI230" s="3297"/>
      <c r="UJ230" s="3297"/>
      <c r="UK230" s="3297"/>
      <c r="UL230" s="3297"/>
      <c r="UM230" s="3297"/>
      <c r="UN230" s="3297"/>
      <c r="UO230" s="3297"/>
      <c r="UP230" s="3297"/>
      <c r="UQ230" s="3297"/>
      <c r="UR230" s="3297"/>
      <c r="US230" s="3297"/>
      <c r="UT230" s="3297"/>
      <c r="UU230" s="3297"/>
      <c r="UV230" s="3297"/>
      <c r="UW230" s="3297"/>
      <c r="UX230" s="3297"/>
      <c r="UY230" s="3297"/>
      <c r="UZ230" s="3297"/>
      <c r="VA230" s="3297"/>
      <c r="VB230" s="3297"/>
      <c r="VC230" s="3297"/>
      <c r="VD230" s="3297"/>
      <c r="VE230" s="3297"/>
      <c r="VF230" s="3297"/>
      <c r="VG230" s="3297"/>
      <c r="VH230" s="3297"/>
      <c r="VI230" s="3297"/>
      <c r="VJ230" s="3297"/>
      <c r="VK230" s="3297"/>
      <c r="VL230" s="3297"/>
      <c r="VM230" s="3297"/>
      <c r="VN230" s="3297"/>
      <c r="VO230" s="3297"/>
      <c r="VP230" s="3297"/>
      <c r="VQ230" s="3297"/>
      <c r="VR230" s="3297"/>
      <c r="VS230" s="3297"/>
      <c r="VT230" s="3297"/>
      <c r="VU230" s="3297"/>
      <c r="VV230" s="3297"/>
      <c r="VW230" s="3297"/>
      <c r="VX230" s="3297"/>
      <c r="VY230" s="3297"/>
      <c r="VZ230" s="3297"/>
      <c r="WA230" s="3297"/>
      <c r="WB230" s="3297"/>
      <c r="WC230" s="3297"/>
      <c r="WD230" s="3297"/>
      <c r="WE230" s="3297"/>
      <c r="WF230" s="3297"/>
      <c r="WG230" s="3297"/>
      <c r="WH230" s="3297"/>
      <c r="WI230" s="3297"/>
      <c r="WJ230" s="3297"/>
      <c r="WK230" s="3297"/>
      <c r="WL230" s="3297"/>
      <c r="WM230" s="3297"/>
      <c r="WN230" s="3297"/>
      <c r="WO230" s="3297"/>
      <c r="WP230" s="3297"/>
      <c r="WQ230" s="3297"/>
      <c r="WR230" s="3297"/>
      <c r="WS230" s="3297"/>
      <c r="WT230" s="3297"/>
      <c r="WU230" s="3297"/>
      <c r="WV230" s="3297"/>
      <c r="WW230" s="3297"/>
      <c r="WX230" s="3297"/>
      <c r="WY230" s="3297"/>
      <c r="WZ230" s="3297"/>
      <c r="XA230" s="3297"/>
      <c r="XB230" s="3297"/>
      <c r="XC230" s="3297"/>
      <c r="XD230" s="3297"/>
      <c r="XE230" s="3297"/>
      <c r="XF230" s="3297"/>
      <c r="XG230" s="3297"/>
      <c r="XH230" s="3297"/>
      <c r="XI230" s="3297"/>
      <c r="XJ230" s="3297"/>
      <c r="XK230" s="3297"/>
      <c r="XL230" s="3297"/>
      <c r="XM230" s="3297"/>
      <c r="XN230" s="3297"/>
      <c r="XO230" s="3297"/>
      <c r="XP230" s="3297"/>
      <c r="XQ230" s="3297"/>
      <c r="XR230" s="3297"/>
      <c r="XS230" s="3297"/>
      <c r="XT230" s="3297"/>
      <c r="XU230" s="3297"/>
      <c r="XV230" s="3297"/>
      <c r="XW230" s="3297"/>
      <c r="XX230" s="3297"/>
      <c r="XY230" s="3297"/>
      <c r="XZ230" s="3297"/>
      <c r="YA230" s="3297"/>
      <c r="YB230" s="3297"/>
      <c r="YC230" s="3297"/>
      <c r="YD230" s="3297"/>
      <c r="YE230" s="3297"/>
      <c r="YF230" s="3297"/>
      <c r="YG230" s="3297"/>
      <c r="YH230" s="3297"/>
      <c r="YI230" s="3297"/>
      <c r="YJ230" s="3297"/>
      <c r="YK230" s="3297"/>
      <c r="YL230" s="3297"/>
      <c r="YM230" s="3297"/>
      <c r="YN230" s="3297"/>
      <c r="YO230" s="3297"/>
      <c r="YP230" s="3297"/>
      <c r="YQ230" s="3297"/>
      <c r="YR230" s="3297"/>
      <c r="YS230" s="3297"/>
      <c r="YT230" s="3297"/>
      <c r="YU230" s="3297"/>
      <c r="YV230" s="3297"/>
      <c r="YW230" s="3297"/>
      <c r="YX230" s="3297"/>
      <c r="YY230" s="3297"/>
      <c r="YZ230" s="3297"/>
      <c r="ZA230" s="3297"/>
      <c r="ZB230" s="3297"/>
      <c r="ZC230" s="3297"/>
      <c r="ZD230" s="3297"/>
      <c r="ZE230" s="3297"/>
      <c r="ZF230" s="3297"/>
      <c r="ZG230" s="3297"/>
      <c r="ZH230" s="3297"/>
      <c r="ZI230" s="3297"/>
      <c r="ZJ230" s="3297"/>
      <c r="ZK230" s="3297"/>
      <c r="ZL230" s="3297"/>
      <c r="ZM230" s="3297"/>
      <c r="ZN230" s="3297"/>
      <c r="ZO230" s="3297"/>
      <c r="ZP230" s="3297"/>
      <c r="ZQ230" s="3297"/>
      <c r="ZR230" s="3297"/>
      <c r="ZS230" s="3297"/>
      <c r="ZT230" s="3297"/>
      <c r="ZU230" s="3297"/>
      <c r="ZV230" s="3297"/>
      <c r="ZW230" s="3297"/>
      <c r="ZX230" s="3297"/>
      <c r="ZY230" s="3297"/>
      <c r="ZZ230" s="3297"/>
      <c r="AAA230" s="3297"/>
      <c r="AAB230" s="3297"/>
      <c r="AAC230" s="3297"/>
      <c r="AAD230" s="3297"/>
      <c r="AAE230" s="3297"/>
      <c r="AAF230" s="3297"/>
      <c r="AAG230" s="3297"/>
      <c r="AAH230" s="3297"/>
      <c r="AAI230" s="3297"/>
      <c r="AAJ230" s="3297"/>
      <c r="AAK230" s="3297"/>
      <c r="AAL230" s="3297"/>
      <c r="AAM230" s="3297"/>
      <c r="AAN230" s="3297"/>
      <c r="AAO230" s="3297"/>
      <c r="AAP230" s="3297"/>
      <c r="AAQ230" s="3297"/>
      <c r="AAR230" s="3297"/>
      <c r="AAS230" s="3297"/>
      <c r="AAT230" s="3297"/>
      <c r="AAU230" s="3297"/>
      <c r="AAV230" s="3297"/>
      <c r="AAW230" s="3297"/>
      <c r="AAX230" s="3297"/>
      <c r="AAY230" s="3297"/>
      <c r="AAZ230" s="3297"/>
      <c r="ABA230" s="3297"/>
      <c r="ABB230" s="3297"/>
      <c r="ABC230" s="3297"/>
      <c r="ABD230" s="3297"/>
      <c r="ABE230" s="3297"/>
      <c r="ABF230" s="3297"/>
      <c r="ABG230" s="3297"/>
      <c r="ABH230" s="3297"/>
      <c r="ABI230" s="3297"/>
      <c r="ABJ230" s="3297"/>
      <c r="ABK230" s="3297"/>
      <c r="ABL230" s="3297"/>
      <c r="ABM230" s="3297"/>
      <c r="ABN230" s="3297"/>
      <c r="ABO230" s="3297"/>
      <c r="ABP230" s="3297"/>
      <c r="ABQ230" s="3297"/>
      <c r="ABR230" s="3297"/>
      <c r="ABS230" s="3297"/>
      <c r="ABT230" s="3297"/>
      <c r="ABU230" s="3297"/>
      <c r="ABV230" s="3297"/>
      <c r="ABW230" s="3297"/>
      <c r="ABX230" s="3297"/>
      <c r="ABY230" s="3297"/>
      <c r="ABZ230" s="3297"/>
      <c r="ACA230" s="3297"/>
      <c r="ACB230" s="3297"/>
      <c r="ACC230" s="3297"/>
      <c r="ACD230" s="3297"/>
      <c r="ACE230" s="3297"/>
      <c r="ACF230" s="3297"/>
      <c r="ACG230" s="3297"/>
      <c r="ACH230" s="3297"/>
      <c r="ACI230" s="3297"/>
      <c r="ACJ230" s="3297"/>
      <c r="ACK230" s="3297"/>
      <c r="ACL230" s="3297"/>
      <c r="ACM230" s="3297"/>
      <c r="ACN230" s="3297"/>
      <c r="ACO230" s="3297"/>
      <c r="ACP230" s="3297"/>
      <c r="ACQ230" s="3297"/>
      <c r="ACR230" s="3297"/>
      <c r="ACS230" s="3297"/>
      <c r="ACT230" s="3297"/>
      <c r="ACU230" s="3297"/>
      <c r="ACV230" s="3297"/>
      <c r="ACW230" s="3297"/>
      <c r="ACX230" s="3297"/>
      <c r="ACY230" s="3297"/>
      <c r="ACZ230" s="3297"/>
      <c r="ADA230" s="3297"/>
      <c r="ADB230" s="3297"/>
      <c r="ADC230" s="3297"/>
      <c r="ADD230" s="3297"/>
      <c r="ADE230" s="3297"/>
      <c r="ADF230" s="3297"/>
      <c r="ADG230" s="3297"/>
      <c r="ADH230" s="3297"/>
      <c r="ADI230" s="3297"/>
      <c r="ADJ230" s="3297"/>
      <c r="ADK230" s="3297"/>
      <c r="ADL230" s="3297"/>
      <c r="ADM230" s="3297"/>
      <c r="ADN230" s="3297"/>
      <c r="ADO230" s="3297"/>
      <c r="ADP230" s="3297"/>
      <c r="ADQ230" s="3297"/>
      <c r="ADR230" s="3297"/>
      <c r="ADS230" s="3297"/>
      <c r="ADT230" s="3297"/>
      <c r="ADU230" s="3297"/>
      <c r="ADV230" s="3297"/>
      <c r="ADW230" s="3297"/>
      <c r="ADX230" s="3297"/>
      <c r="ADY230" s="3297"/>
      <c r="ADZ230" s="3297"/>
      <c r="AEA230" s="3297"/>
      <c r="AEB230" s="3297"/>
      <c r="AEC230" s="3297"/>
      <c r="AED230" s="3297"/>
      <c r="AEE230" s="3297"/>
      <c r="AEF230" s="3297"/>
      <c r="AEG230" s="3297"/>
      <c r="AEH230" s="3297"/>
      <c r="AEI230" s="3297"/>
      <c r="AEJ230" s="3297"/>
      <c r="AEK230" s="3297"/>
      <c r="AEL230" s="3297"/>
      <c r="AEM230" s="3297"/>
      <c r="AEN230" s="3297"/>
      <c r="AEO230" s="3297"/>
      <c r="AEP230" s="3297"/>
      <c r="AEQ230" s="3297"/>
      <c r="AER230" s="3297"/>
      <c r="AES230" s="3297"/>
      <c r="AET230" s="3297"/>
      <c r="AEU230" s="3297"/>
      <c r="AEV230" s="3297"/>
      <c r="AEW230" s="3297"/>
      <c r="AEX230" s="3297"/>
      <c r="AEY230" s="3297"/>
      <c r="AEZ230" s="3297"/>
      <c r="AFA230" s="3297"/>
      <c r="AFB230" s="3297"/>
      <c r="AFC230" s="3297"/>
      <c r="AFD230" s="3297"/>
      <c r="AFE230" s="3297"/>
      <c r="AFF230" s="3297"/>
      <c r="AFG230" s="3297"/>
      <c r="AFH230" s="3297"/>
      <c r="AFI230" s="3297"/>
      <c r="AFJ230" s="3297"/>
      <c r="AFK230" s="3297"/>
      <c r="AFL230" s="3297"/>
      <c r="AFM230" s="3297"/>
      <c r="AFN230" s="3297"/>
      <c r="AFO230" s="3297"/>
      <c r="AFP230" s="3297"/>
      <c r="AFQ230" s="3297"/>
      <c r="AFR230" s="3297"/>
      <c r="AFS230" s="3297"/>
      <c r="AFT230" s="3297"/>
      <c r="AFU230" s="3297"/>
      <c r="AFV230" s="3297"/>
      <c r="AFW230" s="3297"/>
      <c r="AFX230" s="3297"/>
      <c r="AFY230" s="3297"/>
      <c r="AFZ230" s="3297"/>
      <c r="AGA230" s="3297"/>
      <c r="AGB230" s="3297"/>
      <c r="AGC230" s="3297"/>
      <c r="AGD230" s="3297"/>
      <c r="AGE230" s="3297"/>
      <c r="AGF230" s="3297"/>
      <c r="AGG230" s="3297"/>
      <c r="AGH230" s="3297"/>
      <c r="AGI230" s="3297"/>
      <c r="AGJ230" s="3297"/>
      <c r="AGK230" s="3297"/>
      <c r="AGL230" s="3297"/>
      <c r="AGM230" s="3297"/>
      <c r="AGN230" s="3297"/>
      <c r="AGO230" s="3297"/>
      <c r="AGP230" s="3297"/>
      <c r="AGQ230" s="3297"/>
      <c r="AGR230" s="3297"/>
      <c r="AGS230" s="3297"/>
      <c r="AGT230" s="3297"/>
      <c r="AGU230" s="3297"/>
      <c r="AGV230" s="3297"/>
      <c r="AGW230" s="3297"/>
      <c r="AGX230" s="3297"/>
      <c r="AGY230" s="3297"/>
      <c r="AGZ230" s="3297"/>
      <c r="AHA230" s="3297"/>
      <c r="AHB230" s="3297"/>
      <c r="AHC230" s="3297"/>
      <c r="AHD230" s="3297"/>
      <c r="AHE230" s="3297"/>
      <c r="AHF230" s="3297"/>
      <c r="AHG230" s="3297"/>
      <c r="AHH230" s="3297"/>
      <c r="AHI230" s="3297"/>
      <c r="AHJ230" s="3297"/>
      <c r="AHK230" s="3297"/>
      <c r="AHL230" s="3297"/>
      <c r="AHM230" s="3297"/>
      <c r="AHN230" s="3297"/>
      <c r="AHO230" s="3297"/>
      <c r="AHP230" s="3297"/>
      <c r="AHQ230" s="3297"/>
      <c r="AHR230" s="3297"/>
      <c r="AHS230" s="3297"/>
      <c r="AHT230" s="3297"/>
      <c r="AHU230" s="3297"/>
      <c r="AHV230" s="3297"/>
      <c r="AHW230" s="3297"/>
      <c r="AHX230" s="3297"/>
      <c r="AHY230" s="3297"/>
      <c r="AHZ230" s="3297"/>
      <c r="AIA230" s="3297"/>
      <c r="AIB230" s="3297"/>
      <c r="AIC230" s="3297"/>
      <c r="AID230" s="3297"/>
      <c r="AIE230" s="3297"/>
      <c r="AIF230" s="3297"/>
      <c r="AIG230" s="3297"/>
      <c r="AIH230" s="3297"/>
      <c r="AII230" s="3297"/>
      <c r="AIJ230" s="3297"/>
      <c r="AIK230" s="3297"/>
      <c r="AIL230" s="3297"/>
      <c r="AIM230" s="3297"/>
      <c r="AIN230" s="3297"/>
      <c r="AIO230" s="3297"/>
      <c r="AIP230" s="3297"/>
      <c r="AIQ230" s="3297"/>
      <c r="AIR230" s="3297"/>
      <c r="AIS230" s="3297"/>
      <c r="AIT230" s="3297"/>
      <c r="AIU230" s="3297"/>
      <c r="AIV230" s="3297"/>
      <c r="AIW230" s="3297"/>
      <c r="AIX230" s="3297"/>
      <c r="AIY230" s="3297"/>
      <c r="AIZ230" s="3297"/>
      <c r="AJA230" s="3297"/>
      <c r="AJB230" s="3297"/>
      <c r="AJC230" s="3297"/>
      <c r="AJD230" s="3297"/>
      <c r="AJE230" s="3297"/>
      <c r="AJF230" s="3297"/>
      <c r="AJG230" s="3297"/>
      <c r="AJH230" s="3297"/>
      <c r="AJI230" s="3297"/>
      <c r="AJJ230" s="3297"/>
      <c r="AJK230" s="3297"/>
      <c r="AJL230" s="3297"/>
      <c r="AJM230" s="3297"/>
      <c r="AJN230" s="3297"/>
      <c r="AJO230" s="3297"/>
      <c r="AJP230" s="3297"/>
      <c r="AJQ230" s="3297"/>
      <c r="AJR230" s="3297"/>
      <c r="AJS230" s="3297"/>
      <c r="AJT230" s="3297"/>
      <c r="AJU230" s="3297"/>
      <c r="AJV230" s="3297"/>
      <c r="AJW230" s="3297"/>
      <c r="AJX230" s="3297"/>
      <c r="AJY230" s="3297"/>
      <c r="AJZ230" s="3297"/>
      <c r="AKA230" s="3297"/>
      <c r="AKB230" s="3297"/>
      <c r="AKC230" s="3297"/>
      <c r="AKD230" s="3297"/>
      <c r="AKE230" s="3297"/>
      <c r="AKF230" s="3297"/>
      <c r="AKG230" s="3297"/>
      <c r="AKH230" s="3297"/>
      <c r="AKI230" s="3297"/>
      <c r="AKJ230" s="3297"/>
      <c r="AKK230" s="3297"/>
      <c r="AKL230" s="3297"/>
      <c r="AKM230" s="3297"/>
      <c r="AKN230" s="3297"/>
      <c r="AKO230" s="3297"/>
      <c r="AKP230" s="3297"/>
      <c r="AKQ230" s="3297"/>
      <c r="AKR230" s="3297"/>
      <c r="AKS230" s="3297"/>
      <c r="AKT230" s="3297"/>
      <c r="AKU230" s="3297"/>
      <c r="AKV230" s="3297"/>
      <c r="AKW230" s="3297"/>
      <c r="AKX230" s="3297"/>
      <c r="AKY230" s="3297"/>
      <c r="AKZ230" s="3297"/>
      <c r="ALA230" s="3297"/>
      <c r="ALB230" s="3297"/>
      <c r="ALC230" s="3297"/>
      <c r="ALD230" s="3297"/>
      <c r="ALE230" s="3297"/>
      <c r="ALF230" s="3297"/>
      <c r="ALG230" s="3297"/>
      <c r="ALH230" s="3297"/>
      <c r="ALI230" s="3297"/>
      <c r="ALJ230" s="3297"/>
      <c r="ALK230" s="3297"/>
      <c r="ALL230" s="3297"/>
      <c r="ALM230" s="3297"/>
      <c r="ALN230" s="3297"/>
      <c r="ALO230" s="3297"/>
      <c r="ALP230" s="3297"/>
      <c r="ALQ230" s="3297"/>
      <c r="ALR230" s="3297"/>
      <c r="ALS230" s="3297"/>
      <c r="ALT230" s="3297"/>
      <c r="ALU230" s="3297"/>
      <c r="ALV230" s="3297"/>
      <c r="ALW230" s="3297"/>
      <c r="ALX230" s="3297"/>
      <c r="ALY230" s="3297"/>
      <c r="ALZ230" s="3297"/>
      <c r="AMA230" s="3297"/>
      <c r="AMB230" s="3297"/>
      <c r="AMC230" s="3297"/>
      <c r="AMD230" s="3297"/>
      <c r="AME230" s="3297"/>
      <c r="AMF230" s="3297"/>
      <c r="AMG230" s="3297"/>
      <c r="AMH230" s="3297"/>
      <c r="AMI230" s="3297"/>
      <c r="AMJ230" s="3297"/>
      <c r="AMK230" s="3297"/>
      <c r="AML230" s="3297"/>
      <c r="AMM230" s="3297"/>
      <c r="AMN230" s="3297"/>
      <c r="AMO230" s="3297"/>
      <c r="AMP230" s="3297"/>
      <c r="AMQ230" s="3297"/>
      <c r="AMR230" s="3297"/>
      <c r="AMS230" s="3297"/>
      <c r="AMT230" s="3297"/>
      <c r="AMU230" s="3297"/>
      <c r="AMV230" s="3297"/>
      <c r="AMW230" s="3297"/>
      <c r="AMX230" s="3297"/>
      <c r="AMY230" s="3297"/>
      <c r="AMZ230" s="3297"/>
      <c r="ANA230" s="3297"/>
      <c r="ANB230" s="3297"/>
      <c r="ANC230" s="3297"/>
      <c r="AND230" s="3297"/>
      <c r="ANE230" s="3297"/>
      <c r="ANF230" s="3297"/>
      <c r="ANG230" s="3297"/>
      <c r="ANH230" s="3297"/>
      <c r="ANI230" s="3297"/>
      <c r="ANJ230" s="3297"/>
      <c r="ANK230" s="3297"/>
      <c r="ANL230" s="3297"/>
      <c r="ANM230" s="3297"/>
      <c r="ANN230" s="3297"/>
      <c r="ANO230" s="3297"/>
      <c r="ANP230" s="3297"/>
      <c r="ANQ230" s="3297"/>
      <c r="ANR230" s="3297"/>
      <c r="ANS230" s="3297"/>
      <c r="ANT230" s="3297"/>
      <c r="ANU230" s="3297"/>
      <c r="ANV230" s="3297"/>
      <c r="ANW230" s="3297"/>
      <c r="ANX230" s="3297"/>
      <c r="ANY230" s="3297"/>
      <c r="ANZ230" s="3297"/>
      <c r="AOA230" s="3297"/>
      <c r="AOB230" s="3297"/>
      <c r="AOC230" s="3297"/>
      <c r="AOD230" s="3297"/>
      <c r="AOE230" s="3297"/>
      <c r="AOF230" s="3297"/>
      <c r="AOG230" s="3297"/>
      <c r="AOH230" s="3297"/>
      <c r="AOI230" s="3297"/>
      <c r="AOJ230" s="3297"/>
      <c r="AOK230" s="3297"/>
      <c r="AOL230" s="3297"/>
      <c r="AOM230" s="3297"/>
      <c r="AON230" s="3297"/>
      <c r="AOO230" s="3297"/>
      <c r="AOP230" s="3297"/>
      <c r="AOQ230" s="3297"/>
      <c r="AOR230" s="3297"/>
      <c r="AOS230" s="3297"/>
      <c r="AOT230" s="3297"/>
      <c r="AOU230" s="3297"/>
      <c r="AOV230" s="3297"/>
      <c r="AOW230" s="3297"/>
      <c r="AOX230" s="3297"/>
      <c r="AOY230" s="3297"/>
      <c r="AOZ230" s="3297"/>
      <c r="APA230" s="3297"/>
      <c r="APB230" s="3297"/>
      <c r="APC230" s="3297"/>
      <c r="APD230" s="3297"/>
      <c r="APE230" s="3297"/>
      <c r="APF230" s="3297"/>
      <c r="APG230" s="3297"/>
      <c r="APH230" s="3297"/>
      <c r="API230" s="3297"/>
      <c r="APJ230" s="3297"/>
      <c r="APK230" s="3297"/>
      <c r="APL230" s="3297"/>
      <c r="APM230" s="3297"/>
      <c r="APN230" s="3297"/>
      <c r="APO230" s="3297"/>
      <c r="APP230" s="3297"/>
      <c r="APQ230" s="3297"/>
      <c r="APR230" s="3297"/>
      <c r="APS230" s="3297"/>
      <c r="APT230" s="3297"/>
      <c r="APU230" s="3297"/>
      <c r="APV230" s="3297"/>
      <c r="APW230" s="3297"/>
      <c r="APX230" s="3297"/>
      <c r="APY230" s="3297"/>
      <c r="APZ230" s="3297"/>
      <c r="AQA230" s="3297"/>
      <c r="AQB230" s="3297"/>
      <c r="AQC230" s="3297"/>
      <c r="AQD230" s="3297"/>
      <c r="AQE230" s="3297"/>
      <c r="AQF230" s="3297"/>
      <c r="AQG230" s="3297"/>
      <c r="AQH230" s="3297"/>
      <c r="AQI230" s="3297"/>
      <c r="AQJ230" s="3297"/>
      <c r="AQK230" s="3297"/>
      <c r="AQL230" s="3297"/>
      <c r="AQM230" s="3297"/>
      <c r="AQN230" s="3297"/>
      <c r="AQO230" s="3297"/>
      <c r="AQP230" s="3297"/>
      <c r="AQQ230" s="3297"/>
      <c r="AQR230" s="3297"/>
      <c r="AQS230" s="3297"/>
      <c r="AQT230" s="3297"/>
      <c r="AQU230" s="3297"/>
      <c r="AQV230" s="3297"/>
      <c r="AQW230" s="3297"/>
      <c r="AQX230" s="3297"/>
      <c r="AQY230" s="3297"/>
      <c r="AQZ230" s="3297"/>
      <c r="ARA230" s="3297"/>
      <c r="ARB230" s="3297"/>
      <c r="ARC230" s="3297"/>
      <c r="ARD230" s="3297"/>
      <c r="ARE230" s="3297"/>
      <c r="ARF230" s="3297"/>
      <c r="ARG230" s="3297"/>
      <c r="ARH230" s="3297"/>
      <c r="ARI230" s="3297"/>
      <c r="ARJ230" s="3297"/>
      <c r="ARK230" s="3297"/>
      <c r="ARL230" s="3297"/>
      <c r="ARM230" s="3297"/>
      <c r="ARN230" s="3297"/>
      <c r="ARO230" s="3297"/>
      <c r="ARP230" s="3297"/>
      <c r="ARQ230" s="3297"/>
      <c r="ARR230" s="3297"/>
      <c r="ARS230" s="3297"/>
      <c r="ART230" s="3297"/>
      <c r="ARU230" s="3297"/>
      <c r="ARV230" s="3297"/>
      <c r="ARW230" s="3297"/>
      <c r="ARX230" s="3297"/>
      <c r="ARY230" s="3297"/>
      <c r="ARZ230" s="3297"/>
      <c r="ASA230" s="3297"/>
      <c r="ASB230" s="3297"/>
      <c r="ASC230" s="3297"/>
      <c r="ASD230" s="3297"/>
      <c r="ASE230" s="3297"/>
      <c r="ASF230" s="3297"/>
      <c r="ASG230" s="3297"/>
      <c r="ASH230" s="3297"/>
      <c r="ASI230" s="3297"/>
      <c r="ASJ230" s="3297"/>
      <c r="ASK230" s="3297"/>
      <c r="ASL230" s="3297"/>
      <c r="ASM230" s="3297"/>
      <c r="ASN230" s="3297"/>
      <c r="ASO230" s="3297"/>
      <c r="ASP230" s="3297"/>
      <c r="ASQ230" s="3297"/>
      <c r="ASR230" s="3297"/>
      <c r="ASS230" s="3297"/>
      <c r="AST230" s="3297"/>
      <c r="ASU230" s="3297"/>
      <c r="ASV230" s="3297"/>
      <c r="ASW230" s="3297"/>
      <c r="ASX230" s="3297"/>
      <c r="ASY230" s="3297"/>
      <c r="ASZ230" s="3297"/>
      <c r="ATA230" s="3297"/>
      <c r="ATB230" s="3297"/>
      <c r="ATC230" s="3297"/>
      <c r="ATD230" s="3297"/>
      <c r="ATE230" s="3297"/>
      <c r="ATF230" s="3297"/>
      <c r="ATG230" s="3297"/>
      <c r="ATH230" s="3297"/>
      <c r="ATI230" s="3297"/>
      <c r="ATJ230" s="3297"/>
      <c r="ATK230" s="3297"/>
      <c r="ATL230" s="3297"/>
      <c r="ATM230" s="3297"/>
      <c r="ATN230" s="3297"/>
      <c r="ATO230" s="3297"/>
      <c r="ATP230" s="3297"/>
      <c r="ATQ230" s="3297"/>
      <c r="ATR230" s="3297"/>
      <c r="ATS230" s="3297"/>
      <c r="ATT230" s="3297"/>
      <c r="ATU230" s="3297"/>
      <c r="ATV230" s="3297"/>
      <c r="ATW230" s="3297"/>
      <c r="ATX230" s="3297"/>
      <c r="ATY230" s="3297"/>
      <c r="ATZ230" s="3297"/>
      <c r="AUA230" s="3297"/>
      <c r="AUB230" s="3297"/>
      <c r="AUC230" s="3297"/>
      <c r="AUD230" s="3297"/>
      <c r="AUE230" s="3297"/>
      <c r="AUF230" s="3297"/>
      <c r="AUG230" s="3297"/>
      <c r="AUH230" s="3297"/>
      <c r="AUI230" s="3297"/>
      <c r="AUJ230" s="3297"/>
      <c r="AUK230" s="3297"/>
      <c r="AUL230" s="3297"/>
      <c r="AUM230" s="3297"/>
      <c r="AUN230" s="3297"/>
      <c r="AUO230" s="3297"/>
      <c r="AUP230" s="3297"/>
      <c r="AUQ230" s="3297"/>
      <c r="AUR230" s="3297"/>
      <c r="AUS230" s="3297"/>
      <c r="AUT230" s="3297"/>
      <c r="AUU230" s="3297"/>
      <c r="AUV230" s="3297"/>
      <c r="AUW230" s="3297"/>
      <c r="AUX230" s="3297"/>
      <c r="AUY230" s="3297"/>
      <c r="AUZ230" s="3297"/>
      <c r="AVA230" s="3297"/>
      <c r="AVB230" s="3297"/>
      <c r="AVC230" s="3297"/>
      <c r="AVD230" s="3297"/>
      <c r="AVE230" s="3297"/>
      <c r="AVF230" s="3297"/>
      <c r="AVG230" s="3297"/>
      <c r="AVH230" s="3297"/>
      <c r="AVI230" s="3297"/>
      <c r="AVJ230" s="3297"/>
      <c r="AVK230" s="3297"/>
      <c r="AVL230" s="3297"/>
      <c r="AVM230" s="3297"/>
      <c r="AVN230" s="3297"/>
      <c r="AVO230" s="3297"/>
      <c r="AVP230" s="3297"/>
      <c r="AVQ230" s="3297"/>
      <c r="AVR230" s="3297"/>
      <c r="AVS230" s="3297"/>
      <c r="AVT230" s="3297"/>
      <c r="AVU230" s="3297"/>
      <c r="AVV230" s="3297"/>
      <c r="AVW230" s="3297"/>
      <c r="AVX230" s="3297"/>
      <c r="AVY230" s="3297"/>
      <c r="AVZ230" s="3297"/>
      <c r="AWA230" s="3297"/>
      <c r="AWB230" s="3297"/>
      <c r="AWC230" s="3297"/>
      <c r="AWD230" s="3297"/>
      <c r="AWE230" s="3297"/>
      <c r="AWF230" s="3297"/>
      <c r="AWG230" s="3297"/>
      <c r="AWH230" s="3297"/>
      <c r="AWI230" s="3297"/>
      <c r="AWJ230" s="3297"/>
      <c r="AWK230" s="3297"/>
      <c r="AWL230" s="3297"/>
      <c r="AWM230" s="3297"/>
      <c r="AWN230" s="3297"/>
      <c r="AWO230" s="3297"/>
      <c r="AWP230" s="3297"/>
      <c r="AWQ230" s="3297"/>
      <c r="AWR230" s="3297"/>
      <c r="AWS230" s="3297"/>
      <c r="AWT230" s="3297"/>
      <c r="AWU230" s="3297"/>
      <c r="AWV230" s="3297"/>
      <c r="AWW230" s="3297"/>
      <c r="AWX230" s="3297"/>
      <c r="AWY230" s="3297"/>
      <c r="AWZ230" s="3297"/>
      <c r="AXA230" s="3297"/>
      <c r="AXB230" s="3297"/>
      <c r="AXC230" s="3297"/>
      <c r="AXD230" s="3297"/>
      <c r="AXE230" s="3297"/>
      <c r="AXF230" s="3297"/>
      <c r="AXG230" s="3297"/>
      <c r="AXH230" s="3297"/>
      <c r="AXI230" s="3297"/>
      <c r="AXJ230" s="3297"/>
    </row>
    <row r="231" spans="1:1310" s="3298" customFormat="1" ht="23.25" customHeight="1">
      <c r="A231" s="468"/>
      <c r="B231" s="6645" t="s">
        <v>3108</v>
      </c>
      <c r="C231" s="6645"/>
      <c r="D231" s="6645"/>
      <c r="E231" s="6645"/>
      <c r="F231" s="3300"/>
      <c r="G231" s="6645" t="s">
        <v>3109</v>
      </c>
      <c r="H231" s="6645"/>
      <c r="I231" s="6645"/>
      <c r="J231" s="3300"/>
      <c r="K231" s="6645" t="s">
        <v>3110</v>
      </c>
      <c r="L231" s="6645"/>
      <c r="M231" s="6645"/>
      <c r="N231" s="3300"/>
      <c r="O231" s="6645" t="s">
        <v>3111</v>
      </c>
      <c r="P231" s="6645"/>
      <c r="Q231" s="3300"/>
      <c r="R231" s="443"/>
      <c r="S231" s="443"/>
      <c r="T231" s="443"/>
      <c r="U231" s="443"/>
      <c r="V231" s="443"/>
      <c r="W231" s="443"/>
      <c r="X231" s="443"/>
      <c r="Y231" s="443"/>
      <c r="Z231" s="443"/>
      <c r="AA231" s="443"/>
      <c r="AB231" s="443"/>
      <c r="AC231" s="443"/>
      <c r="AD231" s="3297"/>
      <c r="AE231" s="3297"/>
      <c r="AF231" s="3297"/>
      <c r="AG231" s="3297"/>
      <c r="AH231" s="3297"/>
      <c r="AI231" s="3297"/>
      <c r="AJ231" s="3297"/>
      <c r="AK231" s="3297"/>
      <c r="AL231" s="3297"/>
      <c r="AM231" s="3297"/>
      <c r="AN231" s="3297"/>
      <c r="AO231" s="3297"/>
      <c r="AP231" s="3297"/>
      <c r="AQ231" s="3297"/>
      <c r="AR231" s="3297"/>
      <c r="AS231" s="3297"/>
      <c r="AT231" s="3297"/>
      <c r="AU231" s="3297"/>
      <c r="AV231" s="3297"/>
      <c r="AW231" s="3297"/>
      <c r="AX231" s="3297"/>
      <c r="AY231" s="3297"/>
      <c r="AZ231" s="3297"/>
      <c r="BA231" s="3297"/>
      <c r="BB231" s="3297"/>
      <c r="BC231" s="3297"/>
      <c r="BD231" s="3297"/>
      <c r="BE231" s="3297"/>
      <c r="BF231" s="3297"/>
      <c r="BG231" s="3297"/>
      <c r="BH231" s="3297"/>
      <c r="BI231" s="3297"/>
      <c r="BJ231" s="3297"/>
      <c r="BK231" s="3297"/>
      <c r="BL231" s="3297"/>
      <c r="BM231" s="3297"/>
      <c r="BN231" s="3297"/>
      <c r="BO231" s="3297"/>
      <c r="BP231" s="3297"/>
      <c r="BQ231" s="3297"/>
      <c r="BR231" s="3297"/>
      <c r="BS231" s="3297"/>
      <c r="BT231" s="3297"/>
      <c r="BU231" s="3297"/>
      <c r="BV231" s="3297"/>
      <c r="BW231" s="3297"/>
      <c r="BX231" s="3297"/>
      <c r="BY231" s="3297"/>
      <c r="BZ231" s="3297"/>
      <c r="CA231" s="3297"/>
      <c r="CB231" s="3297"/>
      <c r="CC231" s="3297"/>
      <c r="CD231" s="3297"/>
      <c r="CE231" s="3297"/>
      <c r="CF231" s="3297"/>
      <c r="CG231" s="3297"/>
      <c r="CH231" s="3297"/>
      <c r="CI231" s="3297"/>
      <c r="CJ231" s="3297"/>
      <c r="CK231" s="3297"/>
      <c r="CL231" s="3297"/>
      <c r="CM231" s="3297"/>
      <c r="CN231" s="3297"/>
      <c r="CO231" s="3297"/>
      <c r="CP231" s="3297"/>
      <c r="CQ231" s="3297"/>
      <c r="CR231" s="3297"/>
      <c r="CS231" s="3297"/>
      <c r="CT231" s="3297"/>
      <c r="CU231" s="3297"/>
      <c r="CV231" s="3297"/>
      <c r="CW231" s="3297"/>
      <c r="CX231" s="3297"/>
      <c r="CY231" s="3297"/>
      <c r="CZ231" s="3297"/>
      <c r="DA231" s="3297"/>
      <c r="DB231" s="3297"/>
      <c r="DC231" s="3297"/>
      <c r="DD231" s="3297"/>
      <c r="DE231" s="3297"/>
      <c r="DF231" s="3297"/>
      <c r="DG231" s="3297"/>
      <c r="DH231" s="3297"/>
      <c r="DI231" s="3297"/>
      <c r="DJ231" s="3297"/>
      <c r="DK231" s="3297"/>
      <c r="DL231" s="3297"/>
      <c r="DM231" s="3297"/>
      <c r="DN231" s="3297"/>
      <c r="DO231" s="3297"/>
      <c r="DP231" s="3297"/>
      <c r="DQ231" s="3297"/>
      <c r="DR231" s="3297"/>
      <c r="DS231" s="3297"/>
      <c r="DT231" s="3297"/>
      <c r="DU231" s="3297"/>
      <c r="DV231" s="3297"/>
      <c r="DW231" s="3297"/>
      <c r="DX231" s="3297"/>
      <c r="DY231" s="3297"/>
      <c r="DZ231" s="3297"/>
      <c r="EA231" s="3297"/>
      <c r="EB231" s="3297"/>
      <c r="EC231" s="3297"/>
      <c r="ED231" s="3297"/>
      <c r="EE231" s="3297"/>
      <c r="EF231" s="3297"/>
      <c r="EG231" s="3297"/>
      <c r="EH231" s="3297"/>
      <c r="EI231" s="3297"/>
      <c r="EJ231" s="3297"/>
      <c r="EK231" s="3297"/>
      <c r="EL231" s="3297"/>
      <c r="EM231" s="3297"/>
      <c r="EN231" s="3297"/>
      <c r="EO231" s="3297"/>
      <c r="EP231" s="3297"/>
      <c r="EQ231" s="3297"/>
      <c r="ER231" s="3297"/>
      <c r="ES231" s="3297"/>
      <c r="ET231" s="3297"/>
      <c r="EU231" s="3297"/>
      <c r="EV231" s="3297"/>
      <c r="EW231" s="3297"/>
      <c r="EX231" s="3297"/>
      <c r="EY231" s="3297"/>
      <c r="EZ231" s="3297"/>
      <c r="FA231" s="3297"/>
      <c r="FB231" s="3297"/>
      <c r="FC231" s="3297"/>
      <c r="FD231" s="3297"/>
      <c r="FE231" s="3297"/>
      <c r="FF231" s="3297"/>
      <c r="FG231" s="3297"/>
      <c r="FH231" s="3297"/>
      <c r="FI231" s="3297"/>
      <c r="FJ231" s="3297"/>
      <c r="FK231" s="3297"/>
      <c r="FL231" s="3297"/>
      <c r="FM231" s="3297"/>
      <c r="FN231" s="3297"/>
      <c r="FO231" s="3297"/>
      <c r="FP231" s="3297"/>
      <c r="FQ231" s="3297"/>
      <c r="FR231" s="3297"/>
      <c r="FS231" s="3297"/>
      <c r="FT231" s="3297"/>
      <c r="FU231" s="3297"/>
      <c r="FV231" s="3297"/>
      <c r="FW231" s="3297"/>
      <c r="FX231" s="3297"/>
      <c r="FY231" s="3297"/>
      <c r="FZ231" s="3297"/>
      <c r="GA231" s="3297"/>
      <c r="GB231" s="3297"/>
      <c r="GC231" s="3297"/>
      <c r="GD231" s="3297"/>
      <c r="GE231" s="3297"/>
      <c r="GF231" s="3297"/>
      <c r="GG231" s="3297"/>
      <c r="GH231" s="3297"/>
      <c r="GI231" s="3297"/>
      <c r="GJ231" s="3297"/>
      <c r="GK231" s="3297"/>
      <c r="GL231" s="3297"/>
      <c r="GM231" s="3297"/>
      <c r="GN231" s="3297"/>
      <c r="GO231" s="3297"/>
      <c r="GP231" s="3297"/>
      <c r="GQ231" s="3297"/>
      <c r="GR231" s="3297"/>
      <c r="GS231" s="3297"/>
      <c r="GT231" s="3297"/>
      <c r="GU231" s="3297"/>
      <c r="GV231" s="3297"/>
      <c r="GW231" s="3297"/>
      <c r="GX231" s="3297"/>
      <c r="GY231" s="3297"/>
      <c r="GZ231" s="3297"/>
      <c r="HA231" s="3297"/>
      <c r="HB231" s="3297"/>
      <c r="HC231" s="3297"/>
      <c r="HD231" s="3297"/>
      <c r="HE231" s="3297"/>
      <c r="HF231" s="3297"/>
      <c r="HG231" s="3297"/>
      <c r="HH231" s="3297"/>
      <c r="HI231" s="3297"/>
      <c r="HJ231" s="3297"/>
      <c r="HK231" s="3297"/>
      <c r="HL231" s="3297"/>
      <c r="HM231" s="3297"/>
      <c r="HN231" s="3297"/>
      <c r="HO231" s="3297"/>
      <c r="HP231" s="3297"/>
      <c r="HQ231" s="3297"/>
      <c r="HR231" s="3297"/>
      <c r="HS231" s="3297"/>
      <c r="HT231" s="3297"/>
      <c r="HU231" s="3297"/>
      <c r="HV231" s="3297"/>
      <c r="HW231" s="3297"/>
      <c r="HX231" s="3297"/>
      <c r="HY231" s="3297"/>
      <c r="HZ231" s="3297"/>
      <c r="IA231" s="3297"/>
      <c r="IB231" s="3297"/>
      <c r="IC231" s="3297"/>
      <c r="ID231" s="3297"/>
      <c r="IE231" s="3297"/>
      <c r="IF231" s="3297"/>
      <c r="IG231" s="3297"/>
      <c r="IH231" s="3297"/>
      <c r="II231" s="3297"/>
      <c r="IJ231" s="3297"/>
      <c r="IK231" s="3297"/>
      <c r="IL231" s="3297"/>
      <c r="IM231" s="3297"/>
      <c r="IN231" s="3297"/>
      <c r="IO231" s="3297"/>
      <c r="IP231" s="3297"/>
      <c r="IQ231" s="3297"/>
      <c r="IR231" s="3297"/>
      <c r="IS231" s="3297"/>
      <c r="IT231" s="3297"/>
      <c r="IU231" s="3297"/>
      <c r="IV231" s="3297"/>
      <c r="IW231" s="3297"/>
      <c r="IX231" s="3297"/>
      <c r="IY231" s="3297"/>
      <c r="IZ231" s="3297"/>
      <c r="JA231" s="3297"/>
      <c r="JB231" s="3297"/>
      <c r="JC231" s="3297"/>
      <c r="JD231" s="3297"/>
      <c r="JE231" s="3297"/>
      <c r="JF231" s="3297"/>
      <c r="JG231" s="3297"/>
      <c r="JH231" s="3297"/>
      <c r="JI231" s="3297"/>
      <c r="JJ231" s="3297"/>
      <c r="JK231" s="3297"/>
      <c r="JL231" s="3297"/>
      <c r="JM231" s="3297"/>
      <c r="JN231" s="3297"/>
      <c r="JO231" s="3297"/>
      <c r="JP231" s="3297"/>
      <c r="JQ231" s="3297"/>
      <c r="JR231" s="3297"/>
      <c r="JS231" s="3297"/>
      <c r="JT231" s="3297"/>
      <c r="JU231" s="3297"/>
      <c r="JV231" s="3297"/>
      <c r="JW231" s="3297"/>
      <c r="JX231" s="3297"/>
      <c r="JY231" s="3297"/>
      <c r="JZ231" s="3297"/>
      <c r="KA231" s="3297"/>
      <c r="KB231" s="3297"/>
      <c r="KC231" s="3297"/>
      <c r="KD231" s="3297"/>
      <c r="KE231" s="3297"/>
      <c r="KF231" s="3297"/>
      <c r="KG231" s="3297"/>
      <c r="KH231" s="3297"/>
      <c r="KI231" s="3297"/>
      <c r="KJ231" s="3297"/>
      <c r="KK231" s="3297"/>
      <c r="KL231" s="3297"/>
      <c r="KM231" s="3297"/>
      <c r="KN231" s="3297"/>
      <c r="KO231" s="3297"/>
      <c r="KP231" s="3297"/>
      <c r="KQ231" s="3297"/>
      <c r="KR231" s="3297"/>
      <c r="KS231" s="3297"/>
      <c r="KT231" s="3297"/>
      <c r="KU231" s="3297"/>
      <c r="KV231" s="3297"/>
      <c r="KW231" s="3297"/>
      <c r="KX231" s="3297"/>
      <c r="KY231" s="3297"/>
      <c r="KZ231" s="3297"/>
      <c r="LA231" s="3297"/>
      <c r="LB231" s="3297"/>
      <c r="LC231" s="3297"/>
      <c r="LD231" s="3297"/>
      <c r="LE231" s="3297"/>
      <c r="LF231" s="3297"/>
      <c r="LG231" s="3297"/>
      <c r="LH231" s="3297"/>
      <c r="LI231" s="3297"/>
      <c r="LJ231" s="3297"/>
      <c r="LK231" s="3297"/>
      <c r="LL231" s="3297"/>
      <c r="LM231" s="3297"/>
      <c r="LN231" s="3297"/>
      <c r="LO231" s="3297"/>
      <c r="LP231" s="3297"/>
      <c r="LQ231" s="3297"/>
      <c r="LR231" s="3297"/>
      <c r="LS231" s="3297"/>
      <c r="LT231" s="3297"/>
      <c r="LU231" s="3297"/>
      <c r="LV231" s="3297"/>
      <c r="LW231" s="3297"/>
      <c r="LX231" s="3297"/>
      <c r="LY231" s="3297"/>
      <c r="LZ231" s="3297"/>
      <c r="MA231" s="3297"/>
      <c r="MB231" s="3297"/>
      <c r="MC231" s="3297"/>
      <c r="MD231" s="3297"/>
      <c r="ME231" s="3297"/>
      <c r="MF231" s="3297"/>
      <c r="MG231" s="3297"/>
      <c r="MH231" s="3297"/>
      <c r="MI231" s="3297"/>
      <c r="MJ231" s="3297"/>
      <c r="MK231" s="3297"/>
      <c r="ML231" s="3297"/>
      <c r="MM231" s="3297"/>
      <c r="MN231" s="3297"/>
      <c r="MO231" s="3297"/>
      <c r="MP231" s="3297"/>
      <c r="MQ231" s="3297"/>
      <c r="MR231" s="3297"/>
      <c r="MS231" s="3297"/>
      <c r="MT231" s="3297"/>
      <c r="MU231" s="3297"/>
      <c r="MV231" s="3297"/>
      <c r="MW231" s="3297"/>
      <c r="MX231" s="3297"/>
      <c r="MY231" s="3297"/>
      <c r="MZ231" s="3297"/>
      <c r="NA231" s="3297"/>
      <c r="NB231" s="3297"/>
      <c r="NC231" s="3297"/>
      <c r="ND231" s="3297"/>
      <c r="NE231" s="3297"/>
      <c r="NF231" s="3297"/>
      <c r="NG231" s="3297"/>
      <c r="NH231" s="3297"/>
      <c r="NI231" s="3297"/>
      <c r="NJ231" s="3297"/>
      <c r="NK231" s="3297"/>
      <c r="NL231" s="3297"/>
      <c r="NM231" s="3297"/>
      <c r="NN231" s="3297"/>
      <c r="NO231" s="3297"/>
      <c r="NP231" s="3297"/>
      <c r="NQ231" s="3297"/>
      <c r="NR231" s="3297"/>
      <c r="NS231" s="3297"/>
      <c r="NT231" s="3297"/>
      <c r="NU231" s="3297"/>
      <c r="NV231" s="3297"/>
      <c r="NW231" s="3297"/>
      <c r="NX231" s="3297"/>
      <c r="NY231" s="3297"/>
      <c r="NZ231" s="3297"/>
      <c r="OA231" s="3297"/>
      <c r="OB231" s="3297"/>
      <c r="OC231" s="3297"/>
      <c r="OD231" s="3297"/>
      <c r="OE231" s="3297"/>
      <c r="OF231" s="3297"/>
      <c r="OG231" s="3297"/>
      <c r="OH231" s="3297"/>
      <c r="OI231" s="3297"/>
      <c r="OJ231" s="3297"/>
      <c r="OK231" s="3297"/>
      <c r="OL231" s="3297"/>
      <c r="OM231" s="3297"/>
      <c r="ON231" s="3297"/>
      <c r="OO231" s="3297"/>
      <c r="OP231" s="3297"/>
      <c r="OQ231" s="3297"/>
      <c r="OR231" s="3297"/>
      <c r="OS231" s="3297"/>
      <c r="OT231" s="3297"/>
      <c r="OU231" s="3297"/>
      <c r="OV231" s="3297"/>
      <c r="OW231" s="3297"/>
      <c r="OX231" s="3297"/>
      <c r="OY231" s="3297"/>
      <c r="OZ231" s="3297"/>
      <c r="PA231" s="3297"/>
      <c r="PB231" s="3297"/>
      <c r="PC231" s="3297"/>
      <c r="PD231" s="3297"/>
      <c r="PE231" s="3297"/>
      <c r="PF231" s="3297"/>
      <c r="PG231" s="3297"/>
      <c r="PH231" s="3297"/>
      <c r="PI231" s="3297"/>
      <c r="PJ231" s="3297"/>
      <c r="PK231" s="3297"/>
      <c r="PL231" s="3297"/>
      <c r="PM231" s="3297"/>
      <c r="PN231" s="3297"/>
      <c r="PO231" s="3297"/>
      <c r="PP231" s="3297"/>
      <c r="PQ231" s="3297"/>
      <c r="PR231" s="3297"/>
      <c r="PS231" s="3297"/>
      <c r="PT231" s="3297"/>
      <c r="PU231" s="3297"/>
      <c r="PV231" s="3297"/>
      <c r="PW231" s="3297"/>
      <c r="PX231" s="3297"/>
      <c r="PY231" s="3297"/>
      <c r="PZ231" s="3297"/>
      <c r="QA231" s="3297"/>
      <c r="QB231" s="3297"/>
      <c r="QC231" s="3297"/>
      <c r="QD231" s="3297"/>
      <c r="QE231" s="3297"/>
      <c r="QF231" s="3297"/>
      <c r="QG231" s="3297"/>
      <c r="QH231" s="3297"/>
      <c r="QI231" s="3297"/>
      <c r="QJ231" s="3297"/>
      <c r="QK231" s="3297"/>
      <c r="QL231" s="3297"/>
      <c r="QM231" s="3297"/>
      <c r="QN231" s="3297"/>
      <c r="QO231" s="3297"/>
      <c r="QP231" s="3297"/>
      <c r="QQ231" s="3297"/>
      <c r="QR231" s="3297"/>
      <c r="QS231" s="3297"/>
      <c r="QT231" s="3297"/>
      <c r="QU231" s="3297"/>
      <c r="QV231" s="3297"/>
      <c r="QW231" s="3297"/>
      <c r="QX231" s="3297"/>
      <c r="QY231" s="3297"/>
      <c r="QZ231" s="3297"/>
      <c r="RA231" s="3297"/>
      <c r="RB231" s="3297"/>
      <c r="RC231" s="3297"/>
      <c r="RD231" s="3297"/>
      <c r="RE231" s="3297"/>
      <c r="RF231" s="3297"/>
      <c r="RG231" s="3297"/>
      <c r="RH231" s="3297"/>
      <c r="RI231" s="3297"/>
      <c r="RJ231" s="3297"/>
      <c r="RK231" s="3297"/>
      <c r="RL231" s="3297"/>
      <c r="RM231" s="3297"/>
      <c r="RN231" s="3297"/>
      <c r="RO231" s="3297"/>
      <c r="RP231" s="3297"/>
      <c r="RQ231" s="3297"/>
      <c r="RR231" s="3297"/>
      <c r="RS231" s="3297"/>
      <c r="RT231" s="3297"/>
      <c r="RU231" s="3297"/>
      <c r="RV231" s="3297"/>
      <c r="RW231" s="3297"/>
      <c r="RX231" s="3297"/>
      <c r="RY231" s="3297"/>
      <c r="RZ231" s="3297"/>
      <c r="SA231" s="3297"/>
      <c r="SB231" s="3297"/>
      <c r="SC231" s="3297"/>
      <c r="SD231" s="3297"/>
      <c r="SE231" s="3297"/>
      <c r="SF231" s="3297"/>
      <c r="SG231" s="3297"/>
      <c r="SH231" s="3297"/>
      <c r="SI231" s="3297"/>
      <c r="SJ231" s="3297"/>
      <c r="SK231" s="3297"/>
      <c r="SL231" s="3297"/>
      <c r="SM231" s="3297"/>
      <c r="SN231" s="3297"/>
      <c r="SO231" s="3297"/>
      <c r="SP231" s="3297"/>
      <c r="SQ231" s="3297"/>
      <c r="SR231" s="3297"/>
      <c r="SS231" s="3297"/>
      <c r="ST231" s="3297"/>
      <c r="SU231" s="3297"/>
      <c r="SV231" s="3297"/>
      <c r="SW231" s="3297"/>
      <c r="SX231" s="3297"/>
      <c r="SY231" s="3297"/>
      <c r="SZ231" s="3297"/>
      <c r="TA231" s="3297"/>
      <c r="TB231" s="3297"/>
      <c r="TC231" s="3297"/>
      <c r="TD231" s="3297"/>
      <c r="TE231" s="3297"/>
      <c r="TF231" s="3297"/>
      <c r="TG231" s="3297"/>
      <c r="TH231" s="3297"/>
      <c r="TI231" s="3297"/>
      <c r="TJ231" s="3297"/>
      <c r="TK231" s="3297"/>
      <c r="TL231" s="3297"/>
      <c r="TM231" s="3297"/>
      <c r="TN231" s="3297"/>
      <c r="TO231" s="3297"/>
      <c r="TP231" s="3297"/>
      <c r="TQ231" s="3297"/>
      <c r="TR231" s="3297"/>
      <c r="TS231" s="3297"/>
      <c r="TT231" s="3297"/>
      <c r="TU231" s="3297"/>
      <c r="TV231" s="3297"/>
      <c r="TW231" s="3297"/>
      <c r="TX231" s="3297"/>
      <c r="TY231" s="3297"/>
      <c r="TZ231" s="3297"/>
      <c r="UA231" s="3297"/>
      <c r="UB231" s="3297"/>
      <c r="UC231" s="3297"/>
      <c r="UD231" s="3297"/>
      <c r="UE231" s="3297"/>
      <c r="UF231" s="3297"/>
      <c r="UG231" s="3297"/>
      <c r="UH231" s="3297"/>
      <c r="UI231" s="3297"/>
      <c r="UJ231" s="3297"/>
      <c r="UK231" s="3297"/>
      <c r="UL231" s="3297"/>
      <c r="UM231" s="3297"/>
      <c r="UN231" s="3297"/>
      <c r="UO231" s="3297"/>
      <c r="UP231" s="3297"/>
      <c r="UQ231" s="3297"/>
      <c r="UR231" s="3297"/>
      <c r="US231" s="3297"/>
      <c r="UT231" s="3297"/>
      <c r="UU231" s="3297"/>
      <c r="UV231" s="3297"/>
      <c r="UW231" s="3297"/>
      <c r="UX231" s="3297"/>
      <c r="UY231" s="3297"/>
      <c r="UZ231" s="3297"/>
      <c r="VA231" s="3297"/>
      <c r="VB231" s="3297"/>
      <c r="VC231" s="3297"/>
      <c r="VD231" s="3297"/>
      <c r="VE231" s="3297"/>
      <c r="VF231" s="3297"/>
      <c r="VG231" s="3297"/>
      <c r="VH231" s="3297"/>
      <c r="VI231" s="3297"/>
      <c r="VJ231" s="3297"/>
      <c r="VK231" s="3297"/>
      <c r="VL231" s="3297"/>
      <c r="VM231" s="3297"/>
      <c r="VN231" s="3297"/>
      <c r="VO231" s="3297"/>
      <c r="VP231" s="3297"/>
      <c r="VQ231" s="3297"/>
      <c r="VR231" s="3297"/>
      <c r="VS231" s="3297"/>
      <c r="VT231" s="3297"/>
      <c r="VU231" s="3297"/>
      <c r="VV231" s="3297"/>
      <c r="VW231" s="3297"/>
      <c r="VX231" s="3297"/>
      <c r="VY231" s="3297"/>
      <c r="VZ231" s="3297"/>
      <c r="WA231" s="3297"/>
      <c r="WB231" s="3297"/>
      <c r="WC231" s="3297"/>
      <c r="WD231" s="3297"/>
      <c r="WE231" s="3297"/>
      <c r="WF231" s="3297"/>
      <c r="WG231" s="3297"/>
      <c r="WH231" s="3297"/>
      <c r="WI231" s="3297"/>
      <c r="WJ231" s="3297"/>
      <c r="WK231" s="3297"/>
      <c r="WL231" s="3297"/>
      <c r="WM231" s="3297"/>
      <c r="WN231" s="3297"/>
      <c r="WO231" s="3297"/>
      <c r="WP231" s="3297"/>
      <c r="WQ231" s="3297"/>
      <c r="WR231" s="3297"/>
      <c r="WS231" s="3297"/>
      <c r="WT231" s="3297"/>
      <c r="WU231" s="3297"/>
      <c r="WV231" s="3297"/>
      <c r="WW231" s="3297"/>
      <c r="WX231" s="3297"/>
      <c r="WY231" s="3297"/>
      <c r="WZ231" s="3297"/>
      <c r="XA231" s="3297"/>
      <c r="XB231" s="3297"/>
      <c r="XC231" s="3297"/>
      <c r="XD231" s="3297"/>
      <c r="XE231" s="3297"/>
      <c r="XF231" s="3297"/>
      <c r="XG231" s="3297"/>
      <c r="XH231" s="3297"/>
      <c r="XI231" s="3297"/>
      <c r="XJ231" s="3297"/>
      <c r="XK231" s="3297"/>
      <c r="XL231" s="3297"/>
      <c r="XM231" s="3297"/>
      <c r="XN231" s="3297"/>
      <c r="XO231" s="3297"/>
      <c r="XP231" s="3297"/>
      <c r="XQ231" s="3297"/>
      <c r="XR231" s="3297"/>
      <c r="XS231" s="3297"/>
      <c r="XT231" s="3297"/>
      <c r="XU231" s="3297"/>
      <c r="XV231" s="3297"/>
      <c r="XW231" s="3297"/>
      <c r="XX231" s="3297"/>
      <c r="XY231" s="3297"/>
      <c r="XZ231" s="3297"/>
      <c r="YA231" s="3297"/>
      <c r="YB231" s="3297"/>
      <c r="YC231" s="3297"/>
      <c r="YD231" s="3297"/>
      <c r="YE231" s="3297"/>
      <c r="YF231" s="3297"/>
      <c r="YG231" s="3297"/>
      <c r="YH231" s="3297"/>
      <c r="YI231" s="3297"/>
      <c r="YJ231" s="3297"/>
      <c r="YK231" s="3297"/>
      <c r="YL231" s="3297"/>
      <c r="YM231" s="3297"/>
      <c r="YN231" s="3297"/>
      <c r="YO231" s="3297"/>
      <c r="YP231" s="3297"/>
      <c r="YQ231" s="3297"/>
      <c r="YR231" s="3297"/>
      <c r="YS231" s="3297"/>
      <c r="YT231" s="3297"/>
      <c r="YU231" s="3297"/>
      <c r="YV231" s="3297"/>
      <c r="YW231" s="3297"/>
      <c r="YX231" s="3297"/>
      <c r="YY231" s="3297"/>
      <c r="YZ231" s="3297"/>
      <c r="ZA231" s="3297"/>
      <c r="ZB231" s="3297"/>
      <c r="ZC231" s="3297"/>
      <c r="ZD231" s="3297"/>
      <c r="ZE231" s="3297"/>
      <c r="ZF231" s="3297"/>
      <c r="ZG231" s="3297"/>
      <c r="ZH231" s="3297"/>
      <c r="ZI231" s="3297"/>
      <c r="ZJ231" s="3297"/>
      <c r="ZK231" s="3297"/>
      <c r="ZL231" s="3297"/>
      <c r="ZM231" s="3297"/>
      <c r="ZN231" s="3297"/>
      <c r="ZO231" s="3297"/>
      <c r="ZP231" s="3297"/>
      <c r="ZQ231" s="3297"/>
      <c r="ZR231" s="3297"/>
      <c r="ZS231" s="3297"/>
      <c r="ZT231" s="3297"/>
      <c r="ZU231" s="3297"/>
      <c r="ZV231" s="3297"/>
      <c r="ZW231" s="3297"/>
      <c r="ZX231" s="3297"/>
      <c r="ZY231" s="3297"/>
      <c r="ZZ231" s="3297"/>
      <c r="AAA231" s="3297"/>
      <c r="AAB231" s="3297"/>
      <c r="AAC231" s="3297"/>
      <c r="AAD231" s="3297"/>
      <c r="AAE231" s="3297"/>
      <c r="AAF231" s="3297"/>
      <c r="AAG231" s="3297"/>
      <c r="AAH231" s="3297"/>
      <c r="AAI231" s="3297"/>
      <c r="AAJ231" s="3297"/>
      <c r="AAK231" s="3297"/>
      <c r="AAL231" s="3297"/>
      <c r="AAM231" s="3297"/>
      <c r="AAN231" s="3297"/>
      <c r="AAO231" s="3297"/>
      <c r="AAP231" s="3297"/>
      <c r="AAQ231" s="3297"/>
      <c r="AAR231" s="3297"/>
      <c r="AAS231" s="3297"/>
      <c r="AAT231" s="3297"/>
      <c r="AAU231" s="3297"/>
      <c r="AAV231" s="3297"/>
      <c r="AAW231" s="3297"/>
      <c r="AAX231" s="3297"/>
      <c r="AAY231" s="3297"/>
      <c r="AAZ231" s="3297"/>
      <c r="ABA231" s="3297"/>
      <c r="ABB231" s="3297"/>
      <c r="ABC231" s="3297"/>
      <c r="ABD231" s="3297"/>
      <c r="ABE231" s="3297"/>
      <c r="ABF231" s="3297"/>
      <c r="ABG231" s="3297"/>
      <c r="ABH231" s="3297"/>
      <c r="ABI231" s="3297"/>
      <c r="ABJ231" s="3297"/>
      <c r="ABK231" s="3297"/>
      <c r="ABL231" s="3297"/>
      <c r="ABM231" s="3297"/>
      <c r="ABN231" s="3297"/>
      <c r="ABO231" s="3297"/>
      <c r="ABP231" s="3297"/>
      <c r="ABQ231" s="3297"/>
      <c r="ABR231" s="3297"/>
      <c r="ABS231" s="3297"/>
      <c r="ABT231" s="3297"/>
      <c r="ABU231" s="3297"/>
      <c r="ABV231" s="3297"/>
      <c r="ABW231" s="3297"/>
      <c r="ABX231" s="3297"/>
      <c r="ABY231" s="3297"/>
      <c r="ABZ231" s="3297"/>
      <c r="ACA231" s="3297"/>
      <c r="ACB231" s="3297"/>
      <c r="ACC231" s="3297"/>
      <c r="ACD231" s="3297"/>
      <c r="ACE231" s="3297"/>
      <c r="ACF231" s="3297"/>
      <c r="ACG231" s="3297"/>
      <c r="ACH231" s="3297"/>
      <c r="ACI231" s="3297"/>
      <c r="ACJ231" s="3297"/>
      <c r="ACK231" s="3297"/>
      <c r="ACL231" s="3297"/>
      <c r="ACM231" s="3297"/>
      <c r="ACN231" s="3297"/>
      <c r="ACO231" s="3297"/>
      <c r="ACP231" s="3297"/>
      <c r="ACQ231" s="3297"/>
      <c r="ACR231" s="3297"/>
      <c r="ACS231" s="3297"/>
      <c r="ACT231" s="3297"/>
      <c r="ACU231" s="3297"/>
      <c r="ACV231" s="3297"/>
      <c r="ACW231" s="3297"/>
      <c r="ACX231" s="3297"/>
      <c r="ACY231" s="3297"/>
      <c r="ACZ231" s="3297"/>
      <c r="ADA231" s="3297"/>
      <c r="ADB231" s="3297"/>
      <c r="ADC231" s="3297"/>
      <c r="ADD231" s="3297"/>
      <c r="ADE231" s="3297"/>
      <c r="ADF231" s="3297"/>
      <c r="ADG231" s="3297"/>
      <c r="ADH231" s="3297"/>
      <c r="ADI231" s="3297"/>
      <c r="ADJ231" s="3297"/>
      <c r="ADK231" s="3297"/>
      <c r="ADL231" s="3297"/>
      <c r="ADM231" s="3297"/>
      <c r="ADN231" s="3297"/>
      <c r="ADO231" s="3297"/>
      <c r="ADP231" s="3297"/>
      <c r="ADQ231" s="3297"/>
      <c r="ADR231" s="3297"/>
      <c r="ADS231" s="3297"/>
      <c r="ADT231" s="3297"/>
      <c r="ADU231" s="3297"/>
      <c r="ADV231" s="3297"/>
      <c r="ADW231" s="3297"/>
      <c r="ADX231" s="3297"/>
      <c r="ADY231" s="3297"/>
      <c r="ADZ231" s="3297"/>
      <c r="AEA231" s="3297"/>
      <c r="AEB231" s="3297"/>
      <c r="AEC231" s="3297"/>
      <c r="AED231" s="3297"/>
      <c r="AEE231" s="3297"/>
      <c r="AEF231" s="3297"/>
      <c r="AEG231" s="3297"/>
      <c r="AEH231" s="3297"/>
      <c r="AEI231" s="3297"/>
      <c r="AEJ231" s="3297"/>
      <c r="AEK231" s="3297"/>
      <c r="AEL231" s="3297"/>
      <c r="AEM231" s="3297"/>
      <c r="AEN231" s="3297"/>
      <c r="AEO231" s="3297"/>
      <c r="AEP231" s="3297"/>
      <c r="AEQ231" s="3297"/>
      <c r="AER231" s="3297"/>
      <c r="AES231" s="3297"/>
      <c r="AET231" s="3297"/>
      <c r="AEU231" s="3297"/>
      <c r="AEV231" s="3297"/>
      <c r="AEW231" s="3297"/>
      <c r="AEX231" s="3297"/>
      <c r="AEY231" s="3297"/>
      <c r="AEZ231" s="3297"/>
      <c r="AFA231" s="3297"/>
      <c r="AFB231" s="3297"/>
      <c r="AFC231" s="3297"/>
      <c r="AFD231" s="3297"/>
      <c r="AFE231" s="3297"/>
      <c r="AFF231" s="3297"/>
      <c r="AFG231" s="3297"/>
      <c r="AFH231" s="3297"/>
      <c r="AFI231" s="3297"/>
      <c r="AFJ231" s="3297"/>
      <c r="AFK231" s="3297"/>
      <c r="AFL231" s="3297"/>
      <c r="AFM231" s="3297"/>
      <c r="AFN231" s="3297"/>
      <c r="AFO231" s="3297"/>
      <c r="AFP231" s="3297"/>
      <c r="AFQ231" s="3297"/>
      <c r="AFR231" s="3297"/>
      <c r="AFS231" s="3297"/>
      <c r="AFT231" s="3297"/>
      <c r="AFU231" s="3297"/>
      <c r="AFV231" s="3297"/>
      <c r="AFW231" s="3297"/>
      <c r="AFX231" s="3297"/>
      <c r="AFY231" s="3297"/>
      <c r="AFZ231" s="3297"/>
      <c r="AGA231" s="3297"/>
      <c r="AGB231" s="3297"/>
      <c r="AGC231" s="3297"/>
      <c r="AGD231" s="3297"/>
      <c r="AGE231" s="3297"/>
      <c r="AGF231" s="3297"/>
      <c r="AGG231" s="3297"/>
      <c r="AGH231" s="3297"/>
      <c r="AGI231" s="3297"/>
      <c r="AGJ231" s="3297"/>
      <c r="AGK231" s="3297"/>
      <c r="AGL231" s="3297"/>
      <c r="AGM231" s="3297"/>
      <c r="AGN231" s="3297"/>
      <c r="AGO231" s="3297"/>
      <c r="AGP231" s="3297"/>
      <c r="AGQ231" s="3297"/>
      <c r="AGR231" s="3297"/>
      <c r="AGS231" s="3297"/>
      <c r="AGT231" s="3297"/>
      <c r="AGU231" s="3297"/>
      <c r="AGV231" s="3297"/>
      <c r="AGW231" s="3297"/>
      <c r="AGX231" s="3297"/>
      <c r="AGY231" s="3297"/>
      <c r="AGZ231" s="3297"/>
      <c r="AHA231" s="3297"/>
      <c r="AHB231" s="3297"/>
      <c r="AHC231" s="3297"/>
      <c r="AHD231" s="3297"/>
      <c r="AHE231" s="3297"/>
      <c r="AHF231" s="3297"/>
      <c r="AHG231" s="3297"/>
      <c r="AHH231" s="3297"/>
      <c r="AHI231" s="3297"/>
      <c r="AHJ231" s="3297"/>
      <c r="AHK231" s="3297"/>
      <c r="AHL231" s="3297"/>
      <c r="AHM231" s="3297"/>
      <c r="AHN231" s="3297"/>
      <c r="AHO231" s="3297"/>
      <c r="AHP231" s="3297"/>
      <c r="AHQ231" s="3297"/>
      <c r="AHR231" s="3297"/>
      <c r="AHS231" s="3297"/>
      <c r="AHT231" s="3297"/>
      <c r="AHU231" s="3297"/>
      <c r="AHV231" s="3297"/>
      <c r="AHW231" s="3297"/>
      <c r="AHX231" s="3297"/>
      <c r="AHY231" s="3297"/>
      <c r="AHZ231" s="3297"/>
      <c r="AIA231" s="3297"/>
      <c r="AIB231" s="3297"/>
      <c r="AIC231" s="3297"/>
      <c r="AID231" s="3297"/>
      <c r="AIE231" s="3297"/>
      <c r="AIF231" s="3297"/>
      <c r="AIG231" s="3297"/>
      <c r="AIH231" s="3297"/>
      <c r="AII231" s="3297"/>
      <c r="AIJ231" s="3297"/>
      <c r="AIK231" s="3297"/>
      <c r="AIL231" s="3297"/>
      <c r="AIM231" s="3297"/>
      <c r="AIN231" s="3297"/>
      <c r="AIO231" s="3297"/>
      <c r="AIP231" s="3297"/>
      <c r="AIQ231" s="3297"/>
      <c r="AIR231" s="3297"/>
      <c r="AIS231" s="3297"/>
      <c r="AIT231" s="3297"/>
      <c r="AIU231" s="3297"/>
      <c r="AIV231" s="3297"/>
      <c r="AIW231" s="3297"/>
      <c r="AIX231" s="3297"/>
      <c r="AIY231" s="3297"/>
      <c r="AIZ231" s="3297"/>
      <c r="AJA231" s="3297"/>
      <c r="AJB231" s="3297"/>
      <c r="AJC231" s="3297"/>
      <c r="AJD231" s="3297"/>
      <c r="AJE231" s="3297"/>
      <c r="AJF231" s="3297"/>
      <c r="AJG231" s="3297"/>
      <c r="AJH231" s="3297"/>
      <c r="AJI231" s="3297"/>
      <c r="AJJ231" s="3297"/>
      <c r="AJK231" s="3297"/>
      <c r="AJL231" s="3297"/>
      <c r="AJM231" s="3297"/>
      <c r="AJN231" s="3297"/>
      <c r="AJO231" s="3297"/>
      <c r="AJP231" s="3297"/>
      <c r="AJQ231" s="3297"/>
      <c r="AJR231" s="3297"/>
      <c r="AJS231" s="3297"/>
      <c r="AJT231" s="3297"/>
      <c r="AJU231" s="3297"/>
      <c r="AJV231" s="3297"/>
      <c r="AJW231" s="3297"/>
      <c r="AJX231" s="3297"/>
      <c r="AJY231" s="3297"/>
      <c r="AJZ231" s="3297"/>
      <c r="AKA231" s="3297"/>
      <c r="AKB231" s="3297"/>
      <c r="AKC231" s="3297"/>
      <c r="AKD231" s="3297"/>
      <c r="AKE231" s="3297"/>
      <c r="AKF231" s="3297"/>
      <c r="AKG231" s="3297"/>
      <c r="AKH231" s="3297"/>
      <c r="AKI231" s="3297"/>
      <c r="AKJ231" s="3297"/>
      <c r="AKK231" s="3297"/>
      <c r="AKL231" s="3297"/>
      <c r="AKM231" s="3297"/>
      <c r="AKN231" s="3297"/>
      <c r="AKO231" s="3297"/>
      <c r="AKP231" s="3297"/>
      <c r="AKQ231" s="3297"/>
      <c r="AKR231" s="3297"/>
      <c r="AKS231" s="3297"/>
      <c r="AKT231" s="3297"/>
      <c r="AKU231" s="3297"/>
      <c r="AKV231" s="3297"/>
      <c r="AKW231" s="3297"/>
      <c r="AKX231" s="3297"/>
      <c r="AKY231" s="3297"/>
      <c r="AKZ231" s="3297"/>
      <c r="ALA231" s="3297"/>
      <c r="ALB231" s="3297"/>
      <c r="ALC231" s="3297"/>
      <c r="ALD231" s="3297"/>
      <c r="ALE231" s="3297"/>
      <c r="ALF231" s="3297"/>
      <c r="ALG231" s="3297"/>
      <c r="ALH231" s="3297"/>
      <c r="ALI231" s="3297"/>
      <c r="ALJ231" s="3297"/>
      <c r="ALK231" s="3297"/>
      <c r="ALL231" s="3297"/>
      <c r="ALM231" s="3297"/>
      <c r="ALN231" s="3297"/>
      <c r="ALO231" s="3297"/>
      <c r="ALP231" s="3297"/>
      <c r="ALQ231" s="3297"/>
      <c r="ALR231" s="3297"/>
      <c r="ALS231" s="3297"/>
      <c r="ALT231" s="3297"/>
      <c r="ALU231" s="3297"/>
      <c r="ALV231" s="3297"/>
      <c r="ALW231" s="3297"/>
      <c r="ALX231" s="3297"/>
      <c r="ALY231" s="3297"/>
      <c r="ALZ231" s="3297"/>
      <c r="AMA231" s="3297"/>
      <c r="AMB231" s="3297"/>
      <c r="AMC231" s="3297"/>
      <c r="AMD231" s="3297"/>
      <c r="AME231" s="3297"/>
      <c r="AMF231" s="3297"/>
      <c r="AMG231" s="3297"/>
      <c r="AMH231" s="3297"/>
      <c r="AMI231" s="3297"/>
      <c r="AMJ231" s="3297"/>
      <c r="AMK231" s="3297"/>
      <c r="AML231" s="3297"/>
      <c r="AMM231" s="3297"/>
      <c r="AMN231" s="3297"/>
      <c r="AMO231" s="3297"/>
      <c r="AMP231" s="3297"/>
      <c r="AMQ231" s="3297"/>
      <c r="AMR231" s="3297"/>
      <c r="AMS231" s="3297"/>
      <c r="AMT231" s="3297"/>
      <c r="AMU231" s="3297"/>
      <c r="AMV231" s="3297"/>
      <c r="AMW231" s="3297"/>
      <c r="AMX231" s="3297"/>
      <c r="AMY231" s="3297"/>
      <c r="AMZ231" s="3297"/>
      <c r="ANA231" s="3297"/>
      <c r="ANB231" s="3297"/>
      <c r="ANC231" s="3297"/>
      <c r="AND231" s="3297"/>
      <c r="ANE231" s="3297"/>
      <c r="ANF231" s="3297"/>
      <c r="ANG231" s="3297"/>
      <c r="ANH231" s="3297"/>
      <c r="ANI231" s="3297"/>
      <c r="ANJ231" s="3297"/>
      <c r="ANK231" s="3297"/>
      <c r="ANL231" s="3297"/>
      <c r="ANM231" s="3297"/>
      <c r="ANN231" s="3297"/>
      <c r="ANO231" s="3297"/>
      <c r="ANP231" s="3297"/>
      <c r="ANQ231" s="3297"/>
      <c r="ANR231" s="3297"/>
      <c r="ANS231" s="3297"/>
      <c r="ANT231" s="3297"/>
      <c r="ANU231" s="3297"/>
      <c r="ANV231" s="3297"/>
      <c r="ANW231" s="3297"/>
      <c r="ANX231" s="3297"/>
      <c r="ANY231" s="3297"/>
      <c r="ANZ231" s="3297"/>
      <c r="AOA231" s="3297"/>
      <c r="AOB231" s="3297"/>
      <c r="AOC231" s="3297"/>
      <c r="AOD231" s="3297"/>
      <c r="AOE231" s="3297"/>
      <c r="AOF231" s="3297"/>
      <c r="AOG231" s="3297"/>
      <c r="AOH231" s="3297"/>
      <c r="AOI231" s="3297"/>
      <c r="AOJ231" s="3297"/>
      <c r="AOK231" s="3297"/>
      <c r="AOL231" s="3297"/>
      <c r="AOM231" s="3297"/>
      <c r="AON231" s="3297"/>
      <c r="AOO231" s="3297"/>
      <c r="AOP231" s="3297"/>
      <c r="AOQ231" s="3297"/>
      <c r="AOR231" s="3297"/>
      <c r="AOS231" s="3297"/>
      <c r="AOT231" s="3297"/>
      <c r="AOU231" s="3297"/>
      <c r="AOV231" s="3297"/>
      <c r="AOW231" s="3297"/>
      <c r="AOX231" s="3297"/>
      <c r="AOY231" s="3297"/>
      <c r="AOZ231" s="3297"/>
      <c r="APA231" s="3297"/>
      <c r="APB231" s="3297"/>
      <c r="APC231" s="3297"/>
      <c r="APD231" s="3297"/>
      <c r="APE231" s="3297"/>
      <c r="APF231" s="3297"/>
      <c r="APG231" s="3297"/>
      <c r="APH231" s="3297"/>
      <c r="API231" s="3297"/>
      <c r="APJ231" s="3297"/>
      <c r="APK231" s="3297"/>
      <c r="APL231" s="3297"/>
      <c r="APM231" s="3297"/>
      <c r="APN231" s="3297"/>
      <c r="APO231" s="3297"/>
      <c r="APP231" s="3297"/>
      <c r="APQ231" s="3297"/>
      <c r="APR231" s="3297"/>
      <c r="APS231" s="3297"/>
      <c r="APT231" s="3297"/>
      <c r="APU231" s="3297"/>
      <c r="APV231" s="3297"/>
      <c r="APW231" s="3297"/>
      <c r="APX231" s="3297"/>
      <c r="APY231" s="3297"/>
      <c r="APZ231" s="3297"/>
      <c r="AQA231" s="3297"/>
      <c r="AQB231" s="3297"/>
      <c r="AQC231" s="3297"/>
      <c r="AQD231" s="3297"/>
      <c r="AQE231" s="3297"/>
      <c r="AQF231" s="3297"/>
      <c r="AQG231" s="3297"/>
      <c r="AQH231" s="3297"/>
      <c r="AQI231" s="3297"/>
      <c r="AQJ231" s="3297"/>
      <c r="AQK231" s="3297"/>
      <c r="AQL231" s="3297"/>
      <c r="AQM231" s="3297"/>
      <c r="AQN231" s="3297"/>
      <c r="AQO231" s="3297"/>
      <c r="AQP231" s="3297"/>
      <c r="AQQ231" s="3297"/>
      <c r="AQR231" s="3297"/>
      <c r="AQS231" s="3297"/>
      <c r="AQT231" s="3297"/>
      <c r="AQU231" s="3297"/>
      <c r="AQV231" s="3297"/>
      <c r="AQW231" s="3297"/>
      <c r="AQX231" s="3297"/>
      <c r="AQY231" s="3297"/>
      <c r="AQZ231" s="3297"/>
      <c r="ARA231" s="3297"/>
      <c r="ARB231" s="3297"/>
      <c r="ARC231" s="3297"/>
      <c r="ARD231" s="3297"/>
      <c r="ARE231" s="3297"/>
      <c r="ARF231" s="3297"/>
      <c r="ARG231" s="3297"/>
      <c r="ARH231" s="3297"/>
      <c r="ARI231" s="3297"/>
      <c r="ARJ231" s="3297"/>
      <c r="ARK231" s="3297"/>
      <c r="ARL231" s="3297"/>
      <c r="ARM231" s="3297"/>
      <c r="ARN231" s="3297"/>
      <c r="ARO231" s="3297"/>
      <c r="ARP231" s="3297"/>
      <c r="ARQ231" s="3297"/>
      <c r="ARR231" s="3297"/>
      <c r="ARS231" s="3297"/>
      <c r="ART231" s="3297"/>
      <c r="ARU231" s="3297"/>
      <c r="ARV231" s="3297"/>
      <c r="ARW231" s="3297"/>
      <c r="ARX231" s="3297"/>
      <c r="ARY231" s="3297"/>
      <c r="ARZ231" s="3297"/>
      <c r="ASA231" s="3297"/>
      <c r="ASB231" s="3297"/>
      <c r="ASC231" s="3297"/>
      <c r="ASD231" s="3297"/>
      <c r="ASE231" s="3297"/>
      <c r="ASF231" s="3297"/>
      <c r="ASG231" s="3297"/>
      <c r="ASH231" s="3297"/>
      <c r="ASI231" s="3297"/>
      <c r="ASJ231" s="3297"/>
      <c r="ASK231" s="3297"/>
      <c r="ASL231" s="3297"/>
      <c r="ASM231" s="3297"/>
      <c r="ASN231" s="3297"/>
      <c r="ASO231" s="3297"/>
      <c r="ASP231" s="3297"/>
      <c r="ASQ231" s="3297"/>
      <c r="ASR231" s="3297"/>
      <c r="ASS231" s="3297"/>
      <c r="AST231" s="3297"/>
      <c r="ASU231" s="3297"/>
      <c r="ASV231" s="3297"/>
      <c r="ASW231" s="3297"/>
      <c r="ASX231" s="3297"/>
      <c r="ASY231" s="3297"/>
      <c r="ASZ231" s="3297"/>
      <c r="ATA231" s="3297"/>
      <c r="ATB231" s="3297"/>
      <c r="ATC231" s="3297"/>
      <c r="ATD231" s="3297"/>
      <c r="ATE231" s="3297"/>
      <c r="ATF231" s="3297"/>
      <c r="ATG231" s="3297"/>
      <c r="ATH231" s="3297"/>
      <c r="ATI231" s="3297"/>
      <c r="ATJ231" s="3297"/>
      <c r="ATK231" s="3297"/>
      <c r="ATL231" s="3297"/>
      <c r="ATM231" s="3297"/>
      <c r="ATN231" s="3297"/>
      <c r="ATO231" s="3297"/>
      <c r="ATP231" s="3297"/>
      <c r="ATQ231" s="3297"/>
      <c r="ATR231" s="3297"/>
      <c r="ATS231" s="3297"/>
      <c r="ATT231" s="3297"/>
      <c r="ATU231" s="3297"/>
      <c r="ATV231" s="3297"/>
      <c r="ATW231" s="3297"/>
      <c r="ATX231" s="3297"/>
      <c r="ATY231" s="3297"/>
      <c r="ATZ231" s="3297"/>
      <c r="AUA231" s="3297"/>
      <c r="AUB231" s="3297"/>
      <c r="AUC231" s="3297"/>
      <c r="AUD231" s="3297"/>
      <c r="AUE231" s="3297"/>
      <c r="AUF231" s="3297"/>
      <c r="AUG231" s="3297"/>
      <c r="AUH231" s="3297"/>
      <c r="AUI231" s="3297"/>
      <c r="AUJ231" s="3297"/>
      <c r="AUK231" s="3297"/>
      <c r="AUL231" s="3297"/>
      <c r="AUM231" s="3297"/>
      <c r="AUN231" s="3297"/>
      <c r="AUO231" s="3297"/>
      <c r="AUP231" s="3297"/>
      <c r="AUQ231" s="3297"/>
      <c r="AUR231" s="3297"/>
      <c r="AUS231" s="3297"/>
      <c r="AUT231" s="3297"/>
      <c r="AUU231" s="3297"/>
      <c r="AUV231" s="3297"/>
      <c r="AUW231" s="3297"/>
      <c r="AUX231" s="3297"/>
      <c r="AUY231" s="3297"/>
      <c r="AUZ231" s="3297"/>
      <c r="AVA231" s="3297"/>
      <c r="AVB231" s="3297"/>
      <c r="AVC231" s="3297"/>
      <c r="AVD231" s="3297"/>
      <c r="AVE231" s="3297"/>
      <c r="AVF231" s="3297"/>
      <c r="AVG231" s="3297"/>
      <c r="AVH231" s="3297"/>
      <c r="AVI231" s="3297"/>
      <c r="AVJ231" s="3297"/>
      <c r="AVK231" s="3297"/>
      <c r="AVL231" s="3297"/>
      <c r="AVM231" s="3297"/>
      <c r="AVN231" s="3297"/>
      <c r="AVO231" s="3297"/>
      <c r="AVP231" s="3297"/>
      <c r="AVQ231" s="3297"/>
      <c r="AVR231" s="3297"/>
      <c r="AVS231" s="3297"/>
      <c r="AVT231" s="3297"/>
      <c r="AVU231" s="3297"/>
      <c r="AVV231" s="3297"/>
      <c r="AVW231" s="3297"/>
      <c r="AVX231" s="3297"/>
      <c r="AVY231" s="3297"/>
      <c r="AVZ231" s="3297"/>
      <c r="AWA231" s="3297"/>
      <c r="AWB231" s="3297"/>
      <c r="AWC231" s="3297"/>
      <c r="AWD231" s="3297"/>
      <c r="AWE231" s="3297"/>
      <c r="AWF231" s="3297"/>
      <c r="AWG231" s="3297"/>
      <c r="AWH231" s="3297"/>
      <c r="AWI231" s="3297"/>
      <c r="AWJ231" s="3297"/>
      <c r="AWK231" s="3297"/>
      <c r="AWL231" s="3297"/>
      <c r="AWM231" s="3297"/>
      <c r="AWN231" s="3297"/>
      <c r="AWO231" s="3297"/>
      <c r="AWP231" s="3297"/>
      <c r="AWQ231" s="3297"/>
      <c r="AWR231" s="3297"/>
      <c r="AWS231" s="3297"/>
      <c r="AWT231" s="3297"/>
      <c r="AWU231" s="3297"/>
      <c r="AWV231" s="3297"/>
      <c r="AWW231" s="3297"/>
      <c r="AWX231" s="3297"/>
      <c r="AWY231" s="3297"/>
      <c r="AWZ231" s="3297"/>
      <c r="AXA231" s="3297"/>
      <c r="AXB231" s="3297"/>
      <c r="AXC231" s="3297"/>
      <c r="AXD231" s="3297"/>
      <c r="AXE231" s="3297"/>
      <c r="AXF231" s="3297"/>
      <c r="AXG231" s="3297"/>
      <c r="AXH231" s="3297"/>
      <c r="AXI231" s="3297"/>
      <c r="AXJ231" s="3297"/>
    </row>
    <row r="232" spans="1:1310" s="3298" customFormat="1" ht="23.25" customHeight="1">
      <c r="A232" s="468"/>
      <c r="B232" s="6645" t="s">
        <v>3112</v>
      </c>
      <c r="C232" s="6645"/>
      <c r="D232" s="6645"/>
      <c r="E232" s="6645"/>
      <c r="F232" s="3300"/>
      <c r="G232" s="6645" t="s">
        <v>3113</v>
      </c>
      <c r="H232" s="6645"/>
      <c r="I232" s="6645"/>
      <c r="J232" s="3300"/>
      <c r="K232" s="6662" t="s">
        <v>3114</v>
      </c>
      <c r="L232" s="6662"/>
      <c r="M232" s="6662"/>
      <c r="N232" s="3300"/>
      <c r="O232" s="6645" t="s">
        <v>553</v>
      </c>
      <c r="P232" s="6645"/>
      <c r="Q232" s="3300"/>
      <c r="R232" s="443"/>
      <c r="S232" s="443"/>
      <c r="T232" s="443"/>
      <c r="U232" s="443"/>
      <c r="V232" s="443"/>
      <c r="W232" s="443"/>
      <c r="X232" s="443"/>
      <c r="Y232" s="443"/>
      <c r="Z232" s="443"/>
      <c r="AA232" s="443"/>
      <c r="AB232" s="443"/>
      <c r="AC232" s="443"/>
      <c r="AD232" s="3297"/>
      <c r="AE232" s="3297"/>
      <c r="AF232" s="3297"/>
      <c r="AG232" s="3297"/>
      <c r="AH232" s="3297"/>
      <c r="AI232" s="3297"/>
      <c r="AJ232" s="3297"/>
      <c r="AK232" s="3297"/>
      <c r="AL232" s="3297"/>
      <c r="AM232" s="3297"/>
      <c r="AN232" s="3297"/>
      <c r="AO232" s="3297"/>
      <c r="AP232" s="3297"/>
      <c r="AQ232" s="3297"/>
      <c r="AR232" s="3297"/>
      <c r="AS232" s="3297"/>
      <c r="AT232" s="3297"/>
      <c r="AU232" s="3297"/>
      <c r="AV232" s="3297"/>
      <c r="AW232" s="3297"/>
      <c r="AX232" s="3297"/>
      <c r="AY232" s="3297"/>
      <c r="AZ232" s="3297"/>
      <c r="BA232" s="3297"/>
      <c r="BB232" s="3297"/>
      <c r="BC232" s="3297"/>
      <c r="BD232" s="3297"/>
      <c r="BE232" s="3297"/>
      <c r="BF232" s="3297"/>
      <c r="BG232" s="3297"/>
      <c r="BH232" s="3297"/>
      <c r="BI232" s="3297"/>
      <c r="BJ232" s="3297"/>
      <c r="BK232" s="3297"/>
      <c r="BL232" s="3297"/>
      <c r="BM232" s="3297"/>
      <c r="BN232" s="3297"/>
      <c r="BO232" s="3297"/>
      <c r="BP232" s="3297"/>
      <c r="BQ232" s="3297"/>
      <c r="BR232" s="3297"/>
      <c r="BS232" s="3297"/>
      <c r="BT232" s="3297"/>
      <c r="BU232" s="3297"/>
      <c r="BV232" s="3297"/>
      <c r="BW232" s="3297"/>
      <c r="BX232" s="3297"/>
      <c r="BY232" s="3297"/>
      <c r="BZ232" s="3297"/>
      <c r="CA232" s="3297"/>
      <c r="CB232" s="3297"/>
      <c r="CC232" s="3297"/>
      <c r="CD232" s="3297"/>
      <c r="CE232" s="3297"/>
      <c r="CF232" s="3297"/>
      <c r="CG232" s="3297"/>
      <c r="CH232" s="3297"/>
      <c r="CI232" s="3297"/>
      <c r="CJ232" s="3297"/>
      <c r="CK232" s="3297"/>
      <c r="CL232" s="3297"/>
      <c r="CM232" s="3297"/>
      <c r="CN232" s="3297"/>
      <c r="CO232" s="3297"/>
      <c r="CP232" s="3297"/>
      <c r="CQ232" s="3297"/>
      <c r="CR232" s="3297"/>
      <c r="CS232" s="3297"/>
      <c r="CT232" s="3297"/>
      <c r="CU232" s="3297"/>
      <c r="CV232" s="3297"/>
      <c r="CW232" s="3297"/>
      <c r="CX232" s="3297"/>
      <c r="CY232" s="3297"/>
      <c r="CZ232" s="3297"/>
      <c r="DA232" s="3297"/>
      <c r="DB232" s="3297"/>
      <c r="DC232" s="3297"/>
      <c r="DD232" s="3297"/>
      <c r="DE232" s="3297"/>
      <c r="DF232" s="3297"/>
      <c r="DG232" s="3297"/>
      <c r="DH232" s="3297"/>
      <c r="DI232" s="3297"/>
      <c r="DJ232" s="3297"/>
      <c r="DK232" s="3297"/>
      <c r="DL232" s="3297"/>
      <c r="DM232" s="3297"/>
      <c r="DN232" s="3297"/>
      <c r="DO232" s="3297"/>
      <c r="DP232" s="3297"/>
      <c r="DQ232" s="3297"/>
      <c r="DR232" s="3297"/>
      <c r="DS232" s="3297"/>
      <c r="DT232" s="3297"/>
      <c r="DU232" s="3297"/>
      <c r="DV232" s="3297"/>
      <c r="DW232" s="3297"/>
      <c r="DX232" s="3297"/>
      <c r="DY232" s="3297"/>
      <c r="DZ232" s="3297"/>
      <c r="EA232" s="3297"/>
      <c r="EB232" s="3297"/>
      <c r="EC232" s="3297"/>
      <c r="ED232" s="3297"/>
      <c r="EE232" s="3297"/>
      <c r="EF232" s="3297"/>
      <c r="EG232" s="3297"/>
      <c r="EH232" s="3297"/>
      <c r="EI232" s="3297"/>
      <c r="EJ232" s="3297"/>
      <c r="EK232" s="3297"/>
      <c r="EL232" s="3297"/>
      <c r="EM232" s="3297"/>
      <c r="EN232" s="3297"/>
      <c r="EO232" s="3297"/>
      <c r="EP232" s="3297"/>
      <c r="EQ232" s="3297"/>
      <c r="ER232" s="3297"/>
      <c r="ES232" s="3297"/>
      <c r="ET232" s="3297"/>
      <c r="EU232" s="3297"/>
      <c r="EV232" s="3297"/>
      <c r="EW232" s="3297"/>
      <c r="EX232" s="3297"/>
      <c r="EY232" s="3297"/>
      <c r="EZ232" s="3297"/>
      <c r="FA232" s="3297"/>
      <c r="FB232" s="3297"/>
      <c r="FC232" s="3297"/>
      <c r="FD232" s="3297"/>
      <c r="FE232" s="3297"/>
      <c r="FF232" s="3297"/>
      <c r="FG232" s="3297"/>
      <c r="FH232" s="3297"/>
      <c r="FI232" s="3297"/>
      <c r="FJ232" s="3297"/>
      <c r="FK232" s="3297"/>
      <c r="FL232" s="3297"/>
      <c r="FM232" s="3297"/>
      <c r="FN232" s="3297"/>
      <c r="FO232" s="3297"/>
      <c r="FP232" s="3297"/>
      <c r="FQ232" s="3297"/>
      <c r="FR232" s="3297"/>
      <c r="FS232" s="3297"/>
      <c r="FT232" s="3297"/>
      <c r="FU232" s="3297"/>
      <c r="FV232" s="3297"/>
      <c r="FW232" s="3297"/>
      <c r="FX232" s="3297"/>
      <c r="FY232" s="3297"/>
      <c r="FZ232" s="3297"/>
      <c r="GA232" s="3297"/>
      <c r="GB232" s="3297"/>
      <c r="GC232" s="3297"/>
      <c r="GD232" s="3297"/>
      <c r="GE232" s="3297"/>
      <c r="GF232" s="3297"/>
      <c r="GG232" s="3297"/>
      <c r="GH232" s="3297"/>
      <c r="GI232" s="3297"/>
      <c r="GJ232" s="3297"/>
      <c r="GK232" s="3297"/>
      <c r="GL232" s="3297"/>
      <c r="GM232" s="3297"/>
      <c r="GN232" s="3297"/>
      <c r="GO232" s="3297"/>
      <c r="GP232" s="3297"/>
      <c r="GQ232" s="3297"/>
      <c r="GR232" s="3297"/>
      <c r="GS232" s="3297"/>
      <c r="GT232" s="3297"/>
      <c r="GU232" s="3297"/>
      <c r="GV232" s="3297"/>
      <c r="GW232" s="3297"/>
      <c r="GX232" s="3297"/>
      <c r="GY232" s="3297"/>
      <c r="GZ232" s="3297"/>
      <c r="HA232" s="3297"/>
      <c r="HB232" s="3297"/>
      <c r="HC232" s="3297"/>
      <c r="HD232" s="3297"/>
      <c r="HE232" s="3297"/>
      <c r="HF232" s="3297"/>
      <c r="HG232" s="3297"/>
      <c r="HH232" s="3297"/>
      <c r="HI232" s="3297"/>
      <c r="HJ232" s="3297"/>
      <c r="HK232" s="3297"/>
      <c r="HL232" s="3297"/>
      <c r="HM232" s="3297"/>
      <c r="HN232" s="3297"/>
      <c r="HO232" s="3297"/>
      <c r="HP232" s="3297"/>
      <c r="HQ232" s="3297"/>
      <c r="HR232" s="3297"/>
      <c r="HS232" s="3297"/>
      <c r="HT232" s="3297"/>
      <c r="HU232" s="3297"/>
      <c r="HV232" s="3297"/>
      <c r="HW232" s="3297"/>
      <c r="HX232" s="3297"/>
      <c r="HY232" s="3297"/>
      <c r="HZ232" s="3297"/>
      <c r="IA232" s="3297"/>
      <c r="IB232" s="3297"/>
      <c r="IC232" s="3297"/>
      <c r="ID232" s="3297"/>
      <c r="IE232" s="3297"/>
      <c r="IF232" s="3297"/>
      <c r="IG232" s="3297"/>
      <c r="IH232" s="3297"/>
      <c r="II232" s="3297"/>
      <c r="IJ232" s="3297"/>
      <c r="IK232" s="3297"/>
      <c r="IL232" s="3297"/>
      <c r="IM232" s="3297"/>
      <c r="IN232" s="3297"/>
      <c r="IO232" s="3297"/>
      <c r="IP232" s="3297"/>
      <c r="IQ232" s="3297"/>
      <c r="IR232" s="3297"/>
      <c r="IS232" s="3297"/>
      <c r="IT232" s="3297"/>
      <c r="IU232" s="3297"/>
      <c r="IV232" s="3297"/>
      <c r="IW232" s="3297"/>
      <c r="IX232" s="3297"/>
      <c r="IY232" s="3297"/>
      <c r="IZ232" s="3297"/>
      <c r="JA232" s="3297"/>
      <c r="JB232" s="3297"/>
      <c r="JC232" s="3297"/>
      <c r="JD232" s="3297"/>
      <c r="JE232" s="3297"/>
      <c r="JF232" s="3297"/>
      <c r="JG232" s="3297"/>
      <c r="JH232" s="3297"/>
      <c r="JI232" s="3297"/>
      <c r="JJ232" s="3297"/>
      <c r="JK232" s="3297"/>
      <c r="JL232" s="3297"/>
      <c r="JM232" s="3297"/>
      <c r="JN232" s="3297"/>
      <c r="JO232" s="3297"/>
      <c r="JP232" s="3297"/>
      <c r="JQ232" s="3297"/>
      <c r="JR232" s="3297"/>
      <c r="JS232" s="3297"/>
      <c r="JT232" s="3297"/>
      <c r="JU232" s="3297"/>
      <c r="JV232" s="3297"/>
      <c r="JW232" s="3297"/>
      <c r="JX232" s="3297"/>
      <c r="JY232" s="3297"/>
      <c r="JZ232" s="3297"/>
      <c r="KA232" s="3297"/>
      <c r="KB232" s="3297"/>
      <c r="KC232" s="3297"/>
      <c r="KD232" s="3297"/>
      <c r="KE232" s="3297"/>
      <c r="KF232" s="3297"/>
      <c r="KG232" s="3297"/>
      <c r="KH232" s="3297"/>
      <c r="KI232" s="3297"/>
      <c r="KJ232" s="3297"/>
      <c r="KK232" s="3297"/>
      <c r="KL232" s="3297"/>
      <c r="KM232" s="3297"/>
      <c r="KN232" s="3297"/>
      <c r="KO232" s="3297"/>
      <c r="KP232" s="3297"/>
      <c r="KQ232" s="3297"/>
      <c r="KR232" s="3297"/>
      <c r="KS232" s="3297"/>
      <c r="KT232" s="3297"/>
      <c r="KU232" s="3297"/>
      <c r="KV232" s="3297"/>
      <c r="KW232" s="3297"/>
      <c r="KX232" s="3297"/>
      <c r="KY232" s="3297"/>
      <c r="KZ232" s="3297"/>
      <c r="LA232" s="3297"/>
      <c r="LB232" s="3297"/>
      <c r="LC232" s="3297"/>
      <c r="LD232" s="3297"/>
      <c r="LE232" s="3297"/>
      <c r="LF232" s="3297"/>
      <c r="LG232" s="3297"/>
      <c r="LH232" s="3297"/>
      <c r="LI232" s="3297"/>
      <c r="LJ232" s="3297"/>
      <c r="LK232" s="3297"/>
      <c r="LL232" s="3297"/>
      <c r="LM232" s="3297"/>
      <c r="LN232" s="3297"/>
      <c r="LO232" s="3297"/>
      <c r="LP232" s="3297"/>
      <c r="LQ232" s="3297"/>
      <c r="LR232" s="3297"/>
      <c r="LS232" s="3297"/>
      <c r="LT232" s="3297"/>
      <c r="LU232" s="3297"/>
      <c r="LV232" s="3297"/>
      <c r="LW232" s="3297"/>
      <c r="LX232" s="3297"/>
      <c r="LY232" s="3297"/>
      <c r="LZ232" s="3297"/>
      <c r="MA232" s="3297"/>
      <c r="MB232" s="3297"/>
      <c r="MC232" s="3297"/>
      <c r="MD232" s="3297"/>
      <c r="ME232" s="3297"/>
      <c r="MF232" s="3297"/>
      <c r="MG232" s="3297"/>
      <c r="MH232" s="3297"/>
      <c r="MI232" s="3297"/>
      <c r="MJ232" s="3297"/>
      <c r="MK232" s="3297"/>
      <c r="ML232" s="3297"/>
      <c r="MM232" s="3297"/>
      <c r="MN232" s="3297"/>
      <c r="MO232" s="3297"/>
      <c r="MP232" s="3297"/>
      <c r="MQ232" s="3297"/>
      <c r="MR232" s="3297"/>
      <c r="MS232" s="3297"/>
      <c r="MT232" s="3297"/>
      <c r="MU232" s="3297"/>
      <c r="MV232" s="3297"/>
      <c r="MW232" s="3297"/>
      <c r="MX232" s="3297"/>
      <c r="MY232" s="3297"/>
      <c r="MZ232" s="3297"/>
      <c r="NA232" s="3297"/>
      <c r="NB232" s="3297"/>
      <c r="NC232" s="3297"/>
      <c r="ND232" s="3297"/>
      <c r="NE232" s="3297"/>
      <c r="NF232" s="3297"/>
      <c r="NG232" s="3297"/>
      <c r="NH232" s="3297"/>
      <c r="NI232" s="3297"/>
      <c r="NJ232" s="3297"/>
      <c r="NK232" s="3297"/>
      <c r="NL232" s="3297"/>
      <c r="NM232" s="3297"/>
      <c r="NN232" s="3297"/>
      <c r="NO232" s="3297"/>
      <c r="NP232" s="3297"/>
      <c r="NQ232" s="3297"/>
      <c r="NR232" s="3297"/>
      <c r="NS232" s="3297"/>
      <c r="NT232" s="3297"/>
      <c r="NU232" s="3297"/>
      <c r="NV232" s="3297"/>
      <c r="NW232" s="3297"/>
      <c r="NX232" s="3297"/>
      <c r="NY232" s="3297"/>
      <c r="NZ232" s="3297"/>
      <c r="OA232" s="3297"/>
      <c r="OB232" s="3297"/>
      <c r="OC232" s="3297"/>
      <c r="OD232" s="3297"/>
      <c r="OE232" s="3297"/>
      <c r="OF232" s="3297"/>
      <c r="OG232" s="3297"/>
      <c r="OH232" s="3297"/>
      <c r="OI232" s="3297"/>
      <c r="OJ232" s="3297"/>
      <c r="OK232" s="3297"/>
      <c r="OL232" s="3297"/>
      <c r="OM232" s="3297"/>
      <c r="ON232" s="3297"/>
      <c r="OO232" s="3297"/>
      <c r="OP232" s="3297"/>
      <c r="OQ232" s="3297"/>
      <c r="OR232" s="3297"/>
      <c r="OS232" s="3297"/>
      <c r="OT232" s="3297"/>
      <c r="OU232" s="3297"/>
      <c r="OV232" s="3297"/>
      <c r="OW232" s="3297"/>
      <c r="OX232" s="3297"/>
      <c r="OY232" s="3297"/>
      <c r="OZ232" s="3297"/>
      <c r="PA232" s="3297"/>
      <c r="PB232" s="3297"/>
      <c r="PC232" s="3297"/>
      <c r="PD232" s="3297"/>
      <c r="PE232" s="3297"/>
      <c r="PF232" s="3297"/>
      <c r="PG232" s="3297"/>
      <c r="PH232" s="3297"/>
      <c r="PI232" s="3297"/>
      <c r="PJ232" s="3297"/>
      <c r="PK232" s="3297"/>
      <c r="PL232" s="3297"/>
      <c r="PM232" s="3297"/>
      <c r="PN232" s="3297"/>
      <c r="PO232" s="3297"/>
      <c r="PP232" s="3297"/>
      <c r="PQ232" s="3297"/>
      <c r="PR232" s="3297"/>
      <c r="PS232" s="3297"/>
      <c r="PT232" s="3297"/>
      <c r="PU232" s="3297"/>
      <c r="PV232" s="3297"/>
      <c r="PW232" s="3297"/>
      <c r="PX232" s="3297"/>
      <c r="PY232" s="3297"/>
      <c r="PZ232" s="3297"/>
      <c r="QA232" s="3297"/>
      <c r="QB232" s="3297"/>
      <c r="QC232" s="3297"/>
      <c r="QD232" s="3297"/>
      <c r="QE232" s="3297"/>
      <c r="QF232" s="3297"/>
      <c r="QG232" s="3297"/>
      <c r="QH232" s="3297"/>
      <c r="QI232" s="3297"/>
      <c r="QJ232" s="3297"/>
      <c r="QK232" s="3297"/>
      <c r="QL232" s="3297"/>
      <c r="QM232" s="3297"/>
      <c r="QN232" s="3297"/>
      <c r="QO232" s="3297"/>
      <c r="QP232" s="3297"/>
      <c r="QQ232" s="3297"/>
      <c r="QR232" s="3297"/>
      <c r="QS232" s="3297"/>
      <c r="QT232" s="3297"/>
      <c r="QU232" s="3297"/>
      <c r="QV232" s="3297"/>
      <c r="QW232" s="3297"/>
      <c r="QX232" s="3297"/>
      <c r="QY232" s="3297"/>
      <c r="QZ232" s="3297"/>
      <c r="RA232" s="3297"/>
      <c r="RB232" s="3297"/>
      <c r="RC232" s="3297"/>
      <c r="RD232" s="3297"/>
      <c r="RE232" s="3297"/>
      <c r="RF232" s="3297"/>
      <c r="RG232" s="3297"/>
      <c r="RH232" s="3297"/>
      <c r="RI232" s="3297"/>
      <c r="RJ232" s="3297"/>
      <c r="RK232" s="3297"/>
      <c r="RL232" s="3297"/>
      <c r="RM232" s="3297"/>
      <c r="RN232" s="3297"/>
      <c r="RO232" s="3297"/>
      <c r="RP232" s="3297"/>
      <c r="RQ232" s="3297"/>
      <c r="RR232" s="3297"/>
      <c r="RS232" s="3297"/>
      <c r="RT232" s="3297"/>
      <c r="RU232" s="3297"/>
      <c r="RV232" s="3297"/>
      <c r="RW232" s="3297"/>
      <c r="RX232" s="3297"/>
      <c r="RY232" s="3297"/>
      <c r="RZ232" s="3297"/>
      <c r="SA232" s="3297"/>
      <c r="SB232" s="3297"/>
      <c r="SC232" s="3297"/>
      <c r="SD232" s="3297"/>
      <c r="SE232" s="3297"/>
      <c r="SF232" s="3297"/>
      <c r="SG232" s="3297"/>
      <c r="SH232" s="3297"/>
      <c r="SI232" s="3297"/>
      <c r="SJ232" s="3297"/>
      <c r="SK232" s="3297"/>
      <c r="SL232" s="3297"/>
      <c r="SM232" s="3297"/>
      <c r="SN232" s="3297"/>
      <c r="SO232" s="3297"/>
      <c r="SP232" s="3297"/>
      <c r="SQ232" s="3297"/>
      <c r="SR232" s="3297"/>
      <c r="SS232" s="3297"/>
      <c r="ST232" s="3297"/>
      <c r="SU232" s="3297"/>
      <c r="SV232" s="3297"/>
      <c r="SW232" s="3297"/>
      <c r="SX232" s="3297"/>
      <c r="SY232" s="3297"/>
      <c r="SZ232" s="3297"/>
      <c r="TA232" s="3297"/>
      <c r="TB232" s="3297"/>
      <c r="TC232" s="3297"/>
      <c r="TD232" s="3297"/>
      <c r="TE232" s="3297"/>
      <c r="TF232" s="3297"/>
      <c r="TG232" s="3297"/>
      <c r="TH232" s="3297"/>
      <c r="TI232" s="3297"/>
      <c r="TJ232" s="3297"/>
      <c r="TK232" s="3297"/>
      <c r="TL232" s="3297"/>
      <c r="TM232" s="3297"/>
      <c r="TN232" s="3297"/>
      <c r="TO232" s="3297"/>
      <c r="TP232" s="3297"/>
      <c r="TQ232" s="3297"/>
      <c r="TR232" s="3297"/>
      <c r="TS232" s="3297"/>
      <c r="TT232" s="3297"/>
      <c r="TU232" s="3297"/>
      <c r="TV232" s="3297"/>
      <c r="TW232" s="3297"/>
      <c r="TX232" s="3297"/>
      <c r="TY232" s="3297"/>
      <c r="TZ232" s="3297"/>
      <c r="UA232" s="3297"/>
      <c r="UB232" s="3297"/>
      <c r="UC232" s="3297"/>
      <c r="UD232" s="3297"/>
      <c r="UE232" s="3297"/>
      <c r="UF232" s="3297"/>
      <c r="UG232" s="3297"/>
      <c r="UH232" s="3297"/>
      <c r="UI232" s="3297"/>
      <c r="UJ232" s="3297"/>
      <c r="UK232" s="3297"/>
      <c r="UL232" s="3297"/>
      <c r="UM232" s="3297"/>
      <c r="UN232" s="3297"/>
      <c r="UO232" s="3297"/>
      <c r="UP232" s="3297"/>
      <c r="UQ232" s="3297"/>
      <c r="UR232" s="3297"/>
      <c r="US232" s="3297"/>
      <c r="UT232" s="3297"/>
      <c r="UU232" s="3297"/>
      <c r="UV232" s="3297"/>
      <c r="UW232" s="3297"/>
      <c r="UX232" s="3297"/>
      <c r="UY232" s="3297"/>
      <c r="UZ232" s="3297"/>
      <c r="VA232" s="3297"/>
      <c r="VB232" s="3297"/>
      <c r="VC232" s="3297"/>
      <c r="VD232" s="3297"/>
      <c r="VE232" s="3297"/>
      <c r="VF232" s="3297"/>
      <c r="VG232" s="3297"/>
      <c r="VH232" s="3297"/>
      <c r="VI232" s="3297"/>
      <c r="VJ232" s="3297"/>
      <c r="VK232" s="3297"/>
      <c r="VL232" s="3297"/>
      <c r="VM232" s="3297"/>
      <c r="VN232" s="3297"/>
      <c r="VO232" s="3297"/>
      <c r="VP232" s="3297"/>
      <c r="VQ232" s="3297"/>
      <c r="VR232" s="3297"/>
      <c r="VS232" s="3297"/>
      <c r="VT232" s="3297"/>
      <c r="VU232" s="3297"/>
      <c r="VV232" s="3297"/>
      <c r="VW232" s="3297"/>
      <c r="VX232" s="3297"/>
      <c r="VY232" s="3297"/>
      <c r="VZ232" s="3297"/>
      <c r="WA232" s="3297"/>
      <c r="WB232" s="3297"/>
      <c r="WC232" s="3297"/>
      <c r="WD232" s="3297"/>
      <c r="WE232" s="3297"/>
      <c r="WF232" s="3297"/>
      <c r="WG232" s="3297"/>
      <c r="WH232" s="3297"/>
      <c r="WI232" s="3297"/>
      <c r="WJ232" s="3297"/>
      <c r="WK232" s="3297"/>
      <c r="WL232" s="3297"/>
      <c r="WM232" s="3297"/>
      <c r="WN232" s="3297"/>
      <c r="WO232" s="3297"/>
      <c r="WP232" s="3297"/>
      <c r="WQ232" s="3297"/>
      <c r="WR232" s="3297"/>
      <c r="WS232" s="3297"/>
      <c r="WT232" s="3297"/>
      <c r="WU232" s="3297"/>
      <c r="WV232" s="3297"/>
      <c r="WW232" s="3297"/>
      <c r="WX232" s="3297"/>
      <c r="WY232" s="3297"/>
      <c r="WZ232" s="3297"/>
      <c r="XA232" s="3297"/>
      <c r="XB232" s="3297"/>
      <c r="XC232" s="3297"/>
      <c r="XD232" s="3297"/>
      <c r="XE232" s="3297"/>
      <c r="XF232" s="3297"/>
      <c r="XG232" s="3297"/>
      <c r="XH232" s="3297"/>
      <c r="XI232" s="3297"/>
      <c r="XJ232" s="3297"/>
      <c r="XK232" s="3297"/>
      <c r="XL232" s="3297"/>
      <c r="XM232" s="3297"/>
      <c r="XN232" s="3297"/>
      <c r="XO232" s="3297"/>
      <c r="XP232" s="3297"/>
      <c r="XQ232" s="3297"/>
      <c r="XR232" s="3297"/>
      <c r="XS232" s="3297"/>
      <c r="XT232" s="3297"/>
      <c r="XU232" s="3297"/>
      <c r="XV232" s="3297"/>
      <c r="XW232" s="3297"/>
      <c r="XX232" s="3297"/>
      <c r="XY232" s="3297"/>
      <c r="XZ232" s="3297"/>
      <c r="YA232" s="3297"/>
      <c r="YB232" s="3297"/>
      <c r="YC232" s="3297"/>
      <c r="YD232" s="3297"/>
      <c r="YE232" s="3297"/>
      <c r="YF232" s="3297"/>
      <c r="YG232" s="3297"/>
      <c r="YH232" s="3297"/>
      <c r="YI232" s="3297"/>
      <c r="YJ232" s="3297"/>
      <c r="YK232" s="3297"/>
      <c r="YL232" s="3297"/>
      <c r="YM232" s="3297"/>
      <c r="YN232" s="3297"/>
      <c r="YO232" s="3297"/>
      <c r="YP232" s="3297"/>
      <c r="YQ232" s="3297"/>
      <c r="YR232" s="3297"/>
      <c r="YS232" s="3297"/>
      <c r="YT232" s="3297"/>
      <c r="YU232" s="3297"/>
      <c r="YV232" s="3297"/>
      <c r="YW232" s="3297"/>
      <c r="YX232" s="3297"/>
      <c r="YY232" s="3297"/>
      <c r="YZ232" s="3297"/>
      <c r="ZA232" s="3297"/>
      <c r="ZB232" s="3297"/>
      <c r="ZC232" s="3297"/>
      <c r="ZD232" s="3297"/>
      <c r="ZE232" s="3297"/>
      <c r="ZF232" s="3297"/>
      <c r="ZG232" s="3297"/>
      <c r="ZH232" s="3297"/>
      <c r="ZI232" s="3297"/>
      <c r="ZJ232" s="3297"/>
      <c r="ZK232" s="3297"/>
      <c r="ZL232" s="3297"/>
      <c r="ZM232" s="3297"/>
      <c r="ZN232" s="3297"/>
      <c r="ZO232" s="3297"/>
      <c r="ZP232" s="3297"/>
      <c r="ZQ232" s="3297"/>
      <c r="ZR232" s="3297"/>
      <c r="ZS232" s="3297"/>
      <c r="ZT232" s="3297"/>
      <c r="ZU232" s="3297"/>
      <c r="ZV232" s="3297"/>
      <c r="ZW232" s="3297"/>
      <c r="ZX232" s="3297"/>
      <c r="ZY232" s="3297"/>
      <c r="ZZ232" s="3297"/>
      <c r="AAA232" s="3297"/>
      <c r="AAB232" s="3297"/>
      <c r="AAC232" s="3297"/>
      <c r="AAD232" s="3297"/>
      <c r="AAE232" s="3297"/>
      <c r="AAF232" s="3297"/>
      <c r="AAG232" s="3297"/>
      <c r="AAH232" s="3297"/>
      <c r="AAI232" s="3297"/>
      <c r="AAJ232" s="3297"/>
      <c r="AAK232" s="3297"/>
      <c r="AAL232" s="3297"/>
      <c r="AAM232" s="3297"/>
      <c r="AAN232" s="3297"/>
      <c r="AAO232" s="3297"/>
      <c r="AAP232" s="3297"/>
      <c r="AAQ232" s="3297"/>
      <c r="AAR232" s="3297"/>
      <c r="AAS232" s="3297"/>
      <c r="AAT232" s="3297"/>
      <c r="AAU232" s="3297"/>
      <c r="AAV232" s="3297"/>
      <c r="AAW232" s="3297"/>
      <c r="AAX232" s="3297"/>
      <c r="AAY232" s="3297"/>
      <c r="AAZ232" s="3297"/>
      <c r="ABA232" s="3297"/>
      <c r="ABB232" s="3297"/>
      <c r="ABC232" s="3297"/>
      <c r="ABD232" s="3297"/>
      <c r="ABE232" s="3297"/>
      <c r="ABF232" s="3297"/>
      <c r="ABG232" s="3297"/>
      <c r="ABH232" s="3297"/>
      <c r="ABI232" s="3297"/>
      <c r="ABJ232" s="3297"/>
      <c r="ABK232" s="3297"/>
      <c r="ABL232" s="3297"/>
      <c r="ABM232" s="3297"/>
      <c r="ABN232" s="3297"/>
      <c r="ABO232" s="3297"/>
      <c r="ABP232" s="3297"/>
      <c r="ABQ232" s="3297"/>
      <c r="ABR232" s="3297"/>
      <c r="ABS232" s="3297"/>
      <c r="ABT232" s="3297"/>
      <c r="ABU232" s="3297"/>
      <c r="ABV232" s="3297"/>
      <c r="ABW232" s="3297"/>
      <c r="ABX232" s="3297"/>
      <c r="ABY232" s="3297"/>
      <c r="ABZ232" s="3297"/>
      <c r="ACA232" s="3297"/>
      <c r="ACB232" s="3297"/>
      <c r="ACC232" s="3297"/>
      <c r="ACD232" s="3297"/>
      <c r="ACE232" s="3297"/>
      <c r="ACF232" s="3297"/>
      <c r="ACG232" s="3297"/>
      <c r="ACH232" s="3297"/>
      <c r="ACI232" s="3297"/>
      <c r="ACJ232" s="3297"/>
      <c r="ACK232" s="3297"/>
      <c r="ACL232" s="3297"/>
      <c r="ACM232" s="3297"/>
      <c r="ACN232" s="3297"/>
      <c r="ACO232" s="3297"/>
      <c r="ACP232" s="3297"/>
      <c r="ACQ232" s="3297"/>
      <c r="ACR232" s="3297"/>
      <c r="ACS232" s="3297"/>
      <c r="ACT232" s="3297"/>
      <c r="ACU232" s="3297"/>
      <c r="ACV232" s="3297"/>
      <c r="ACW232" s="3297"/>
      <c r="ACX232" s="3297"/>
      <c r="ACY232" s="3297"/>
      <c r="ACZ232" s="3297"/>
      <c r="ADA232" s="3297"/>
      <c r="ADB232" s="3297"/>
      <c r="ADC232" s="3297"/>
      <c r="ADD232" s="3297"/>
      <c r="ADE232" s="3297"/>
      <c r="ADF232" s="3297"/>
      <c r="ADG232" s="3297"/>
      <c r="ADH232" s="3297"/>
      <c r="ADI232" s="3297"/>
      <c r="ADJ232" s="3297"/>
      <c r="ADK232" s="3297"/>
      <c r="ADL232" s="3297"/>
      <c r="ADM232" s="3297"/>
      <c r="ADN232" s="3297"/>
      <c r="ADO232" s="3297"/>
      <c r="ADP232" s="3297"/>
      <c r="ADQ232" s="3297"/>
      <c r="ADR232" s="3297"/>
      <c r="ADS232" s="3297"/>
      <c r="ADT232" s="3297"/>
      <c r="ADU232" s="3297"/>
      <c r="ADV232" s="3297"/>
      <c r="ADW232" s="3297"/>
      <c r="ADX232" s="3297"/>
      <c r="ADY232" s="3297"/>
      <c r="ADZ232" s="3297"/>
      <c r="AEA232" s="3297"/>
      <c r="AEB232" s="3297"/>
      <c r="AEC232" s="3297"/>
      <c r="AED232" s="3297"/>
      <c r="AEE232" s="3297"/>
      <c r="AEF232" s="3297"/>
      <c r="AEG232" s="3297"/>
      <c r="AEH232" s="3297"/>
      <c r="AEI232" s="3297"/>
      <c r="AEJ232" s="3297"/>
      <c r="AEK232" s="3297"/>
      <c r="AEL232" s="3297"/>
      <c r="AEM232" s="3297"/>
      <c r="AEN232" s="3297"/>
      <c r="AEO232" s="3297"/>
      <c r="AEP232" s="3297"/>
      <c r="AEQ232" s="3297"/>
      <c r="AER232" s="3297"/>
      <c r="AES232" s="3297"/>
      <c r="AET232" s="3297"/>
      <c r="AEU232" s="3297"/>
      <c r="AEV232" s="3297"/>
      <c r="AEW232" s="3297"/>
      <c r="AEX232" s="3297"/>
      <c r="AEY232" s="3297"/>
      <c r="AEZ232" s="3297"/>
      <c r="AFA232" s="3297"/>
      <c r="AFB232" s="3297"/>
      <c r="AFC232" s="3297"/>
      <c r="AFD232" s="3297"/>
      <c r="AFE232" s="3297"/>
      <c r="AFF232" s="3297"/>
      <c r="AFG232" s="3297"/>
      <c r="AFH232" s="3297"/>
      <c r="AFI232" s="3297"/>
      <c r="AFJ232" s="3297"/>
      <c r="AFK232" s="3297"/>
      <c r="AFL232" s="3297"/>
      <c r="AFM232" s="3297"/>
      <c r="AFN232" s="3297"/>
      <c r="AFO232" s="3297"/>
      <c r="AFP232" s="3297"/>
      <c r="AFQ232" s="3297"/>
      <c r="AFR232" s="3297"/>
      <c r="AFS232" s="3297"/>
      <c r="AFT232" s="3297"/>
      <c r="AFU232" s="3297"/>
      <c r="AFV232" s="3297"/>
      <c r="AFW232" s="3297"/>
      <c r="AFX232" s="3297"/>
      <c r="AFY232" s="3297"/>
      <c r="AFZ232" s="3297"/>
      <c r="AGA232" s="3297"/>
      <c r="AGB232" s="3297"/>
      <c r="AGC232" s="3297"/>
      <c r="AGD232" s="3297"/>
      <c r="AGE232" s="3297"/>
      <c r="AGF232" s="3297"/>
      <c r="AGG232" s="3297"/>
      <c r="AGH232" s="3297"/>
      <c r="AGI232" s="3297"/>
      <c r="AGJ232" s="3297"/>
      <c r="AGK232" s="3297"/>
      <c r="AGL232" s="3297"/>
      <c r="AGM232" s="3297"/>
      <c r="AGN232" s="3297"/>
      <c r="AGO232" s="3297"/>
      <c r="AGP232" s="3297"/>
      <c r="AGQ232" s="3297"/>
      <c r="AGR232" s="3297"/>
      <c r="AGS232" s="3297"/>
      <c r="AGT232" s="3297"/>
      <c r="AGU232" s="3297"/>
      <c r="AGV232" s="3297"/>
      <c r="AGW232" s="3297"/>
      <c r="AGX232" s="3297"/>
      <c r="AGY232" s="3297"/>
      <c r="AGZ232" s="3297"/>
      <c r="AHA232" s="3297"/>
      <c r="AHB232" s="3297"/>
      <c r="AHC232" s="3297"/>
      <c r="AHD232" s="3297"/>
      <c r="AHE232" s="3297"/>
      <c r="AHF232" s="3297"/>
      <c r="AHG232" s="3297"/>
      <c r="AHH232" s="3297"/>
      <c r="AHI232" s="3297"/>
      <c r="AHJ232" s="3297"/>
      <c r="AHK232" s="3297"/>
      <c r="AHL232" s="3297"/>
      <c r="AHM232" s="3297"/>
      <c r="AHN232" s="3297"/>
      <c r="AHO232" s="3297"/>
      <c r="AHP232" s="3297"/>
      <c r="AHQ232" s="3297"/>
      <c r="AHR232" s="3297"/>
      <c r="AHS232" s="3297"/>
      <c r="AHT232" s="3297"/>
      <c r="AHU232" s="3297"/>
      <c r="AHV232" s="3297"/>
      <c r="AHW232" s="3297"/>
      <c r="AHX232" s="3297"/>
      <c r="AHY232" s="3297"/>
      <c r="AHZ232" s="3297"/>
      <c r="AIA232" s="3297"/>
      <c r="AIB232" s="3297"/>
      <c r="AIC232" s="3297"/>
      <c r="AID232" s="3297"/>
      <c r="AIE232" s="3297"/>
      <c r="AIF232" s="3297"/>
      <c r="AIG232" s="3297"/>
      <c r="AIH232" s="3297"/>
      <c r="AII232" s="3297"/>
      <c r="AIJ232" s="3297"/>
      <c r="AIK232" s="3297"/>
      <c r="AIL232" s="3297"/>
      <c r="AIM232" s="3297"/>
      <c r="AIN232" s="3297"/>
      <c r="AIO232" s="3297"/>
      <c r="AIP232" s="3297"/>
      <c r="AIQ232" s="3297"/>
      <c r="AIR232" s="3297"/>
      <c r="AIS232" s="3297"/>
      <c r="AIT232" s="3297"/>
      <c r="AIU232" s="3297"/>
      <c r="AIV232" s="3297"/>
      <c r="AIW232" s="3297"/>
      <c r="AIX232" s="3297"/>
      <c r="AIY232" s="3297"/>
      <c r="AIZ232" s="3297"/>
      <c r="AJA232" s="3297"/>
      <c r="AJB232" s="3297"/>
      <c r="AJC232" s="3297"/>
      <c r="AJD232" s="3297"/>
      <c r="AJE232" s="3297"/>
      <c r="AJF232" s="3297"/>
      <c r="AJG232" s="3297"/>
      <c r="AJH232" s="3297"/>
      <c r="AJI232" s="3297"/>
      <c r="AJJ232" s="3297"/>
      <c r="AJK232" s="3297"/>
      <c r="AJL232" s="3297"/>
      <c r="AJM232" s="3297"/>
      <c r="AJN232" s="3297"/>
      <c r="AJO232" s="3297"/>
      <c r="AJP232" s="3297"/>
      <c r="AJQ232" s="3297"/>
      <c r="AJR232" s="3297"/>
      <c r="AJS232" s="3297"/>
      <c r="AJT232" s="3297"/>
      <c r="AJU232" s="3297"/>
      <c r="AJV232" s="3297"/>
      <c r="AJW232" s="3297"/>
      <c r="AJX232" s="3297"/>
      <c r="AJY232" s="3297"/>
      <c r="AJZ232" s="3297"/>
      <c r="AKA232" s="3297"/>
      <c r="AKB232" s="3297"/>
      <c r="AKC232" s="3297"/>
      <c r="AKD232" s="3297"/>
      <c r="AKE232" s="3297"/>
      <c r="AKF232" s="3297"/>
      <c r="AKG232" s="3297"/>
      <c r="AKH232" s="3297"/>
      <c r="AKI232" s="3297"/>
      <c r="AKJ232" s="3297"/>
      <c r="AKK232" s="3297"/>
      <c r="AKL232" s="3297"/>
      <c r="AKM232" s="3297"/>
      <c r="AKN232" s="3297"/>
      <c r="AKO232" s="3297"/>
      <c r="AKP232" s="3297"/>
      <c r="AKQ232" s="3297"/>
      <c r="AKR232" s="3297"/>
      <c r="AKS232" s="3297"/>
      <c r="AKT232" s="3297"/>
      <c r="AKU232" s="3297"/>
      <c r="AKV232" s="3297"/>
      <c r="AKW232" s="3297"/>
      <c r="AKX232" s="3297"/>
      <c r="AKY232" s="3297"/>
      <c r="AKZ232" s="3297"/>
      <c r="ALA232" s="3297"/>
      <c r="ALB232" s="3297"/>
      <c r="ALC232" s="3297"/>
      <c r="ALD232" s="3297"/>
      <c r="ALE232" s="3297"/>
      <c r="ALF232" s="3297"/>
      <c r="ALG232" s="3297"/>
      <c r="ALH232" s="3297"/>
      <c r="ALI232" s="3297"/>
      <c r="ALJ232" s="3297"/>
      <c r="ALK232" s="3297"/>
      <c r="ALL232" s="3297"/>
      <c r="ALM232" s="3297"/>
      <c r="ALN232" s="3297"/>
      <c r="ALO232" s="3297"/>
      <c r="ALP232" s="3297"/>
      <c r="ALQ232" s="3297"/>
      <c r="ALR232" s="3297"/>
      <c r="ALS232" s="3297"/>
      <c r="ALT232" s="3297"/>
      <c r="ALU232" s="3297"/>
      <c r="ALV232" s="3297"/>
      <c r="ALW232" s="3297"/>
      <c r="ALX232" s="3297"/>
      <c r="ALY232" s="3297"/>
      <c r="ALZ232" s="3297"/>
      <c r="AMA232" s="3297"/>
      <c r="AMB232" s="3297"/>
      <c r="AMC232" s="3297"/>
      <c r="AMD232" s="3297"/>
      <c r="AME232" s="3297"/>
      <c r="AMF232" s="3297"/>
      <c r="AMG232" s="3297"/>
      <c r="AMH232" s="3297"/>
      <c r="AMI232" s="3297"/>
      <c r="AMJ232" s="3297"/>
      <c r="AMK232" s="3297"/>
      <c r="AML232" s="3297"/>
      <c r="AMM232" s="3297"/>
      <c r="AMN232" s="3297"/>
      <c r="AMO232" s="3297"/>
      <c r="AMP232" s="3297"/>
      <c r="AMQ232" s="3297"/>
      <c r="AMR232" s="3297"/>
      <c r="AMS232" s="3297"/>
      <c r="AMT232" s="3297"/>
      <c r="AMU232" s="3297"/>
      <c r="AMV232" s="3297"/>
      <c r="AMW232" s="3297"/>
      <c r="AMX232" s="3297"/>
      <c r="AMY232" s="3297"/>
      <c r="AMZ232" s="3297"/>
      <c r="ANA232" s="3297"/>
      <c r="ANB232" s="3297"/>
      <c r="ANC232" s="3297"/>
      <c r="AND232" s="3297"/>
      <c r="ANE232" s="3297"/>
      <c r="ANF232" s="3297"/>
      <c r="ANG232" s="3297"/>
      <c r="ANH232" s="3297"/>
      <c r="ANI232" s="3297"/>
      <c r="ANJ232" s="3297"/>
      <c r="ANK232" s="3297"/>
      <c r="ANL232" s="3297"/>
      <c r="ANM232" s="3297"/>
      <c r="ANN232" s="3297"/>
      <c r="ANO232" s="3297"/>
      <c r="ANP232" s="3297"/>
      <c r="ANQ232" s="3297"/>
      <c r="ANR232" s="3297"/>
      <c r="ANS232" s="3297"/>
      <c r="ANT232" s="3297"/>
      <c r="ANU232" s="3297"/>
      <c r="ANV232" s="3297"/>
      <c r="ANW232" s="3297"/>
      <c r="ANX232" s="3297"/>
      <c r="ANY232" s="3297"/>
      <c r="ANZ232" s="3297"/>
      <c r="AOA232" s="3297"/>
      <c r="AOB232" s="3297"/>
      <c r="AOC232" s="3297"/>
      <c r="AOD232" s="3297"/>
      <c r="AOE232" s="3297"/>
      <c r="AOF232" s="3297"/>
      <c r="AOG232" s="3297"/>
      <c r="AOH232" s="3297"/>
      <c r="AOI232" s="3297"/>
      <c r="AOJ232" s="3297"/>
      <c r="AOK232" s="3297"/>
      <c r="AOL232" s="3297"/>
      <c r="AOM232" s="3297"/>
      <c r="AON232" s="3297"/>
      <c r="AOO232" s="3297"/>
      <c r="AOP232" s="3297"/>
      <c r="AOQ232" s="3297"/>
      <c r="AOR232" s="3297"/>
      <c r="AOS232" s="3297"/>
      <c r="AOT232" s="3297"/>
      <c r="AOU232" s="3297"/>
      <c r="AOV232" s="3297"/>
      <c r="AOW232" s="3297"/>
      <c r="AOX232" s="3297"/>
      <c r="AOY232" s="3297"/>
      <c r="AOZ232" s="3297"/>
      <c r="APA232" s="3297"/>
      <c r="APB232" s="3297"/>
      <c r="APC232" s="3297"/>
      <c r="APD232" s="3297"/>
      <c r="APE232" s="3297"/>
      <c r="APF232" s="3297"/>
      <c r="APG232" s="3297"/>
      <c r="APH232" s="3297"/>
      <c r="API232" s="3297"/>
      <c r="APJ232" s="3297"/>
      <c r="APK232" s="3297"/>
      <c r="APL232" s="3297"/>
      <c r="APM232" s="3297"/>
      <c r="APN232" s="3297"/>
      <c r="APO232" s="3297"/>
      <c r="APP232" s="3297"/>
      <c r="APQ232" s="3297"/>
      <c r="APR232" s="3297"/>
      <c r="APS232" s="3297"/>
      <c r="APT232" s="3297"/>
      <c r="APU232" s="3297"/>
      <c r="APV232" s="3297"/>
      <c r="APW232" s="3297"/>
      <c r="APX232" s="3297"/>
      <c r="APY232" s="3297"/>
      <c r="APZ232" s="3297"/>
      <c r="AQA232" s="3297"/>
      <c r="AQB232" s="3297"/>
      <c r="AQC232" s="3297"/>
      <c r="AQD232" s="3297"/>
      <c r="AQE232" s="3297"/>
      <c r="AQF232" s="3297"/>
      <c r="AQG232" s="3297"/>
      <c r="AQH232" s="3297"/>
      <c r="AQI232" s="3297"/>
      <c r="AQJ232" s="3297"/>
      <c r="AQK232" s="3297"/>
      <c r="AQL232" s="3297"/>
      <c r="AQM232" s="3297"/>
      <c r="AQN232" s="3297"/>
      <c r="AQO232" s="3297"/>
      <c r="AQP232" s="3297"/>
      <c r="AQQ232" s="3297"/>
      <c r="AQR232" s="3297"/>
      <c r="AQS232" s="3297"/>
      <c r="AQT232" s="3297"/>
      <c r="AQU232" s="3297"/>
      <c r="AQV232" s="3297"/>
      <c r="AQW232" s="3297"/>
      <c r="AQX232" s="3297"/>
      <c r="AQY232" s="3297"/>
      <c r="AQZ232" s="3297"/>
      <c r="ARA232" s="3297"/>
      <c r="ARB232" s="3297"/>
      <c r="ARC232" s="3297"/>
      <c r="ARD232" s="3297"/>
      <c r="ARE232" s="3297"/>
      <c r="ARF232" s="3297"/>
      <c r="ARG232" s="3297"/>
      <c r="ARH232" s="3297"/>
      <c r="ARI232" s="3297"/>
      <c r="ARJ232" s="3297"/>
      <c r="ARK232" s="3297"/>
      <c r="ARL232" s="3297"/>
      <c r="ARM232" s="3297"/>
      <c r="ARN232" s="3297"/>
      <c r="ARO232" s="3297"/>
      <c r="ARP232" s="3297"/>
      <c r="ARQ232" s="3297"/>
      <c r="ARR232" s="3297"/>
      <c r="ARS232" s="3297"/>
      <c r="ART232" s="3297"/>
      <c r="ARU232" s="3297"/>
      <c r="ARV232" s="3297"/>
      <c r="ARW232" s="3297"/>
      <c r="ARX232" s="3297"/>
      <c r="ARY232" s="3297"/>
      <c r="ARZ232" s="3297"/>
      <c r="ASA232" s="3297"/>
      <c r="ASB232" s="3297"/>
      <c r="ASC232" s="3297"/>
      <c r="ASD232" s="3297"/>
      <c r="ASE232" s="3297"/>
      <c r="ASF232" s="3297"/>
      <c r="ASG232" s="3297"/>
      <c r="ASH232" s="3297"/>
      <c r="ASI232" s="3297"/>
      <c r="ASJ232" s="3297"/>
      <c r="ASK232" s="3297"/>
      <c r="ASL232" s="3297"/>
      <c r="ASM232" s="3297"/>
      <c r="ASN232" s="3297"/>
      <c r="ASO232" s="3297"/>
      <c r="ASP232" s="3297"/>
      <c r="ASQ232" s="3297"/>
      <c r="ASR232" s="3297"/>
      <c r="ASS232" s="3297"/>
      <c r="AST232" s="3297"/>
      <c r="ASU232" s="3297"/>
      <c r="ASV232" s="3297"/>
      <c r="ASW232" s="3297"/>
      <c r="ASX232" s="3297"/>
      <c r="ASY232" s="3297"/>
      <c r="ASZ232" s="3297"/>
      <c r="ATA232" s="3297"/>
      <c r="ATB232" s="3297"/>
      <c r="ATC232" s="3297"/>
      <c r="ATD232" s="3297"/>
      <c r="ATE232" s="3297"/>
      <c r="ATF232" s="3297"/>
      <c r="ATG232" s="3297"/>
      <c r="ATH232" s="3297"/>
      <c r="ATI232" s="3297"/>
      <c r="ATJ232" s="3297"/>
      <c r="ATK232" s="3297"/>
      <c r="ATL232" s="3297"/>
      <c r="ATM232" s="3297"/>
      <c r="ATN232" s="3297"/>
      <c r="ATO232" s="3297"/>
      <c r="ATP232" s="3297"/>
      <c r="ATQ232" s="3297"/>
      <c r="ATR232" s="3297"/>
      <c r="ATS232" s="3297"/>
      <c r="ATT232" s="3297"/>
      <c r="ATU232" s="3297"/>
      <c r="ATV232" s="3297"/>
      <c r="ATW232" s="3297"/>
      <c r="ATX232" s="3297"/>
      <c r="ATY232" s="3297"/>
      <c r="ATZ232" s="3297"/>
      <c r="AUA232" s="3297"/>
      <c r="AUB232" s="3297"/>
      <c r="AUC232" s="3297"/>
      <c r="AUD232" s="3297"/>
      <c r="AUE232" s="3297"/>
      <c r="AUF232" s="3297"/>
      <c r="AUG232" s="3297"/>
      <c r="AUH232" s="3297"/>
      <c r="AUI232" s="3297"/>
      <c r="AUJ232" s="3297"/>
      <c r="AUK232" s="3297"/>
      <c r="AUL232" s="3297"/>
      <c r="AUM232" s="3297"/>
      <c r="AUN232" s="3297"/>
      <c r="AUO232" s="3297"/>
      <c r="AUP232" s="3297"/>
      <c r="AUQ232" s="3297"/>
      <c r="AUR232" s="3297"/>
      <c r="AUS232" s="3297"/>
      <c r="AUT232" s="3297"/>
      <c r="AUU232" s="3297"/>
      <c r="AUV232" s="3297"/>
      <c r="AUW232" s="3297"/>
      <c r="AUX232" s="3297"/>
      <c r="AUY232" s="3297"/>
      <c r="AUZ232" s="3297"/>
      <c r="AVA232" s="3297"/>
      <c r="AVB232" s="3297"/>
      <c r="AVC232" s="3297"/>
      <c r="AVD232" s="3297"/>
      <c r="AVE232" s="3297"/>
      <c r="AVF232" s="3297"/>
      <c r="AVG232" s="3297"/>
      <c r="AVH232" s="3297"/>
      <c r="AVI232" s="3297"/>
      <c r="AVJ232" s="3297"/>
      <c r="AVK232" s="3297"/>
      <c r="AVL232" s="3297"/>
      <c r="AVM232" s="3297"/>
      <c r="AVN232" s="3297"/>
      <c r="AVO232" s="3297"/>
      <c r="AVP232" s="3297"/>
      <c r="AVQ232" s="3297"/>
      <c r="AVR232" s="3297"/>
      <c r="AVS232" s="3297"/>
      <c r="AVT232" s="3297"/>
      <c r="AVU232" s="3297"/>
      <c r="AVV232" s="3297"/>
      <c r="AVW232" s="3297"/>
      <c r="AVX232" s="3297"/>
      <c r="AVY232" s="3297"/>
      <c r="AVZ232" s="3297"/>
      <c r="AWA232" s="3297"/>
      <c r="AWB232" s="3297"/>
      <c r="AWC232" s="3297"/>
      <c r="AWD232" s="3297"/>
      <c r="AWE232" s="3297"/>
      <c r="AWF232" s="3297"/>
      <c r="AWG232" s="3297"/>
      <c r="AWH232" s="3297"/>
      <c r="AWI232" s="3297"/>
      <c r="AWJ232" s="3297"/>
      <c r="AWK232" s="3297"/>
      <c r="AWL232" s="3297"/>
      <c r="AWM232" s="3297"/>
      <c r="AWN232" s="3297"/>
      <c r="AWO232" s="3297"/>
      <c r="AWP232" s="3297"/>
      <c r="AWQ232" s="3297"/>
      <c r="AWR232" s="3297"/>
      <c r="AWS232" s="3297"/>
      <c r="AWT232" s="3297"/>
      <c r="AWU232" s="3297"/>
      <c r="AWV232" s="3297"/>
      <c r="AWW232" s="3297"/>
      <c r="AWX232" s="3297"/>
      <c r="AWY232" s="3297"/>
      <c r="AWZ232" s="3297"/>
      <c r="AXA232" s="3297"/>
      <c r="AXB232" s="3297"/>
      <c r="AXC232" s="3297"/>
      <c r="AXD232" s="3297"/>
      <c r="AXE232" s="3297"/>
      <c r="AXF232" s="3297"/>
      <c r="AXG232" s="3297"/>
      <c r="AXH232" s="3297"/>
      <c r="AXI232" s="3297"/>
      <c r="AXJ232" s="3297"/>
    </row>
    <row r="233" spans="1:1310" s="3298" customFormat="1" ht="23.25" customHeight="1">
      <c r="A233" s="468"/>
      <c r="B233" s="3301"/>
      <c r="C233" s="3301"/>
      <c r="D233" s="3301"/>
      <c r="E233" s="3301"/>
      <c r="F233" s="3300"/>
      <c r="G233" s="3302"/>
      <c r="H233" s="3302"/>
      <c r="I233" s="3302"/>
      <c r="J233" s="3303"/>
      <c r="K233" s="3302"/>
      <c r="L233" s="3302"/>
      <c r="M233" s="3302"/>
      <c r="N233" s="3303"/>
      <c r="O233" s="6645" t="s">
        <v>3115</v>
      </c>
      <c r="P233" s="6645"/>
      <c r="Q233" s="3303"/>
      <c r="R233" s="443"/>
      <c r="S233" s="443"/>
      <c r="T233" s="443"/>
      <c r="U233" s="443"/>
      <c r="V233" s="443"/>
      <c r="W233" s="443"/>
      <c r="X233" s="443"/>
      <c r="Y233" s="443"/>
      <c r="Z233" s="443"/>
      <c r="AA233" s="443"/>
      <c r="AB233" s="443"/>
      <c r="AC233" s="443"/>
      <c r="AD233" s="3297"/>
      <c r="AE233" s="3297"/>
      <c r="AF233" s="3297"/>
      <c r="AG233" s="3297"/>
      <c r="AH233" s="3297"/>
      <c r="AI233" s="3297"/>
      <c r="AJ233" s="3297"/>
      <c r="AK233" s="3297"/>
      <c r="AL233" s="3297"/>
      <c r="AM233" s="3297"/>
      <c r="AN233" s="3297"/>
      <c r="AO233" s="3297"/>
      <c r="AP233" s="3297"/>
      <c r="AQ233" s="3297"/>
      <c r="AR233" s="3297"/>
      <c r="AS233" s="3297"/>
      <c r="AT233" s="3297"/>
      <c r="AU233" s="3297"/>
      <c r="AV233" s="3297"/>
      <c r="AW233" s="3297"/>
      <c r="AX233" s="3297"/>
      <c r="AY233" s="3297"/>
      <c r="AZ233" s="3297"/>
      <c r="BA233" s="3297"/>
      <c r="BB233" s="3297"/>
      <c r="BC233" s="3297"/>
      <c r="BD233" s="3297"/>
      <c r="BE233" s="3297"/>
      <c r="BF233" s="3297"/>
      <c r="BG233" s="3297"/>
      <c r="BH233" s="3297"/>
      <c r="BI233" s="3297"/>
      <c r="BJ233" s="3297"/>
      <c r="BK233" s="3297"/>
      <c r="BL233" s="3297"/>
      <c r="BM233" s="3297"/>
      <c r="BN233" s="3297"/>
      <c r="BO233" s="3297"/>
      <c r="BP233" s="3297"/>
      <c r="BQ233" s="3297"/>
      <c r="BR233" s="3297"/>
      <c r="BS233" s="3297"/>
      <c r="BT233" s="3297"/>
      <c r="BU233" s="3297"/>
      <c r="BV233" s="3297"/>
      <c r="BW233" s="3297"/>
      <c r="BX233" s="3297"/>
      <c r="BY233" s="3297"/>
      <c r="BZ233" s="3297"/>
      <c r="CA233" s="3297"/>
      <c r="CB233" s="3297"/>
      <c r="CC233" s="3297"/>
      <c r="CD233" s="3297"/>
      <c r="CE233" s="3297"/>
      <c r="CF233" s="3297"/>
      <c r="CG233" s="3297"/>
      <c r="CH233" s="3297"/>
      <c r="CI233" s="3297"/>
      <c r="CJ233" s="3297"/>
      <c r="CK233" s="3297"/>
      <c r="CL233" s="3297"/>
      <c r="CM233" s="3297"/>
      <c r="CN233" s="3297"/>
      <c r="CO233" s="3297"/>
      <c r="CP233" s="3297"/>
      <c r="CQ233" s="3297"/>
      <c r="CR233" s="3297"/>
      <c r="CS233" s="3297"/>
      <c r="CT233" s="3297"/>
      <c r="CU233" s="3297"/>
      <c r="CV233" s="3297"/>
      <c r="CW233" s="3297"/>
      <c r="CX233" s="3297"/>
      <c r="CY233" s="3297"/>
      <c r="CZ233" s="3297"/>
      <c r="DA233" s="3297"/>
      <c r="DB233" s="3297"/>
      <c r="DC233" s="3297"/>
      <c r="DD233" s="3297"/>
      <c r="DE233" s="3297"/>
      <c r="DF233" s="3297"/>
      <c r="DG233" s="3297"/>
      <c r="DH233" s="3297"/>
      <c r="DI233" s="3297"/>
      <c r="DJ233" s="3297"/>
      <c r="DK233" s="3297"/>
      <c r="DL233" s="3297"/>
      <c r="DM233" s="3297"/>
      <c r="DN233" s="3297"/>
      <c r="DO233" s="3297"/>
      <c r="DP233" s="3297"/>
      <c r="DQ233" s="3297"/>
      <c r="DR233" s="3297"/>
      <c r="DS233" s="3297"/>
      <c r="DT233" s="3297"/>
      <c r="DU233" s="3297"/>
      <c r="DV233" s="3297"/>
      <c r="DW233" s="3297"/>
      <c r="DX233" s="3297"/>
      <c r="DY233" s="3297"/>
      <c r="DZ233" s="3297"/>
      <c r="EA233" s="3297"/>
      <c r="EB233" s="3297"/>
      <c r="EC233" s="3297"/>
      <c r="ED233" s="3297"/>
      <c r="EE233" s="3297"/>
      <c r="EF233" s="3297"/>
      <c r="EG233" s="3297"/>
      <c r="EH233" s="3297"/>
      <c r="EI233" s="3297"/>
      <c r="EJ233" s="3297"/>
      <c r="EK233" s="3297"/>
      <c r="EL233" s="3297"/>
      <c r="EM233" s="3297"/>
      <c r="EN233" s="3297"/>
      <c r="EO233" s="3297"/>
      <c r="EP233" s="3297"/>
      <c r="EQ233" s="3297"/>
      <c r="ER233" s="3297"/>
      <c r="ES233" s="3297"/>
      <c r="ET233" s="3297"/>
      <c r="EU233" s="3297"/>
      <c r="EV233" s="3297"/>
      <c r="EW233" s="3297"/>
      <c r="EX233" s="3297"/>
      <c r="EY233" s="3297"/>
      <c r="EZ233" s="3297"/>
      <c r="FA233" s="3297"/>
      <c r="FB233" s="3297"/>
      <c r="FC233" s="3297"/>
      <c r="FD233" s="3297"/>
      <c r="FE233" s="3297"/>
      <c r="FF233" s="3297"/>
      <c r="FG233" s="3297"/>
      <c r="FH233" s="3297"/>
      <c r="FI233" s="3297"/>
      <c r="FJ233" s="3297"/>
      <c r="FK233" s="3297"/>
      <c r="FL233" s="3297"/>
      <c r="FM233" s="3297"/>
      <c r="FN233" s="3297"/>
      <c r="FO233" s="3297"/>
      <c r="FP233" s="3297"/>
      <c r="FQ233" s="3297"/>
      <c r="FR233" s="3297"/>
      <c r="FS233" s="3297"/>
      <c r="FT233" s="3297"/>
      <c r="FU233" s="3297"/>
      <c r="FV233" s="3297"/>
      <c r="FW233" s="3297"/>
      <c r="FX233" s="3297"/>
      <c r="FY233" s="3297"/>
      <c r="FZ233" s="3297"/>
      <c r="GA233" s="3297"/>
      <c r="GB233" s="3297"/>
      <c r="GC233" s="3297"/>
      <c r="GD233" s="3297"/>
      <c r="GE233" s="3297"/>
      <c r="GF233" s="3297"/>
      <c r="GG233" s="3297"/>
      <c r="GH233" s="3297"/>
      <c r="GI233" s="3297"/>
      <c r="GJ233" s="3297"/>
      <c r="GK233" s="3297"/>
      <c r="GL233" s="3297"/>
      <c r="GM233" s="3297"/>
      <c r="GN233" s="3297"/>
      <c r="GO233" s="3297"/>
      <c r="GP233" s="3297"/>
      <c r="GQ233" s="3297"/>
      <c r="GR233" s="3297"/>
      <c r="GS233" s="3297"/>
      <c r="GT233" s="3297"/>
      <c r="GU233" s="3297"/>
      <c r="GV233" s="3297"/>
      <c r="GW233" s="3297"/>
      <c r="GX233" s="3297"/>
      <c r="GY233" s="3297"/>
      <c r="GZ233" s="3297"/>
      <c r="HA233" s="3297"/>
      <c r="HB233" s="3297"/>
      <c r="HC233" s="3297"/>
      <c r="HD233" s="3297"/>
      <c r="HE233" s="3297"/>
      <c r="HF233" s="3297"/>
      <c r="HG233" s="3297"/>
      <c r="HH233" s="3297"/>
      <c r="HI233" s="3297"/>
      <c r="HJ233" s="3297"/>
      <c r="HK233" s="3297"/>
      <c r="HL233" s="3297"/>
      <c r="HM233" s="3297"/>
      <c r="HN233" s="3297"/>
      <c r="HO233" s="3297"/>
      <c r="HP233" s="3297"/>
      <c r="HQ233" s="3297"/>
      <c r="HR233" s="3297"/>
      <c r="HS233" s="3297"/>
      <c r="HT233" s="3297"/>
      <c r="HU233" s="3297"/>
      <c r="HV233" s="3297"/>
      <c r="HW233" s="3297"/>
      <c r="HX233" s="3297"/>
      <c r="HY233" s="3297"/>
      <c r="HZ233" s="3297"/>
      <c r="IA233" s="3297"/>
      <c r="IB233" s="3297"/>
      <c r="IC233" s="3297"/>
      <c r="ID233" s="3297"/>
      <c r="IE233" s="3297"/>
      <c r="IF233" s="3297"/>
      <c r="IG233" s="3297"/>
      <c r="IH233" s="3297"/>
      <c r="II233" s="3297"/>
      <c r="IJ233" s="3297"/>
      <c r="IK233" s="3297"/>
      <c r="IL233" s="3297"/>
      <c r="IM233" s="3297"/>
      <c r="IN233" s="3297"/>
      <c r="IO233" s="3297"/>
      <c r="IP233" s="3297"/>
      <c r="IQ233" s="3297"/>
      <c r="IR233" s="3297"/>
      <c r="IS233" s="3297"/>
      <c r="IT233" s="3297"/>
      <c r="IU233" s="3297"/>
      <c r="IV233" s="3297"/>
      <c r="IW233" s="3297"/>
      <c r="IX233" s="3297"/>
      <c r="IY233" s="3297"/>
      <c r="IZ233" s="3297"/>
      <c r="JA233" s="3297"/>
      <c r="JB233" s="3297"/>
      <c r="JC233" s="3297"/>
      <c r="JD233" s="3297"/>
      <c r="JE233" s="3297"/>
      <c r="JF233" s="3297"/>
      <c r="JG233" s="3297"/>
      <c r="JH233" s="3297"/>
      <c r="JI233" s="3297"/>
      <c r="JJ233" s="3297"/>
      <c r="JK233" s="3297"/>
      <c r="JL233" s="3297"/>
      <c r="JM233" s="3297"/>
      <c r="JN233" s="3297"/>
      <c r="JO233" s="3297"/>
      <c r="JP233" s="3297"/>
      <c r="JQ233" s="3297"/>
      <c r="JR233" s="3297"/>
      <c r="JS233" s="3297"/>
      <c r="JT233" s="3297"/>
      <c r="JU233" s="3297"/>
      <c r="JV233" s="3297"/>
      <c r="JW233" s="3297"/>
      <c r="JX233" s="3297"/>
      <c r="JY233" s="3297"/>
      <c r="JZ233" s="3297"/>
      <c r="KA233" s="3297"/>
      <c r="KB233" s="3297"/>
      <c r="KC233" s="3297"/>
      <c r="KD233" s="3297"/>
      <c r="KE233" s="3297"/>
      <c r="KF233" s="3297"/>
      <c r="KG233" s="3297"/>
      <c r="KH233" s="3297"/>
      <c r="KI233" s="3297"/>
      <c r="KJ233" s="3297"/>
      <c r="KK233" s="3297"/>
      <c r="KL233" s="3297"/>
      <c r="KM233" s="3297"/>
      <c r="KN233" s="3297"/>
      <c r="KO233" s="3297"/>
      <c r="KP233" s="3297"/>
      <c r="KQ233" s="3297"/>
      <c r="KR233" s="3297"/>
      <c r="KS233" s="3297"/>
      <c r="KT233" s="3297"/>
      <c r="KU233" s="3297"/>
      <c r="KV233" s="3297"/>
      <c r="KW233" s="3297"/>
      <c r="KX233" s="3297"/>
      <c r="KY233" s="3297"/>
      <c r="KZ233" s="3297"/>
      <c r="LA233" s="3297"/>
      <c r="LB233" s="3297"/>
      <c r="LC233" s="3297"/>
      <c r="LD233" s="3297"/>
      <c r="LE233" s="3297"/>
      <c r="LF233" s="3297"/>
      <c r="LG233" s="3297"/>
      <c r="LH233" s="3297"/>
      <c r="LI233" s="3297"/>
      <c r="LJ233" s="3297"/>
      <c r="LK233" s="3297"/>
      <c r="LL233" s="3297"/>
      <c r="LM233" s="3297"/>
      <c r="LN233" s="3297"/>
      <c r="LO233" s="3297"/>
      <c r="LP233" s="3297"/>
      <c r="LQ233" s="3297"/>
      <c r="LR233" s="3297"/>
      <c r="LS233" s="3297"/>
      <c r="LT233" s="3297"/>
      <c r="LU233" s="3297"/>
      <c r="LV233" s="3297"/>
      <c r="LW233" s="3297"/>
      <c r="LX233" s="3297"/>
      <c r="LY233" s="3297"/>
      <c r="LZ233" s="3297"/>
      <c r="MA233" s="3297"/>
      <c r="MB233" s="3297"/>
      <c r="MC233" s="3297"/>
      <c r="MD233" s="3297"/>
      <c r="ME233" s="3297"/>
      <c r="MF233" s="3297"/>
      <c r="MG233" s="3297"/>
      <c r="MH233" s="3297"/>
      <c r="MI233" s="3297"/>
      <c r="MJ233" s="3297"/>
      <c r="MK233" s="3297"/>
      <c r="ML233" s="3297"/>
      <c r="MM233" s="3297"/>
      <c r="MN233" s="3297"/>
      <c r="MO233" s="3297"/>
      <c r="MP233" s="3297"/>
      <c r="MQ233" s="3297"/>
      <c r="MR233" s="3297"/>
      <c r="MS233" s="3297"/>
      <c r="MT233" s="3297"/>
      <c r="MU233" s="3297"/>
      <c r="MV233" s="3297"/>
      <c r="MW233" s="3297"/>
      <c r="MX233" s="3297"/>
      <c r="MY233" s="3297"/>
      <c r="MZ233" s="3297"/>
      <c r="NA233" s="3297"/>
      <c r="NB233" s="3297"/>
      <c r="NC233" s="3297"/>
      <c r="ND233" s="3297"/>
      <c r="NE233" s="3297"/>
      <c r="NF233" s="3297"/>
      <c r="NG233" s="3297"/>
      <c r="NH233" s="3297"/>
      <c r="NI233" s="3297"/>
      <c r="NJ233" s="3297"/>
      <c r="NK233" s="3297"/>
      <c r="NL233" s="3297"/>
      <c r="NM233" s="3297"/>
      <c r="NN233" s="3297"/>
      <c r="NO233" s="3297"/>
      <c r="NP233" s="3297"/>
      <c r="NQ233" s="3297"/>
      <c r="NR233" s="3297"/>
      <c r="NS233" s="3297"/>
      <c r="NT233" s="3297"/>
      <c r="NU233" s="3297"/>
      <c r="NV233" s="3297"/>
      <c r="NW233" s="3297"/>
      <c r="NX233" s="3297"/>
      <c r="NY233" s="3297"/>
      <c r="NZ233" s="3297"/>
      <c r="OA233" s="3297"/>
      <c r="OB233" s="3297"/>
      <c r="OC233" s="3297"/>
      <c r="OD233" s="3297"/>
      <c r="OE233" s="3297"/>
      <c r="OF233" s="3297"/>
      <c r="OG233" s="3297"/>
      <c r="OH233" s="3297"/>
      <c r="OI233" s="3297"/>
      <c r="OJ233" s="3297"/>
      <c r="OK233" s="3297"/>
      <c r="OL233" s="3297"/>
      <c r="OM233" s="3297"/>
      <c r="ON233" s="3297"/>
      <c r="OO233" s="3297"/>
      <c r="OP233" s="3297"/>
      <c r="OQ233" s="3297"/>
      <c r="OR233" s="3297"/>
      <c r="OS233" s="3297"/>
      <c r="OT233" s="3297"/>
      <c r="OU233" s="3297"/>
      <c r="OV233" s="3297"/>
      <c r="OW233" s="3297"/>
      <c r="OX233" s="3297"/>
      <c r="OY233" s="3297"/>
      <c r="OZ233" s="3297"/>
      <c r="PA233" s="3297"/>
      <c r="PB233" s="3297"/>
      <c r="PC233" s="3297"/>
      <c r="PD233" s="3297"/>
      <c r="PE233" s="3297"/>
      <c r="PF233" s="3297"/>
      <c r="PG233" s="3297"/>
      <c r="PH233" s="3297"/>
      <c r="PI233" s="3297"/>
      <c r="PJ233" s="3297"/>
      <c r="PK233" s="3297"/>
      <c r="PL233" s="3297"/>
      <c r="PM233" s="3297"/>
      <c r="PN233" s="3297"/>
      <c r="PO233" s="3297"/>
      <c r="PP233" s="3297"/>
      <c r="PQ233" s="3297"/>
      <c r="PR233" s="3297"/>
      <c r="PS233" s="3297"/>
      <c r="PT233" s="3297"/>
      <c r="PU233" s="3297"/>
      <c r="PV233" s="3297"/>
      <c r="PW233" s="3297"/>
      <c r="PX233" s="3297"/>
      <c r="PY233" s="3297"/>
      <c r="PZ233" s="3297"/>
      <c r="QA233" s="3297"/>
      <c r="QB233" s="3297"/>
      <c r="QC233" s="3297"/>
      <c r="QD233" s="3297"/>
      <c r="QE233" s="3297"/>
      <c r="QF233" s="3297"/>
      <c r="QG233" s="3297"/>
      <c r="QH233" s="3297"/>
      <c r="QI233" s="3297"/>
      <c r="QJ233" s="3297"/>
      <c r="QK233" s="3297"/>
      <c r="QL233" s="3297"/>
      <c r="QM233" s="3297"/>
      <c r="QN233" s="3297"/>
      <c r="QO233" s="3297"/>
      <c r="QP233" s="3297"/>
      <c r="QQ233" s="3297"/>
      <c r="QR233" s="3297"/>
      <c r="QS233" s="3297"/>
      <c r="QT233" s="3297"/>
      <c r="QU233" s="3297"/>
      <c r="QV233" s="3297"/>
      <c r="QW233" s="3297"/>
      <c r="QX233" s="3297"/>
      <c r="QY233" s="3297"/>
      <c r="QZ233" s="3297"/>
      <c r="RA233" s="3297"/>
      <c r="RB233" s="3297"/>
      <c r="RC233" s="3297"/>
      <c r="RD233" s="3297"/>
      <c r="RE233" s="3297"/>
      <c r="RF233" s="3297"/>
      <c r="RG233" s="3297"/>
      <c r="RH233" s="3297"/>
      <c r="RI233" s="3297"/>
      <c r="RJ233" s="3297"/>
      <c r="RK233" s="3297"/>
      <c r="RL233" s="3297"/>
      <c r="RM233" s="3297"/>
      <c r="RN233" s="3297"/>
      <c r="RO233" s="3297"/>
      <c r="RP233" s="3297"/>
      <c r="RQ233" s="3297"/>
      <c r="RR233" s="3297"/>
      <c r="RS233" s="3297"/>
      <c r="RT233" s="3297"/>
      <c r="RU233" s="3297"/>
      <c r="RV233" s="3297"/>
      <c r="RW233" s="3297"/>
      <c r="RX233" s="3297"/>
      <c r="RY233" s="3297"/>
      <c r="RZ233" s="3297"/>
      <c r="SA233" s="3297"/>
      <c r="SB233" s="3297"/>
      <c r="SC233" s="3297"/>
      <c r="SD233" s="3297"/>
      <c r="SE233" s="3297"/>
      <c r="SF233" s="3297"/>
      <c r="SG233" s="3297"/>
      <c r="SH233" s="3297"/>
      <c r="SI233" s="3297"/>
      <c r="SJ233" s="3297"/>
      <c r="SK233" s="3297"/>
      <c r="SL233" s="3297"/>
      <c r="SM233" s="3297"/>
      <c r="SN233" s="3297"/>
      <c r="SO233" s="3297"/>
      <c r="SP233" s="3297"/>
      <c r="SQ233" s="3297"/>
      <c r="SR233" s="3297"/>
      <c r="SS233" s="3297"/>
      <c r="ST233" s="3297"/>
      <c r="SU233" s="3297"/>
      <c r="SV233" s="3297"/>
      <c r="SW233" s="3297"/>
      <c r="SX233" s="3297"/>
      <c r="SY233" s="3297"/>
      <c r="SZ233" s="3297"/>
      <c r="TA233" s="3297"/>
      <c r="TB233" s="3297"/>
      <c r="TC233" s="3297"/>
      <c r="TD233" s="3297"/>
      <c r="TE233" s="3297"/>
      <c r="TF233" s="3297"/>
      <c r="TG233" s="3297"/>
      <c r="TH233" s="3297"/>
      <c r="TI233" s="3297"/>
      <c r="TJ233" s="3297"/>
      <c r="TK233" s="3297"/>
      <c r="TL233" s="3297"/>
      <c r="TM233" s="3297"/>
      <c r="TN233" s="3297"/>
      <c r="TO233" s="3297"/>
      <c r="TP233" s="3297"/>
      <c r="TQ233" s="3297"/>
      <c r="TR233" s="3297"/>
      <c r="TS233" s="3297"/>
      <c r="TT233" s="3297"/>
      <c r="TU233" s="3297"/>
      <c r="TV233" s="3297"/>
      <c r="TW233" s="3297"/>
      <c r="TX233" s="3297"/>
      <c r="TY233" s="3297"/>
      <c r="TZ233" s="3297"/>
      <c r="UA233" s="3297"/>
      <c r="UB233" s="3297"/>
      <c r="UC233" s="3297"/>
      <c r="UD233" s="3297"/>
      <c r="UE233" s="3297"/>
      <c r="UF233" s="3297"/>
      <c r="UG233" s="3297"/>
      <c r="UH233" s="3297"/>
      <c r="UI233" s="3297"/>
      <c r="UJ233" s="3297"/>
      <c r="UK233" s="3297"/>
      <c r="UL233" s="3297"/>
      <c r="UM233" s="3297"/>
      <c r="UN233" s="3297"/>
      <c r="UO233" s="3297"/>
      <c r="UP233" s="3297"/>
      <c r="UQ233" s="3297"/>
      <c r="UR233" s="3297"/>
      <c r="US233" s="3297"/>
      <c r="UT233" s="3297"/>
      <c r="UU233" s="3297"/>
      <c r="UV233" s="3297"/>
      <c r="UW233" s="3297"/>
      <c r="UX233" s="3297"/>
      <c r="UY233" s="3297"/>
      <c r="UZ233" s="3297"/>
      <c r="VA233" s="3297"/>
      <c r="VB233" s="3297"/>
      <c r="VC233" s="3297"/>
      <c r="VD233" s="3297"/>
      <c r="VE233" s="3297"/>
      <c r="VF233" s="3297"/>
      <c r="VG233" s="3297"/>
      <c r="VH233" s="3297"/>
      <c r="VI233" s="3297"/>
      <c r="VJ233" s="3297"/>
      <c r="VK233" s="3297"/>
      <c r="VL233" s="3297"/>
      <c r="VM233" s="3297"/>
      <c r="VN233" s="3297"/>
      <c r="VO233" s="3297"/>
      <c r="VP233" s="3297"/>
      <c r="VQ233" s="3297"/>
      <c r="VR233" s="3297"/>
      <c r="VS233" s="3297"/>
      <c r="VT233" s="3297"/>
      <c r="VU233" s="3297"/>
      <c r="VV233" s="3297"/>
      <c r="VW233" s="3297"/>
      <c r="VX233" s="3297"/>
      <c r="VY233" s="3297"/>
      <c r="VZ233" s="3297"/>
      <c r="WA233" s="3297"/>
      <c r="WB233" s="3297"/>
      <c r="WC233" s="3297"/>
      <c r="WD233" s="3297"/>
      <c r="WE233" s="3297"/>
      <c r="WF233" s="3297"/>
      <c r="WG233" s="3297"/>
      <c r="WH233" s="3297"/>
      <c r="WI233" s="3297"/>
      <c r="WJ233" s="3297"/>
      <c r="WK233" s="3297"/>
      <c r="WL233" s="3297"/>
      <c r="WM233" s="3297"/>
      <c r="WN233" s="3297"/>
      <c r="WO233" s="3297"/>
      <c r="WP233" s="3297"/>
      <c r="WQ233" s="3297"/>
      <c r="WR233" s="3297"/>
      <c r="WS233" s="3297"/>
      <c r="WT233" s="3297"/>
      <c r="WU233" s="3297"/>
      <c r="WV233" s="3297"/>
      <c r="WW233" s="3297"/>
      <c r="WX233" s="3297"/>
      <c r="WY233" s="3297"/>
      <c r="WZ233" s="3297"/>
      <c r="XA233" s="3297"/>
      <c r="XB233" s="3297"/>
      <c r="XC233" s="3297"/>
      <c r="XD233" s="3297"/>
      <c r="XE233" s="3297"/>
      <c r="XF233" s="3297"/>
      <c r="XG233" s="3297"/>
      <c r="XH233" s="3297"/>
      <c r="XI233" s="3297"/>
      <c r="XJ233" s="3297"/>
      <c r="XK233" s="3297"/>
      <c r="XL233" s="3297"/>
      <c r="XM233" s="3297"/>
      <c r="XN233" s="3297"/>
      <c r="XO233" s="3297"/>
      <c r="XP233" s="3297"/>
      <c r="XQ233" s="3297"/>
      <c r="XR233" s="3297"/>
      <c r="XS233" s="3297"/>
      <c r="XT233" s="3297"/>
      <c r="XU233" s="3297"/>
      <c r="XV233" s="3297"/>
      <c r="XW233" s="3297"/>
      <c r="XX233" s="3297"/>
      <c r="XY233" s="3297"/>
      <c r="XZ233" s="3297"/>
      <c r="YA233" s="3297"/>
      <c r="YB233" s="3297"/>
      <c r="YC233" s="3297"/>
      <c r="YD233" s="3297"/>
      <c r="YE233" s="3297"/>
      <c r="YF233" s="3297"/>
      <c r="YG233" s="3297"/>
      <c r="YH233" s="3297"/>
      <c r="YI233" s="3297"/>
      <c r="YJ233" s="3297"/>
      <c r="YK233" s="3297"/>
      <c r="YL233" s="3297"/>
      <c r="YM233" s="3297"/>
      <c r="YN233" s="3297"/>
      <c r="YO233" s="3297"/>
      <c r="YP233" s="3297"/>
      <c r="YQ233" s="3297"/>
      <c r="YR233" s="3297"/>
      <c r="YS233" s="3297"/>
      <c r="YT233" s="3297"/>
      <c r="YU233" s="3297"/>
      <c r="YV233" s="3297"/>
      <c r="YW233" s="3297"/>
      <c r="YX233" s="3297"/>
      <c r="YY233" s="3297"/>
      <c r="YZ233" s="3297"/>
      <c r="ZA233" s="3297"/>
      <c r="ZB233" s="3297"/>
      <c r="ZC233" s="3297"/>
      <c r="ZD233" s="3297"/>
      <c r="ZE233" s="3297"/>
      <c r="ZF233" s="3297"/>
      <c r="ZG233" s="3297"/>
      <c r="ZH233" s="3297"/>
      <c r="ZI233" s="3297"/>
      <c r="ZJ233" s="3297"/>
      <c r="ZK233" s="3297"/>
      <c r="ZL233" s="3297"/>
      <c r="ZM233" s="3297"/>
      <c r="ZN233" s="3297"/>
      <c r="ZO233" s="3297"/>
      <c r="ZP233" s="3297"/>
      <c r="ZQ233" s="3297"/>
      <c r="ZR233" s="3297"/>
      <c r="ZS233" s="3297"/>
      <c r="ZT233" s="3297"/>
      <c r="ZU233" s="3297"/>
      <c r="ZV233" s="3297"/>
      <c r="ZW233" s="3297"/>
      <c r="ZX233" s="3297"/>
      <c r="ZY233" s="3297"/>
      <c r="ZZ233" s="3297"/>
      <c r="AAA233" s="3297"/>
      <c r="AAB233" s="3297"/>
      <c r="AAC233" s="3297"/>
      <c r="AAD233" s="3297"/>
      <c r="AAE233" s="3297"/>
      <c r="AAF233" s="3297"/>
      <c r="AAG233" s="3297"/>
      <c r="AAH233" s="3297"/>
      <c r="AAI233" s="3297"/>
      <c r="AAJ233" s="3297"/>
      <c r="AAK233" s="3297"/>
      <c r="AAL233" s="3297"/>
      <c r="AAM233" s="3297"/>
      <c r="AAN233" s="3297"/>
      <c r="AAO233" s="3297"/>
      <c r="AAP233" s="3297"/>
      <c r="AAQ233" s="3297"/>
      <c r="AAR233" s="3297"/>
      <c r="AAS233" s="3297"/>
      <c r="AAT233" s="3297"/>
      <c r="AAU233" s="3297"/>
      <c r="AAV233" s="3297"/>
      <c r="AAW233" s="3297"/>
      <c r="AAX233" s="3297"/>
      <c r="AAY233" s="3297"/>
      <c r="AAZ233" s="3297"/>
      <c r="ABA233" s="3297"/>
      <c r="ABB233" s="3297"/>
      <c r="ABC233" s="3297"/>
      <c r="ABD233" s="3297"/>
      <c r="ABE233" s="3297"/>
      <c r="ABF233" s="3297"/>
      <c r="ABG233" s="3297"/>
      <c r="ABH233" s="3297"/>
      <c r="ABI233" s="3297"/>
      <c r="ABJ233" s="3297"/>
      <c r="ABK233" s="3297"/>
      <c r="ABL233" s="3297"/>
      <c r="ABM233" s="3297"/>
      <c r="ABN233" s="3297"/>
      <c r="ABO233" s="3297"/>
      <c r="ABP233" s="3297"/>
      <c r="ABQ233" s="3297"/>
      <c r="ABR233" s="3297"/>
      <c r="ABS233" s="3297"/>
      <c r="ABT233" s="3297"/>
      <c r="ABU233" s="3297"/>
      <c r="ABV233" s="3297"/>
      <c r="ABW233" s="3297"/>
      <c r="ABX233" s="3297"/>
      <c r="ABY233" s="3297"/>
      <c r="ABZ233" s="3297"/>
      <c r="ACA233" s="3297"/>
      <c r="ACB233" s="3297"/>
      <c r="ACC233" s="3297"/>
      <c r="ACD233" s="3297"/>
      <c r="ACE233" s="3297"/>
      <c r="ACF233" s="3297"/>
      <c r="ACG233" s="3297"/>
      <c r="ACH233" s="3297"/>
      <c r="ACI233" s="3297"/>
      <c r="ACJ233" s="3297"/>
      <c r="ACK233" s="3297"/>
      <c r="ACL233" s="3297"/>
      <c r="ACM233" s="3297"/>
      <c r="ACN233" s="3297"/>
      <c r="ACO233" s="3297"/>
      <c r="ACP233" s="3297"/>
      <c r="ACQ233" s="3297"/>
      <c r="ACR233" s="3297"/>
      <c r="ACS233" s="3297"/>
      <c r="ACT233" s="3297"/>
      <c r="ACU233" s="3297"/>
      <c r="ACV233" s="3297"/>
      <c r="ACW233" s="3297"/>
      <c r="ACX233" s="3297"/>
      <c r="ACY233" s="3297"/>
      <c r="ACZ233" s="3297"/>
      <c r="ADA233" s="3297"/>
      <c r="ADB233" s="3297"/>
      <c r="ADC233" s="3297"/>
      <c r="ADD233" s="3297"/>
      <c r="ADE233" s="3297"/>
      <c r="ADF233" s="3297"/>
      <c r="ADG233" s="3297"/>
      <c r="ADH233" s="3297"/>
      <c r="ADI233" s="3297"/>
      <c r="ADJ233" s="3297"/>
      <c r="ADK233" s="3297"/>
      <c r="ADL233" s="3297"/>
      <c r="ADM233" s="3297"/>
      <c r="ADN233" s="3297"/>
      <c r="ADO233" s="3297"/>
      <c r="ADP233" s="3297"/>
      <c r="ADQ233" s="3297"/>
      <c r="ADR233" s="3297"/>
      <c r="ADS233" s="3297"/>
      <c r="ADT233" s="3297"/>
      <c r="ADU233" s="3297"/>
      <c r="ADV233" s="3297"/>
      <c r="ADW233" s="3297"/>
      <c r="ADX233" s="3297"/>
      <c r="ADY233" s="3297"/>
      <c r="ADZ233" s="3297"/>
      <c r="AEA233" s="3297"/>
      <c r="AEB233" s="3297"/>
      <c r="AEC233" s="3297"/>
      <c r="AED233" s="3297"/>
      <c r="AEE233" s="3297"/>
      <c r="AEF233" s="3297"/>
      <c r="AEG233" s="3297"/>
      <c r="AEH233" s="3297"/>
      <c r="AEI233" s="3297"/>
      <c r="AEJ233" s="3297"/>
      <c r="AEK233" s="3297"/>
      <c r="AEL233" s="3297"/>
      <c r="AEM233" s="3297"/>
      <c r="AEN233" s="3297"/>
      <c r="AEO233" s="3297"/>
      <c r="AEP233" s="3297"/>
      <c r="AEQ233" s="3297"/>
      <c r="AER233" s="3297"/>
      <c r="AES233" s="3297"/>
      <c r="AET233" s="3297"/>
      <c r="AEU233" s="3297"/>
      <c r="AEV233" s="3297"/>
      <c r="AEW233" s="3297"/>
      <c r="AEX233" s="3297"/>
      <c r="AEY233" s="3297"/>
      <c r="AEZ233" s="3297"/>
      <c r="AFA233" s="3297"/>
      <c r="AFB233" s="3297"/>
      <c r="AFC233" s="3297"/>
      <c r="AFD233" s="3297"/>
      <c r="AFE233" s="3297"/>
      <c r="AFF233" s="3297"/>
      <c r="AFG233" s="3297"/>
      <c r="AFH233" s="3297"/>
      <c r="AFI233" s="3297"/>
      <c r="AFJ233" s="3297"/>
      <c r="AFK233" s="3297"/>
      <c r="AFL233" s="3297"/>
      <c r="AFM233" s="3297"/>
      <c r="AFN233" s="3297"/>
      <c r="AFO233" s="3297"/>
      <c r="AFP233" s="3297"/>
      <c r="AFQ233" s="3297"/>
      <c r="AFR233" s="3297"/>
      <c r="AFS233" s="3297"/>
      <c r="AFT233" s="3297"/>
      <c r="AFU233" s="3297"/>
      <c r="AFV233" s="3297"/>
      <c r="AFW233" s="3297"/>
      <c r="AFX233" s="3297"/>
      <c r="AFY233" s="3297"/>
      <c r="AFZ233" s="3297"/>
      <c r="AGA233" s="3297"/>
      <c r="AGB233" s="3297"/>
      <c r="AGC233" s="3297"/>
      <c r="AGD233" s="3297"/>
      <c r="AGE233" s="3297"/>
      <c r="AGF233" s="3297"/>
      <c r="AGG233" s="3297"/>
      <c r="AGH233" s="3297"/>
      <c r="AGI233" s="3297"/>
      <c r="AGJ233" s="3297"/>
      <c r="AGK233" s="3297"/>
      <c r="AGL233" s="3297"/>
      <c r="AGM233" s="3297"/>
      <c r="AGN233" s="3297"/>
      <c r="AGO233" s="3297"/>
      <c r="AGP233" s="3297"/>
      <c r="AGQ233" s="3297"/>
      <c r="AGR233" s="3297"/>
      <c r="AGS233" s="3297"/>
      <c r="AGT233" s="3297"/>
      <c r="AGU233" s="3297"/>
      <c r="AGV233" s="3297"/>
      <c r="AGW233" s="3297"/>
      <c r="AGX233" s="3297"/>
      <c r="AGY233" s="3297"/>
      <c r="AGZ233" s="3297"/>
      <c r="AHA233" s="3297"/>
      <c r="AHB233" s="3297"/>
      <c r="AHC233" s="3297"/>
      <c r="AHD233" s="3297"/>
      <c r="AHE233" s="3297"/>
      <c r="AHF233" s="3297"/>
      <c r="AHG233" s="3297"/>
      <c r="AHH233" s="3297"/>
      <c r="AHI233" s="3297"/>
      <c r="AHJ233" s="3297"/>
      <c r="AHK233" s="3297"/>
      <c r="AHL233" s="3297"/>
      <c r="AHM233" s="3297"/>
      <c r="AHN233" s="3297"/>
      <c r="AHO233" s="3297"/>
      <c r="AHP233" s="3297"/>
      <c r="AHQ233" s="3297"/>
      <c r="AHR233" s="3297"/>
      <c r="AHS233" s="3297"/>
      <c r="AHT233" s="3297"/>
      <c r="AHU233" s="3297"/>
      <c r="AHV233" s="3297"/>
      <c r="AHW233" s="3297"/>
      <c r="AHX233" s="3297"/>
      <c r="AHY233" s="3297"/>
      <c r="AHZ233" s="3297"/>
      <c r="AIA233" s="3297"/>
      <c r="AIB233" s="3297"/>
      <c r="AIC233" s="3297"/>
      <c r="AID233" s="3297"/>
      <c r="AIE233" s="3297"/>
      <c r="AIF233" s="3297"/>
      <c r="AIG233" s="3297"/>
      <c r="AIH233" s="3297"/>
      <c r="AII233" s="3297"/>
      <c r="AIJ233" s="3297"/>
      <c r="AIK233" s="3297"/>
      <c r="AIL233" s="3297"/>
      <c r="AIM233" s="3297"/>
      <c r="AIN233" s="3297"/>
      <c r="AIO233" s="3297"/>
      <c r="AIP233" s="3297"/>
      <c r="AIQ233" s="3297"/>
      <c r="AIR233" s="3297"/>
      <c r="AIS233" s="3297"/>
      <c r="AIT233" s="3297"/>
      <c r="AIU233" s="3297"/>
      <c r="AIV233" s="3297"/>
      <c r="AIW233" s="3297"/>
      <c r="AIX233" s="3297"/>
      <c r="AIY233" s="3297"/>
      <c r="AIZ233" s="3297"/>
      <c r="AJA233" s="3297"/>
      <c r="AJB233" s="3297"/>
      <c r="AJC233" s="3297"/>
      <c r="AJD233" s="3297"/>
      <c r="AJE233" s="3297"/>
      <c r="AJF233" s="3297"/>
      <c r="AJG233" s="3297"/>
      <c r="AJH233" s="3297"/>
      <c r="AJI233" s="3297"/>
      <c r="AJJ233" s="3297"/>
      <c r="AJK233" s="3297"/>
      <c r="AJL233" s="3297"/>
      <c r="AJM233" s="3297"/>
      <c r="AJN233" s="3297"/>
      <c r="AJO233" s="3297"/>
      <c r="AJP233" s="3297"/>
      <c r="AJQ233" s="3297"/>
      <c r="AJR233" s="3297"/>
      <c r="AJS233" s="3297"/>
      <c r="AJT233" s="3297"/>
      <c r="AJU233" s="3297"/>
      <c r="AJV233" s="3297"/>
      <c r="AJW233" s="3297"/>
      <c r="AJX233" s="3297"/>
      <c r="AJY233" s="3297"/>
      <c r="AJZ233" s="3297"/>
      <c r="AKA233" s="3297"/>
      <c r="AKB233" s="3297"/>
      <c r="AKC233" s="3297"/>
      <c r="AKD233" s="3297"/>
      <c r="AKE233" s="3297"/>
      <c r="AKF233" s="3297"/>
      <c r="AKG233" s="3297"/>
      <c r="AKH233" s="3297"/>
      <c r="AKI233" s="3297"/>
      <c r="AKJ233" s="3297"/>
      <c r="AKK233" s="3297"/>
      <c r="AKL233" s="3297"/>
      <c r="AKM233" s="3297"/>
      <c r="AKN233" s="3297"/>
      <c r="AKO233" s="3297"/>
      <c r="AKP233" s="3297"/>
      <c r="AKQ233" s="3297"/>
      <c r="AKR233" s="3297"/>
      <c r="AKS233" s="3297"/>
      <c r="AKT233" s="3297"/>
      <c r="AKU233" s="3297"/>
      <c r="AKV233" s="3297"/>
      <c r="AKW233" s="3297"/>
      <c r="AKX233" s="3297"/>
      <c r="AKY233" s="3297"/>
      <c r="AKZ233" s="3297"/>
      <c r="ALA233" s="3297"/>
      <c r="ALB233" s="3297"/>
      <c r="ALC233" s="3297"/>
      <c r="ALD233" s="3297"/>
      <c r="ALE233" s="3297"/>
      <c r="ALF233" s="3297"/>
      <c r="ALG233" s="3297"/>
      <c r="ALH233" s="3297"/>
      <c r="ALI233" s="3297"/>
      <c r="ALJ233" s="3297"/>
      <c r="ALK233" s="3297"/>
      <c r="ALL233" s="3297"/>
      <c r="ALM233" s="3297"/>
      <c r="ALN233" s="3297"/>
      <c r="ALO233" s="3297"/>
      <c r="ALP233" s="3297"/>
      <c r="ALQ233" s="3297"/>
      <c r="ALR233" s="3297"/>
      <c r="ALS233" s="3297"/>
      <c r="ALT233" s="3297"/>
      <c r="ALU233" s="3297"/>
      <c r="ALV233" s="3297"/>
      <c r="ALW233" s="3297"/>
      <c r="ALX233" s="3297"/>
      <c r="ALY233" s="3297"/>
      <c r="ALZ233" s="3297"/>
      <c r="AMA233" s="3297"/>
      <c r="AMB233" s="3297"/>
      <c r="AMC233" s="3297"/>
      <c r="AMD233" s="3297"/>
      <c r="AME233" s="3297"/>
      <c r="AMF233" s="3297"/>
      <c r="AMG233" s="3297"/>
      <c r="AMH233" s="3297"/>
      <c r="AMI233" s="3297"/>
      <c r="AMJ233" s="3297"/>
      <c r="AMK233" s="3297"/>
      <c r="AML233" s="3297"/>
      <c r="AMM233" s="3297"/>
      <c r="AMN233" s="3297"/>
      <c r="AMO233" s="3297"/>
      <c r="AMP233" s="3297"/>
      <c r="AMQ233" s="3297"/>
      <c r="AMR233" s="3297"/>
      <c r="AMS233" s="3297"/>
      <c r="AMT233" s="3297"/>
      <c r="AMU233" s="3297"/>
      <c r="AMV233" s="3297"/>
      <c r="AMW233" s="3297"/>
      <c r="AMX233" s="3297"/>
      <c r="AMY233" s="3297"/>
      <c r="AMZ233" s="3297"/>
      <c r="ANA233" s="3297"/>
      <c r="ANB233" s="3297"/>
      <c r="ANC233" s="3297"/>
      <c r="AND233" s="3297"/>
      <c r="ANE233" s="3297"/>
      <c r="ANF233" s="3297"/>
      <c r="ANG233" s="3297"/>
      <c r="ANH233" s="3297"/>
      <c r="ANI233" s="3297"/>
      <c r="ANJ233" s="3297"/>
      <c r="ANK233" s="3297"/>
      <c r="ANL233" s="3297"/>
      <c r="ANM233" s="3297"/>
      <c r="ANN233" s="3297"/>
      <c r="ANO233" s="3297"/>
      <c r="ANP233" s="3297"/>
      <c r="ANQ233" s="3297"/>
      <c r="ANR233" s="3297"/>
      <c r="ANS233" s="3297"/>
      <c r="ANT233" s="3297"/>
      <c r="ANU233" s="3297"/>
      <c r="ANV233" s="3297"/>
      <c r="ANW233" s="3297"/>
      <c r="ANX233" s="3297"/>
      <c r="ANY233" s="3297"/>
      <c r="ANZ233" s="3297"/>
      <c r="AOA233" s="3297"/>
      <c r="AOB233" s="3297"/>
      <c r="AOC233" s="3297"/>
      <c r="AOD233" s="3297"/>
      <c r="AOE233" s="3297"/>
      <c r="AOF233" s="3297"/>
      <c r="AOG233" s="3297"/>
      <c r="AOH233" s="3297"/>
      <c r="AOI233" s="3297"/>
      <c r="AOJ233" s="3297"/>
      <c r="AOK233" s="3297"/>
      <c r="AOL233" s="3297"/>
      <c r="AOM233" s="3297"/>
      <c r="AON233" s="3297"/>
      <c r="AOO233" s="3297"/>
      <c r="AOP233" s="3297"/>
      <c r="AOQ233" s="3297"/>
      <c r="AOR233" s="3297"/>
      <c r="AOS233" s="3297"/>
      <c r="AOT233" s="3297"/>
      <c r="AOU233" s="3297"/>
      <c r="AOV233" s="3297"/>
      <c r="AOW233" s="3297"/>
      <c r="AOX233" s="3297"/>
      <c r="AOY233" s="3297"/>
      <c r="AOZ233" s="3297"/>
      <c r="APA233" s="3297"/>
      <c r="APB233" s="3297"/>
      <c r="APC233" s="3297"/>
      <c r="APD233" s="3297"/>
      <c r="APE233" s="3297"/>
      <c r="APF233" s="3297"/>
      <c r="APG233" s="3297"/>
      <c r="APH233" s="3297"/>
      <c r="API233" s="3297"/>
      <c r="APJ233" s="3297"/>
      <c r="APK233" s="3297"/>
      <c r="APL233" s="3297"/>
      <c r="APM233" s="3297"/>
      <c r="APN233" s="3297"/>
      <c r="APO233" s="3297"/>
      <c r="APP233" s="3297"/>
      <c r="APQ233" s="3297"/>
      <c r="APR233" s="3297"/>
      <c r="APS233" s="3297"/>
      <c r="APT233" s="3297"/>
      <c r="APU233" s="3297"/>
      <c r="APV233" s="3297"/>
      <c r="APW233" s="3297"/>
      <c r="APX233" s="3297"/>
      <c r="APY233" s="3297"/>
      <c r="APZ233" s="3297"/>
      <c r="AQA233" s="3297"/>
      <c r="AQB233" s="3297"/>
      <c r="AQC233" s="3297"/>
      <c r="AQD233" s="3297"/>
      <c r="AQE233" s="3297"/>
      <c r="AQF233" s="3297"/>
      <c r="AQG233" s="3297"/>
      <c r="AQH233" s="3297"/>
      <c r="AQI233" s="3297"/>
      <c r="AQJ233" s="3297"/>
      <c r="AQK233" s="3297"/>
      <c r="AQL233" s="3297"/>
      <c r="AQM233" s="3297"/>
      <c r="AQN233" s="3297"/>
      <c r="AQO233" s="3297"/>
      <c r="AQP233" s="3297"/>
      <c r="AQQ233" s="3297"/>
      <c r="AQR233" s="3297"/>
      <c r="AQS233" s="3297"/>
      <c r="AQT233" s="3297"/>
      <c r="AQU233" s="3297"/>
      <c r="AQV233" s="3297"/>
      <c r="AQW233" s="3297"/>
      <c r="AQX233" s="3297"/>
      <c r="AQY233" s="3297"/>
      <c r="AQZ233" s="3297"/>
      <c r="ARA233" s="3297"/>
      <c r="ARB233" s="3297"/>
      <c r="ARC233" s="3297"/>
      <c r="ARD233" s="3297"/>
      <c r="ARE233" s="3297"/>
      <c r="ARF233" s="3297"/>
      <c r="ARG233" s="3297"/>
      <c r="ARH233" s="3297"/>
      <c r="ARI233" s="3297"/>
      <c r="ARJ233" s="3297"/>
      <c r="ARK233" s="3297"/>
      <c r="ARL233" s="3297"/>
      <c r="ARM233" s="3297"/>
      <c r="ARN233" s="3297"/>
      <c r="ARO233" s="3297"/>
      <c r="ARP233" s="3297"/>
      <c r="ARQ233" s="3297"/>
      <c r="ARR233" s="3297"/>
      <c r="ARS233" s="3297"/>
      <c r="ART233" s="3297"/>
      <c r="ARU233" s="3297"/>
      <c r="ARV233" s="3297"/>
      <c r="ARW233" s="3297"/>
      <c r="ARX233" s="3297"/>
      <c r="ARY233" s="3297"/>
      <c r="ARZ233" s="3297"/>
      <c r="ASA233" s="3297"/>
      <c r="ASB233" s="3297"/>
      <c r="ASC233" s="3297"/>
      <c r="ASD233" s="3297"/>
      <c r="ASE233" s="3297"/>
      <c r="ASF233" s="3297"/>
      <c r="ASG233" s="3297"/>
      <c r="ASH233" s="3297"/>
      <c r="ASI233" s="3297"/>
      <c r="ASJ233" s="3297"/>
      <c r="ASK233" s="3297"/>
      <c r="ASL233" s="3297"/>
      <c r="ASM233" s="3297"/>
      <c r="ASN233" s="3297"/>
      <c r="ASO233" s="3297"/>
      <c r="ASP233" s="3297"/>
      <c r="ASQ233" s="3297"/>
      <c r="ASR233" s="3297"/>
      <c r="ASS233" s="3297"/>
      <c r="AST233" s="3297"/>
      <c r="ASU233" s="3297"/>
      <c r="ASV233" s="3297"/>
      <c r="ASW233" s="3297"/>
      <c r="ASX233" s="3297"/>
      <c r="ASY233" s="3297"/>
      <c r="ASZ233" s="3297"/>
      <c r="ATA233" s="3297"/>
      <c r="ATB233" s="3297"/>
      <c r="ATC233" s="3297"/>
      <c r="ATD233" s="3297"/>
      <c r="ATE233" s="3297"/>
      <c r="ATF233" s="3297"/>
      <c r="ATG233" s="3297"/>
      <c r="ATH233" s="3297"/>
      <c r="ATI233" s="3297"/>
      <c r="ATJ233" s="3297"/>
      <c r="ATK233" s="3297"/>
      <c r="ATL233" s="3297"/>
      <c r="ATM233" s="3297"/>
      <c r="ATN233" s="3297"/>
      <c r="ATO233" s="3297"/>
      <c r="ATP233" s="3297"/>
      <c r="ATQ233" s="3297"/>
      <c r="ATR233" s="3297"/>
      <c r="ATS233" s="3297"/>
      <c r="ATT233" s="3297"/>
      <c r="ATU233" s="3297"/>
      <c r="ATV233" s="3297"/>
      <c r="ATW233" s="3297"/>
      <c r="ATX233" s="3297"/>
      <c r="ATY233" s="3297"/>
      <c r="ATZ233" s="3297"/>
      <c r="AUA233" s="3297"/>
      <c r="AUB233" s="3297"/>
      <c r="AUC233" s="3297"/>
      <c r="AUD233" s="3297"/>
      <c r="AUE233" s="3297"/>
      <c r="AUF233" s="3297"/>
      <c r="AUG233" s="3297"/>
      <c r="AUH233" s="3297"/>
      <c r="AUI233" s="3297"/>
      <c r="AUJ233" s="3297"/>
      <c r="AUK233" s="3297"/>
      <c r="AUL233" s="3297"/>
      <c r="AUM233" s="3297"/>
      <c r="AUN233" s="3297"/>
      <c r="AUO233" s="3297"/>
      <c r="AUP233" s="3297"/>
      <c r="AUQ233" s="3297"/>
      <c r="AUR233" s="3297"/>
      <c r="AUS233" s="3297"/>
      <c r="AUT233" s="3297"/>
      <c r="AUU233" s="3297"/>
      <c r="AUV233" s="3297"/>
      <c r="AUW233" s="3297"/>
      <c r="AUX233" s="3297"/>
      <c r="AUY233" s="3297"/>
      <c r="AUZ233" s="3297"/>
      <c r="AVA233" s="3297"/>
      <c r="AVB233" s="3297"/>
      <c r="AVC233" s="3297"/>
      <c r="AVD233" s="3297"/>
      <c r="AVE233" s="3297"/>
      <c r="AVF233" s="3297"/>
      <c r="AVG233" s="3297"/>
      <c r="AVH233" s="3297"/>
      <c r="AVI233" s="3297"/>
      <c r="AVJ233" s="3297"/>
      <c r="AVK233" s="3297"/>
      <c r="AVL233" s="3297"/>
      <c r="AVM233" s="3297"/>
      <c r="AVN233" s="3297"/>
      <c r="AVO233" s="3297"/>
      <c r="AVP233" s="3297"/>
      <c r="AVQ233" s="3297"/>
      <c r="AVR233" s="3297"/>
      <c r="AVS233" s="3297"/>
      <c r="AVT233" s="3297"/>
      <c r="AVU233" s="3297"/>
      <c r="AVV233" s="3297"/>
      <c r="AVW233" s="3297"/>
      <c r="AVX233" s="3297"/>
      <c r="AVY233" s="3297"/>
      <c r="AVZ233" s="3297"/>
      <c r="AWA233" s="3297"/>
      <c r="AWB233" s="3297"/>
      <c r="AWC233" s="3297"/>
      <c r="AWD233" s="3297"/>
      <c r="AWE233" s="3297"/>
      <c r="AWF233" s="3297"/>
      <c r="AWG233" s="3297"/>
      <c r="AWH233" s="3297"/>
      <c r="AWI233" s="3297"/>
      <c r="AWJ233" s="3297"/>
      <c r="AWK233" s="3297"/>
      <c r="AWL233" s="3297"/>
      <c r="AWM233" s="3297"/>
      <c r="AWN233" s="3297"/>
      <c r="AWO233" s="3297"/>
      <c r="AWP233" s="3297"/>
      <c r="AWQ233" s="3297"/>
      <c r="AWR233" s="3297"/>
      <c r="AWS233" s="3297"/>
      <c r="AWT233" s="3297"/>
      <c r="AWU233" s="3297"/>
      <c r="AWV233" s="3297"/>
      <c r="AWW233" s="3297"/>
      <c r="AWX233" s="3297"/>
      <c r="AWY233" s="3297"/>
      <c r="AWZ233" s="3297"/>
      <c r="AXA233" s="3297"/>
      <c r="AXB233" s="3297"/>
      <c r="AXC233" s="3297"/>
      <c r="AXD233" s="3297"/>
      <c r="AXE233" s="3297"/>
      <c r="AXF233" s="3297"/>
      <c r="AXG233" s="3297"/>
      <c r="AXH233" s="3297"/>
      <c r="AXI233" s="3297"/>
      <c r="AXJ233" s="3297"/>
    </row>
    <row r="234" spans="1:1310" s="3298" customFormat="1" ht="23.25" customHeight="1">
      <c r="A234" s="468"/>
      <c r="B234" s="3304"/>
      <c r="C234" s="3305"/>
      <c r="D234" s="3305"/>
      <c r="E234" s="3305"/>
      <c r="F234" s="3306"/>
      <c r="G234" s="3305"/>
      <c r="H234" s="3305"/>
      <c r="I234" s="3305"/>
      <c r="J234" s="3307"/>
      <c r="K234" s="3305"/>
      <c r="L234" s="3305"/>
      <c r="M234" s="3305"/>
      <c r="N234" s="3305"/>
      <c r="O234" s="3305"/>
      <c r="P234" s="3305"/>
      <c r="Q234" s="3305"/>
      <c r="R234" s="443"/>
      <c r="S234" s="443"/>
      <c r="T234" s="443"/>
      <c r="U234" s="443"/>
      <c r="V234" s="443"/>
      <c r="W234" s="443"/>
      <c r="X234" s="443"/>
      <c r="Y234" s="443"/>
      <c r="Z234" s="443"/>
      <c r="AA234" s="443"/>
      <c r="AB234" s="443"/>
      <c r="AC234" s="443"/>
      <c r="AD234" s="3297"/>
      <c r="AE234" s="3297"/>
      <c r="AF234" s="3297"/>
      <c r="AG234" s="3297"/>
      <c r="AH234" s="3297"/>
      <c r="AI234" s="3297"/>
      <c r="AJ234" s="3297"/>
      <c r="AK234" s="3297"/>
      <c r="AL234" s="3297"/>
      <c r="AM234" s="3297"/>
      <c r="AN234" s="3297"/>
      <c r="AO234" s="3297"/>
      <c r="AP234" s="3297"/>
      <c r="AQ234" s="3297"/>
      <c r="AR234" s="3297"/>
      <c r="AS234" s="3297"/>
      <c r="AT234" s="3297"/>
      <c r="AU234" s="3297"/>
      <c r="AV234" s="3297"/>
      <c r="AW234" s="3297"/>
      <c r="AX234" s="3297"/>
      <c r="AY234" s="3297"/>
      <c r="AZ234" s="3297"/>
      <c r="BA234" s="3297"/>
      <c r="BB234" s="3297"/>
      <c r="BC234" s="3297"/>
      <c r="BD234" s="3297"/>
      <c r="BE234" s="3297"/>
      <c r="BF234" s="3297"/>
      <c r="BG234" s="3297"/>
      <c r="BH234" s="3297"/>
      <c r="BI234" s="3297"/>
      <c r="BJ234" s="3297"/>
      <c r="BK234" s="3297"/>
      <c r="BL234" s="3297"/>
      <c r="BM234" s="3297"/>
      <c r="BN234" s="3297"/>
      <c r="BO234" s="3297"/>
      <c r="BP234" s="3297"/>
      <c r="BQ234" s="3297"/>
      <c r="BR234" s="3297"/>
      <c r="BS234" s="3297"/>
      <c r="BT234" s="3297"/>
      <c r="BU234" s="3297"/>
      <c r="BV234" s="3297"/>
      <c r="BW234" s="3297"/>
      <c r="BX234" s="3297"/>
      <c r="BY234" s="3297"/>
      <c r="BZ234" s="3297"/>
      <c r="CA234" s="3297"/>
      <c r="CB234" s="3297"/>
      <c r="CC234" s="3297"/>
      <c r="CD234" s="3297"/>
      <c r="CE234" s="3297"/>
      <c r="CF234" s="3297"/>
      <c r="CG234" s="3297"/>
      <c r="CH234" s="3297"/>
      <c r="CI234" s="3297"/>
      <c r="CJ234" s="3297"/>
      <c r="CK234" s="3297"/>
      <c r="CL234" s="3297"/>
      <c r="CM234" s="3297"/>
      <c r="CN234" s="3297"/>
      <c r="CO234" s="3297"/>
      <c r="CP234" s="3297"/>
      <c r="CQ234" s="3297"/>
      <c r="CR234" s="3297"/>
      <c r="CS234" s="3297"/>
      <c r="CT234" s="3297"/>
      <c r="CU234" s="3297"/>
      <c r="CV234" s="3297"/>
      <c r="CW234" s="3297"/>
      <c r="CX234" s="3297"/>
      <c r="CY234" s="3297"/>
      <c r="CZ234" s="3297"/>
      <c r="DA234" s="3297"/>
      <c r="DB234" s="3297"/>
      <c r="DC234" s="3297"/>
      <c r="DD234" s="3297"/>
      <c r="DE234" s="3297"/>
      <c r="DF234" s="3297"/>
      <c r="DG234" s="3297"/>
      <c r="DH234" s="3297"/>
      <c r="DI234" s="3297"/>
      <c r="DJ234" s="3297"/>
      <c r="DK234" s="3297"/>
      <c r="DL234" s="3297"/>
      <c r="DM234" s="3297"/>
      <c r="DN234" s="3297"/>
      <c r="DO234" s="3297"/>
      <c r="DP234" s="3297"/>
      <c r="DQ234" s="3297"/>
      <c r="DR234" s="3297"/>
      <c r="DS234" s="3297"/>
      <c r="DT234" s="3297"/>
      <c r="DU234" s="3297"/>
      <c r="DV234" s="3297"/>
      <c r="DW234" s="3297"/>
      <c r="DX234" s="3297"/>
      <c r="DY234" s="3297"/>
      <c r="DZ234" s="3297"/>
      <c r="EA234" s="3297"/>
      <c r="EB234" s="3297"/>
      <c r="EC234" s="3297"/>
      <c r="ED234" s="3297"/>
      <c r="EE234" s="3297"/>
      <c r="EF234" s="3297"/>
      <c r="EG234" s="3297"/>
      <c r="EH234" s="3297"/>
      <c r="EI234" s="3297"/>
      <c r="EJ234" s="3297"/>
      <c r="EK234" s="3297"/>
      <c r="EL234" s="3297"/>
      <c r="EM234" s="3297"/>
      <c r="EN234" s="3297"/>
      <c r="EO234" s="3297"/>
      <c r="EP234" s="3297"/>
      <c r="EQ234" s="3297"/>
      <c r="ER234" s="3297"/>
      <c r="ES234" s="3297"/>
      <c r="ET234" s="3297"/>
      <c r="EU234" s="3297"/>
      <c r="EV234" s="3297"/>
      <c r="EW234" s="3297"/>
      <c r="EX234" s="3297"/>
      <c r="EY234" s="3297"/>
      <c r="EZ234" s="3297"/>
      <c r="FA234" s="3297"/>
      <c r="FB234" s="3297"/>
      <c r="FC234" s="3297"/>
      <c r="FD234" s="3297"/>
      <c r="FE234" s="3297"/>
      <c r="FF234" s="3297"/>
      <c r="FG234" s="3297"/>
      <c r="FH234" s="3297"/>
      <c r="FI234" s="3297"/>
      <c r="FJ234" s="3297"/>
      <c r="FK234" s="3297"/>
      <c r="FL234" s="3297"/>
      <c r="FM234" s="3297"/>
      <c r="FN234" s="3297"/>
      <c r="FO234" s="3297"/>
      <c r="FP234" s="3297"/>
      <c r="FQ234" s="3297"/>
      <c r="FR234" s="3297"/>
      <c r="FS234" s="3297"/>
      <c r="FT234" s="3297"/>
      <c r="FU234" s="3297"/>
      <c r="FV234" s="3297"/>
      <c r="FW234" s="3297"/>
      <c r="FX234" s="3297"/>
      <c r="FY234" s="3297"/>
      <c r="FZ234" s="3297"/>
      <c r="GA234" s="3297"/>
      <c r="GB234" s="3297"/>
      <c r="GC234" s="3297"/>
      <c r="GD234" s="3297"/>
      <c r="GE234" s="3297"/>
      <c r="GF234" s="3297"/>
      <c r="GG234" s="3297"/>
      <c r="GH234" s="3297"/>
      <c r="GI234" s="3297"/>
      <c r="GJ234" s="3297"/>
      <c r="GK234" s="3297"/>
      <c r="GL234" s="3297"/>
      <c r="GM234" s="3297"/>
      <c r="GN234" s="3297"/>
      <c r="GO234" s="3297"/>
      <c r="GP234" s="3297"/>
      <c r="GQ234" s="3297"/>
      <c r="GR234" s="3297"/>
      <c r="GS234" s="3297"/>
      <c r="GT234" s="3297"/>
      <c r="GU234" s="3297"/>
      <c r="GV234" s="3297"/>
      <c r="GW234" s="3297"/>
      <c r="GX234" s="3297"/>
      <c r="GY234" s="3297"/>
      <c r="GZ234" s="3297"/>
      <c r="HA234" s="3297"/>
      <c r="HB234" s="3297"/>
      <c r="HC234" s="3297"/>
      <c r="HD234" s="3297"/>
      <c r="HE234" s="3297"/>
      <c r="HF234" s="3297"/>
      <c r="HG234" s="3297"/>
      <c r="HH234" s="3297"/>
      <c r="HI234" s="3297"/>
      <c r="HJ234" s="3297"/>
      <c r="HK234" s="3297"/>
      <c r="HL234" s="3297"/>
      <c r="HM234" s="3297"/>
      <c r="HN234" s="3297"/>
      <c r="HO234" s="3297"/>
      <c r="HP234" s="3297"/>
      <c r="HQ234" s="3297"/>
      <c r="HR234" s="3297"/>
      <c r="HS234" s="3297"/>
      <c r="HT234" s="3297"/>
      <c r="HU234" s="3297"/>
      <c r="HV234" s="3297"/>
      <c r="HW234" s="3297"/>
      <c r="HX234" s="3297"/>
      <c r="HY234" s="3297"/>
      <c r="HZ234" s="3297"/>
      <c r="IA234" s="3297"/>
      <c r="IB234" s="3297"/>
      <c r="IC234" s="3297"/>
      <c r="ID234" s="3297"/>
      <c r="IE234" s="3297"/>
      <c r="IF234" s="3297"/>
      <c r="IG234" s="3297"/>
      <c r="IH234" s="3297"/>
      <c r="II234" s="3297"/>
      <c r="IJ234" s="3297"/>
      <c r="IK234" s="3297"/>
      <c r="IL234" s="3297"/>
      <c r="IM234" s="3297"/>
      <c r="IN234" s="3297"/>
      <c r="IO234" s="3297"/>
      <c r="IP234" s="3297"/>
      <c r="IQ234" s="3297"/>
      <c r="IR234" s="3297"/>
      <c r="IS234" s="3297"/>
      <c r="IT234" s="3297"/>
      <c r="IU234" s="3297"/>
      <c r="IV234" s="3297"/>
      <c r="IW234" s="3297"/>
      <c r="IX234" s="3297"/>
      <c r="IY234" s="3297"/>
      <c r="IZ234" s="3297"/>
      <c r="JA234" s="3297"/>
      <c r="JB234" s="3297"/>
      <c r="JC234" s="3297"/>
      <c r="JD234" s="3297"/>
      <c r="JE234" s="3297"/>
      <c r="JF234" s="3297"/>
      <c r="JG234" s="3297"/>
      <c r="JH234" s="3297"/>
      <c r="JI234" s="3297"/>
      <c r="JJ234" s="3297"/>
      <c r="JK234" s="3297"/>
      <c r="JL234" s="3297"/>
      <c r="JM234" s="3297"/>
      <c r="JN234" s="3297"/>
      <c r="JO234" s="3297"/>
      <c r="JP234" s="3297"/>
      <c r="JQ234" s="3297"/>
      <c r="JR234" s="3297"/>
      <c r="JS234" s="3297"/>
      <c r="JT234" s="3297"/>
      <c r="JU234" s="3297"/>
      <c r="JV234" s="3297"/>
      <c r="JW234" s="3297"/>
      <c r="JX234" s="3297"/>
      <c r="JY234" s="3297"/>
      <c r="JZ234" s="3297"/>
      <c r="KA234" s="3297"/>
      <c r="KB234" s="3297"/>
      <c r="KC234" s="3297"/>
      <c r="KD234" s="3297"/>
      <c r="KE234" s="3297"/>
      <c r="KF234" s="3297"/>
      <c r="KG234" s="3297"/>
      <c r="KH234" s="3297"/>
      <c r="KI234" s="3297"/>
      <c r="KJ234" s="3297"/>
      <c r="KK234" s="3297"/>
      <c r="KL234" s="3297"/>
      <c r="KM234" s="3297"/>
      <c r="KN234" s="3297"/>
      <c r="KO234" s="3297"/>
      <c r="KP234" s="3297"/>
      <c r="KQ234" s="3297"/>
      <c r="KR234" s="3297"/>
      <c r="KS234" s="3297"/>
      <c r="KT234" s="3297"/>
      <c r="KU234" s="3297"/>
      <c r="KV234" s="3297"/>
      <c r="KW234" s="3297"/>
      <c r="KX234" s="3297"/>
      <c r="KY234" s="3297"/>
      <c r="KZ234" s="3297"/>
      <c r="LA234" s="3297"/>
      <c r="LB234" s="3297"/>
      <c r="LC234" s="3297"/>
      <c r="LD234" s="3297"/>
      <c r="LE234" s="3297"/>
      <c r="LF234" s="3297"/>
      <c r="LG234" s="3297"/>
      <c r="LH234" s="3297"/>
      <c r="LI234" s="3297"/>
      <c r="LJ234" s="3297"/>
      <c r="LK234" s="3297"/>
      <c r="LL234" s="3297"/>
      <c r="LM234" s="3297"/>
      <c r="LN234" s="3297"/>
      <c r="LO234" s="3297"/>
      <c r="LP234" s="3297"/>
      <c r="LQ234" s="3297"/>
      <c r="LR234" s="3297"/>
      <c r="LS234" s="3297"/>
      <c r="LT234" s="3297"/>
      <c r="LU234" s="3297"/>
      <c r="LV234" s="3297"/>
      <c r="LW234" s="3297"/>
      <c r="LX234" s="3297"/>
      <c r="LY234" s="3297"/>
      <c r="LZ234" s="3297"/>
      <c r="MA234" s="3297"/>
      <c r="MB234" s="3297"/>
      <c r="MC234" s="3297"/>
      <c r="MD234" s="3297"/>
      <c r="ME234" s="3297"/>
      <c r="MF234" s="3297"/>
      <c r="MG234" s="3297"/>
      <c r="MH234" s="3297"/>
      <c r="MI234" s="3297"/>
      <c r="MJ234" s="3297"/>
      <c r="MK234" s="3297"/>
      <c r="ML234" s="3297"/>
      <c r="MM234" s="3297"/>
      <c r="MN234" s="3297"/>
      <c r="MO234" s="3297"/>
      <c r="MP234" s="3297"/>
      <c r="MQ234" s="3297"/>
      <c r="MR234" s="3297"/>
      <c r="MS234" s="3297"/>
      <c r="MT234" s="3297"/>
      <c r="MU234" s="3297"/>
      <c r="MV234" s="3297"/>
      <c r="MW234" s="3297"/>
      <c r="MX234" s="3297"/>
      <c r="MY234" s="3297"/>
      <c r="MZ234" s="3297"/>
      <c r="NA234" s="3297"/>
      <c r="NB234" s="3297"/>
      <c r="NC234" s="3297"/>
      <c r="ND234" s="3297"/>
      <c r="NE234" s="3297"/>
      <c r="NF234" s="3297"/>
      <c r="NG234" s="3297"/>
      <c r="NH234" s="3297"/>
      <c r="NI234" s="3297"/>
      <c r="NJ234" s="3297"/>
      <c r="NK234" s="3297"/>
      <c r="NL234" s="3297"/>
      <c r="NM234" s="3297"/>
      <c r="NN234" s="3297"/>
      <c r="NO234" s="3297"/>
      <c r="NP234" s="3297"/>
      <c r="NQ234" s="3297"/>
      <c r="NR234" s="3297"/>
      <c r="NS234" s="3297"/>
      <c r="NT234" s="3297"/>
      <c r="NU234" s="3297"/>
      <c r="NV234" s="3297"/>
      <c r="NW234" s="3297"/>
      <c r="NX234" s="3297"/>
      <c r="NY234" s="3297"/>
      <c r="NZ234" s="3297"/>
      <c r="OA234" s="3297"/>
      <c r="OB234" s="3297"/>
      <c r="OC234" s="3297"/>
      <c r="OD234" s="3297"/>
      <c r="OE234" s="3297"/>
      <c r="OF234" s="3297"/>
      <c r="OG234" s="3297"/>
      <c r="OH234" s="3297"/>
      <c r="OI234" s="3297"/>
      <c r="OJ234" s="3297"/>
      <c r="OK234" s="3297"/>
      <c r="OL234" s="3297"/>
      <c r="OM234" s="3297"/>
      <c r="ON234" s="3297"/>
      <c r="OO234" s="3297"/>
      <c r="OP234" s="3297"/>
      <c r="OQ234" s="3297"/>
      <c r="OR234" s="3297"/>
      <c r="OS234" s="3297"/>
      <c r="OT234" s="3297"/>
      <c r="OU234" s="3297"/>
      <c r="OV234" s="3297"/>
      <c r="OW234" s="3297"/>
      <c r="OX234" s="3297"/>
      <c r="OY234" s="3297"/>
      <c r="OZ234" s="3297"/>
      <c r="PA234" s="3297"/>
      <c r="PB234" s="3297"/>
      <c r="PC234" s="3297"/>
      <c r="PD234" s="3297"/>
      <c r="PE234" s="3297"/>
      <c r="PF234" s="3297"/>
      <c r="PG234" s="3297"/>
      <c r="PH234" s="3297"/>
      <c r="PI234" s="3297"/>
      <c r="PJ234" s="3297"/>
      <c r="PK234" s="3297"/>
      <c r="PL234" s="3297"/>
      <c r="PM234" s="3297"/>
      <c r="PN234" s="3297"/>
      <c r="PO234" s="3297"/>
      <c r="PP234" s="3297"/>
      <c r="PQ234" s="3297"/>
      <c r="PR234" s="3297"/>
      <c r="PS234" s="3297"/>
      <c r="PT234" s="3297"/>
      <c r="PU234" s="3297"/>
      <c r="PV234" s="3297"/>
      <c r="PW234" s="3297"/>
      <c r="PX234" s="3297"/>
      <c r="PY234" s="3297"/>
      <c r="PZ234" s="3297"/>
      <c r="QA234" s="3297"/>
      <c r="QB234" s="3297"/>
      <c r="QC234" s="3297"/>
      <c r="QD234" s="3297"/>
      <c r="QE234" s="3297"/>
      <c r="QF234" s="3297"/>
      <c r="QG234" s="3297"/>
      <c r="QH234" s="3297"/>
      <c r="QI234" s="3297"/>
      <c r="QJ234" s="3297"/>
      <c r="QK234" s="3297"/>
      <c r="QL234" s="3297"/>
      <c r="QM234" s="3297"/>
      <c r="QN234" s="3297"/>
      <c r="QO234" s="3297"/>
      <c r="QP234" s="3297"/>
      <c r="QQ234" s="3297"/>
      <c r="QR234" s="3297"/>
      <c r="QS234" s="3297"/>
      <c r="QT234" s="3297"/>
      <c r="QU234" s="3297"/>
      <c r="QV234" s="3297"/>
      <c r="QW234" s="3297"/>
      <c r="QX234" s="3297"/>
      <c r="QY234" s="3297"/>
      <c r="QZ234" s="3297"/>
      <c r="RA234" s="3297"/>
      <c r="RB234" s="3297"/>
      <c r="RC234" s="3297"/>
      <c r="RD234" s="3297"/>
      <c r="RE234" s="3297"/>
      <c r="RF234" s="3297"/>
      <c r="RG234" s="3297"/>
      <c r="RH234" s="3297"/>
      <c r="RI234" s="3297"/>
      <c r="RJ234" s="3297"/>
      <c r="RK234" s="3297"/>
      <c r="RL234" s="3297"/>
      <c r="RM234" s="3297"/>
      <c r="RN234" s="3297"/>
      <c r="RO234" s="3297"/>
      <c r="RP234" s="3297"/>
      <c r="RQ234" s="3297"/>
      <c r="RR234" s="3297"/>
      <c r="RS234" s="3297"/>
      <c r="RT234" s="3297"/>
      <c r="RU234" s="3297"/>
      <c r="RV234" s="3297"/>
      <c r="RW234" s="3297"/>
      <c r="RX234" s="3297"/>
      <c r="RY234" s="3297"/>
      <c r="RZ234" s="3297"/>
      <c r="SA234" s="3297"/>
      <c r="SB234" s="3297"/>
      <c r="SC234" s="3297"/>
      <c r="SD234" s="3297"/>
      <c r="SE234" s="3297"/>
      <c r="SF234" s="3297"/>
      <c r="SG234" s="3297"/>
      <c r="SH234" s="3297"/>
      <c r="SI234" s="3297"/>
      <c r="SJ234" s="3297"/>
      <c r="SK234" s="3297"/>
      <c r="SL234" s="3297"/>
      <c r="SM234" s="3297"/>
      <c r="SN234" s="3297"/>
      <c r="SO234" s="3297"/>
      <c r="SP234" s="3297"/>
      <c r="SQ234" s="3297"/>
      <c r="SR234" s="3297"/>
      <c r="SS234" s="3297"/>
      <c r="ST234" s="3297"/>
      <c r="SU234" s="3297"/>
      <c r="SV234" s="3297"/>
      <c r="SW234" s="3297"/>
      <c r="SX234" s="3297"/>
      <c r="SY234" s="3297"/>
      <c r="SZ234" s="3297"/>
      <c r="TA234" s="3297"/>
      <c r="TB234" s="3297"/>
      <c r="TC234" s="3297"/>
      <c r="TD234" s="3297"/>
      <c r="TE234" s="3297"/>
      <c r="TF234" s="3297"/>
      <c r="TG234" s="3297"/>
      <c r="TH234" s="3297"/>
      <c r="TI234" s="3297"/>
      <c r="TJ234" s="3297"/>
      <c r="TK234" s="3297"/>
      <c r="TL234" s="3297"/>
      <c r="TM234" s="3297"/>
      <c r="TN234" s="3297"/>
      <c r="TO234" s="3297"/>
      <c r="TP234" s="3297"/>
      <c r="TQ234" s="3297"/>
      <c r="TR234" s="3297"/>
      <c r="TS234" s="3297"/>
      <c r="TT234" s="3297"/>
      <c r="TU234" s="3297"/>
      <c r="TV234" s="3297"/>
      <c r="TW234" s="3297"/>
      <c r="TX234" s="3297"/>
      <c r="TY234" s="3297"/>
      <c r="TZ234" s="3297"/>
      <c r="UA234" s="3297"/>
      <c r="UB234" s="3297"/>
      <c r="UC234" s="3297"/>
      <c r="UD234" s="3297"/>
      <c r="UE234" s="3297"/>
      <c r="UF234" s="3297"/>
      <c r="UG234" s="3297"/>
      <c r="UH234" s="3297"/>
      <c r="UI234" s="3297"/>
      <c r="UJ234" s="3297"/>
      <c r="UK234" s="3297"/>
      <c r="UL234" s="3297"/>
      <c r="UM234" s="3297"/>
      <c r="UN234" s="3297"/>
      <c r="UO234" s="3297"/>
      <c r="UP234" s="3297"/>
      <c r="UQ234" s="3297"/>
      <c r="UR234" s="3297"/>
      <c r="US234" s="3297"/>
      <c r="UT234" s="3297"/>
      <c r="UU234" s="3297"/>
      <c r="UV234" s="3297"/>
      <c r="UW234" s="3297"/>
      <c r="UX234" s="3297"/>
      <c r="UY234" s="3297"/>
      <c r="UZ234" s="3297"/>
      <c r="VA234" s="3297"/>
      <c r="VB234" s="3297"/>
      <c r="VC234" s="3297"/>
      <c r="VD234" s="3297"/>
      <c r="VE234" s="3297"/>
      <c r="VF234" s="3297"/>
      <c r="VG234" s="3297"/>
      <c r="VH234" s="3297"/>
      <c r="VI234" s="3297"/>
      <c r="VJ234" s="3297"/>
      <c r="VK234" s="3297"/>
      <c r="VL234" s="3297"/>
      <c r="VM234" s="3297"/>
      <c r="VN234" s="3297"/>
      <c r="VO234" s="3297"/>
      <c r="VP234" s="3297"/>
      <c r="VQ234" s="3297"/>
      <c r="VR234" s="3297"/>
      <c r="VS234" s="3297"/>
      <c r="VT234" s="3297"/>
      <c r="VU234" s="3297"/>
      <c r="VV234" s="3297"/>
      <c r="VW234" s="3297"/>
      <c r="VX234" s="3297"/>
      <c r="VY234" s="3297"/>
      <c r="VZ234" s="3297"/>
      <c r="WA234" s="3297"/>
      <c r="WB234" s="3297"/>
      <c r="WC234" s="3297"/>
      <c r="WD234" s="3297"/>
      <c r="WE234" s="3297"/>
      <c r="WF234" s="3297"/>
      <c r="WG234" s="3297"/>
      <c r="WH234" s="3297"/>
      <c r="WI234" s="3297"/>
      <c r="WJ234" s="3297"/>
      <c r="WK234" s="3297"/>
      <c r="WL234" s="3297"/>
      <c r="WM234" s="3297"/>
      <c r="WN234" s="3297"/>
      <c r="WO234" s="3297"/>
      <c r="WP234" s="3297"/>
      <c r="WQ234" s="3297"/>
      <c r="WR234" s="3297"/>
      <c r="WS234" s="3297"/>
      <c r="WT234" s="3297"/>
      <c r="WU234" s="3297"/>
      <c r="WV234" s="3297"/>
      <c r="WW234" s="3297"/>
      <c r="WX234" s="3297"/>
      <c r="WY234" s="3297"/>
      <c r="WZ234" s="3297"/>
      <c r="XA234" s="3297"/>
      <c r="XB234" s="3297"/>
      <c r="XC234" s="3297"/>
      <c r="XD234" s="3297"/>
      <c r="XE234" s="3297"/>
      <c r="XF234" s="3297"/>
      <c r="XG234" s="3297"/>
      <c r="XH234" s="3297"/>
      <c r="XI234" s="3297"/>
      <c r="XJ234" s="3297"/>
      <c r="XK234" s="3297"/>
      <c r="XL234" s="3297"/>
      <c r="XM234" s="3297"/>
      <c r="XN234" s="3297"/>
      <c r="XO234" s="3297"/>
      <c r="XP234" s="3297"/>
      <c r="XQ234" s="3297"/>
      <c r="XR234" s="3297"/>
      <c r="XS234" s="3297"/>
      <c r="XT234" s="3297"/>
      <c r="XU234" s="3297"/>
      <c r="XV234" s="3297"/>
      <c r="XW234" s="3297"/>
      <c r="XX234" s="3297"/>
      <c r="XY234" s="3297"/>
      <c r="XZ234" s="3297"/>
      <c r="YA234" s="3297"/>
      <c r="YB234" s="3297"/>
      <c r="YC234" s="3297"/>
      <c r="YD234" s="3297"/>
      <c r="YE234" s="3297"/>
      <c r="YF234" s="3297"/>
      <c r="YG234" s="3297"/>
      <c r="YH234" s="3297"/>
      <c r="YI234" s="3297"/>
      <c r="YJ234" s="3297"/>
      <c r="YK234" s="3297"/>
      <c r="YL234" s="3297"/>
      <c r="YM234" s="3297"/>
      <c r="YN234" s="3297"/>
      <c r="YO234" s="3297"/>
      <c r="YP234" s="3297"/>
      <c r="YQ234" s="3297"/>
      <c r="YR234" s="3297"/>
      <c r="YS234" s="3297"/>
      <c r="YT234" s="3297"/>
      <c r="YU234" s="3297"/>
      <c r="YV234" s="3297"/>
      <c r="YW234" s="3297"/>
      <c r="YX234" s="3297"/>
      <c r="YY234" s="3297"/>
      <c r="YZ234" s="3297"/>
      <c r="ZA234" s="3297"/>
      <c r="ZB234" s="3297"/>
      <c r="ZC234" s="3297"/>
      <c r="ZD234" s="3297"/>
      <c r="ZE234" s="3297"/>
      <c r="ZF234" s="3297"/>
      <c r="ZG234" s="3297"/>
      <c r="ZH234" s="3297"/>
      <c r="ZI234" s="3297"/>
      <c r="ZJ234" s="3297"/>
      <c r="ZK234" s="3297"/>
      <c r="ZL234" s="3297"/>
      <c r="ZM234" s="3297"/>
      <c r="ZN234" s="3297"/>
      <c r="ZO234" s="3297"/>
      <c r="ZP234" s="3297"/>
      <c r="ZQ234" s="3297"/>
      <c r="ZR234" s="3297"/>
      <c r="ZS234" s="3297"/>
      <c r="ZT234" s="3297"/>
      <c r="ZU234" s="3297"/>
      <c r="ZV234" s="3297"/>
      <c r="ZW234" s="3297"/>
      <c r="ZX234" s="3297"/>
      <c r="ZY234" s="3297"/>
      <c r="ZZ234" s="3297"/>
      <c r="AAA234" s="3297"/>
      <c r="AAB234" s="3297"/>
      <c r="AAC234" s="3297"/>
      <c r="AAD234" s="3297"/>
      <c r="AAE234" s="3297"/>
      <c r="AAF234" s="3297"/>
      <c r="AAG234" s="3297"/>
      <c r="AAH234" s="3297"/>
      <c r="AAI234" s="3297"/>
      <c r="AAJ234" s="3297"/>
      <c r="AAK234" s="3297"/>
      <c r="AAL234" s="3297"/>
      <c r="AAM234" s="3297"/>
      <c r="AAN234" s="3297"/>
      <c r="AAO234" s="3297"/>
      <c r="AAP234" s="3297"/>
      <c r="AAQ234" s="3297"/>
      <c r="AAR234" s="3297"/>
      <c r="AAS234" s="3297"/>
      <c r="AAT234" s="3297"/>
      <c r="AAU234" s="3297"/>
      <c r="AAV234" s="3297"/>
      <c r="AAW234" s="3297"/>
      <c r="AAX234" s="3297"/>
      <c r="AAY234" s="3297"/>
      <c r="AAZ234" s="3297"/>
      <c r="ABA234" s="3297"/>
      <c r="ABB234" s="3297"/>
      <c r="ABC234" s="3297"/>
      <c r="ABD234" s="3297"/>
      <c r="ABE234" s="3297"/>
      <c r="ABF234" s="3297"/>
      <c r="ABG234" s="3297"/>
      <c r="ABH234" s="3297"/>
      <c r="ABI234" s="3297"/>
      <c r="ABJ234" s="3297"/>
      <c r="ABK234" s="3297"/>
      <c r="ABL234" s="3297"/>
      <c r="ABM234" s="3297"/>
      <c r="ABN234" s="3297"/>
      <c r="ABO234" s="3297"/>
      <c r="ABP234" s="3297"/>
      <c r="ABQ234" s="3297"/>
      <c r="ABR234" s="3297"/>
      <c r="ABS234" s="3297"/>
      <c r="ABT234" s="3297"/>
      <c r="ABU234" s="3297"/>
      <c r="ABV234" s="3297"/>
      <c r="ABW234" s="3297"/>
      <c r="ABX234" s="3297"/>
      <c r="ABY234" s="3297"/>
      <c r="ABZ234" s="3297"/>
      <c r="ACA234" s="3297"/>
      <c r="ACB234" s="3297"/>
      <c r="ACC234" s="3297"/>
      <c r="ACD234" s="3297"/>
      <c r="ACE234" s="3297"/>
      <c r="ACF234" s="3297"/>
      <c r="ACG234" s="3297"/>
      <c r="ACH234" s="3297"/>
      <c r="ACI234" s="3297"/>
      <c r="ACJ234" s="3297"/>
      <c r="ACK234" s="3297"/>
      <c r="ACL234" s="3297"/>
      <c r="ACM234" s="3297"/>
      <c r="ACN234" s="3297"/>
      <c r="ACO234" s="3297"/>
      <c r="ACP234" s="3297"/>
      <c r="ACQ234" s="3297"/>
      <c r="ACR234" s="3297"/>
      <c r="ACS234" s="3297"/>
      <c r="ACT234" s="3297"/>
      <c r="ACU234" s="3297"/>
      <c r="ACV234" s="3297"/>
      <c r="ACW234" s="3297"/>
      <c r="ACX234" s="3297"/>
      <c r="ACY234" s="3297"/>
      <c r="ACZ234" s="3297"/>
      <c r="ADA234" s="3297"/>
      <c r="ADB234" s="3297"/>
      <c r="ADC234" s="3297"/>
      <c r="ADD234" s="3297"/>
      <c r="ADE234" s="3297"/>
      <c r="ADF234" s="3297"/>
      <c r="ADG234" s="3297"/>
      <c r="ADH234" s="3297"/>
      <c r="ADI234" s="3297"/>
      <c r="ADJ234" s="3297"/>
      <c r="ADK234" s="3297"/>
      <c r="ADL234" s="3297"/>
      <c r="ADM234" s="3297"/>
      <c r="ADN234" s="3297"/>
      <c r="ADO234" s="3297"/>
      <c r="ADP234" s="3297"/>
      <c r="ADQ234" s="3297"/>
      <c r="ADR234" s="3297"/>
      <c r="ADS234" s="3297"/>
      <c r="ADT234" s="3297"/>
      <c r="ADU234" s="3297"/>
      <c r="ADV234" s="3297"/>
      <c r="ADW234" s="3297"/>
      <c r="ADX234" s="3297"/>
      <c r="ADY234" s="3297"/>
      <c r="ADZ234" s="3297"/>
      <c r="AEA234" s="3297"/>
      <c r="AEB234" s="3297"/>
      <c r="AEC234" s="3297"/>
      <c r="AED234" s="3297"/>
      <c r="AEE234" s="3297"/>
      <c r="AEF234" s="3297"/>
      <c r="AEG234" s="3297"/>
      <c r="AEH234" s="3297"/>
      <c r="AEI234" s="3297"/>
      <c r="AEJ234" s="3297"/>
      <c r="AEK234" s="3297"/>
      <c r="AEL234" s="3297"/>
      <c r="AEM234" s="3297"/>
      <c r="AEN234" s="3297"/>
      <c r="AEO234" s="3297"/>
      <c r="AEP234" s="3297"/>
      <c r="AEQ234" s="3297"/>
      <c r="AER234" s="3297"/>
      <c r="AES234" s="3297"/>
      <c r="AET234" s="3297"/>
      <c r="AEU234" s="3297"/>
      <c r="AEV234" s="3297"/>
      <c r="AEW234" s="3297"/>
      <c r="AEX234" s="3297"/>
      <c r="AEY234" s="3297"/>
      <c r="AEZ234" s="3297"/>
      <c r="AFA234" s="3297"/>
      <c r="AFB234" s="3297"/>
      <c r="AFC234" s="3297"/>
      <c r="AFD234" s="3297"/>
      <c r="AFE234" s="3297"/>
      <c r="AFF234" s="3297"/>
      <c r="AFG234" s="3297"/>
      <c r="AFH234" s="3297"/>
      <c r="AFI234" s="3297"/>
      <c r="AFJ234" s="3297"/>
      <c r="AFK234" s="3297"/>
      <c r="AFL234" s="3297"/>
      <c r="AFM234" s="3297"/>
      <c r="AFN234" s="3297"/>
      <c r="AFO234" s="3297"/>
      <c r="AFP234" s="3297"/>
      <c r="AFQ234" s="3297"/>
      <c r="AFR234" s="3297"/>
      <c r="AFS234" s="3297"/>
      <c r="AFT234" s="3297"/>
      <c r="AFU234" s="3297"/>
      <c r="AFV234" s="3297"/>
      <c r="AFW234" s="3297"/>
      <c r="AFX234" s="3297"/>
      <c r="AFY234" s="3297"/>
      <c r="AFZ234" s="3297"/>
      <c r="AGA234" s="3297"/>
      <c r="AGB234" s="3297"/>
      <c r="AGC234" s="3297"/>
      <c r="AGD234" s="3297"/>
      <c r="AGE234" s="3297"/>
      <c r="AGF234" s="3297"/>
      <c r="AGG234" s="3297"/>
      <c r="AGH234" s="3297"/>
      <c r="AGI234" s="3297"/>
      <c r="AGJ234" s="3297"/>
      <c r="AGK234" s="3297"/>
      <c r="AGL234" s="3297"/>
      <c r="AGM234" s="3297"/>
      <c r="AGN234" s="3297"/>
      <c r="AGO234" s="3297"/>
      <c r="AGP234" s="3297"/>
      <c r="AGQ234" s="3297"/>
      <c r="AGR234" s="3297"/>
      <c r="AGS234" s="3297"/>
      <c r="AGT234" s="3297"/>
      <c r="AGU234" s="3297"/>
      <c r="AGV234" s="3297"/>
      <c r="AGW234" s="3297"/>
      <c r="AGX234" s="3297"/>
      <c r="AGY234" s="3297"/>
      <c r="AGZ234" s="3297"/>
      <c r="AHA234" s="3297"/>
      <c r="AHB234" s="3297"/>
      <c r="AHC234" s="3297"/>
      <c r="AHD234" s="3297"/>
      <c r="AHE234" s="3297"/>
      <c r="AHF234" s="3297"/>
      <c r="AHG234" s="3297"/>
      <c r="AHH234" s="3297"/>
      <c r="AHI234" s="3297"/>
      <c r="AHJ234" s="3297"/>
      <c r="AHK234" s="3297"/>
      <c r="AHL234" s="3297"/>
      <c r="AHM234" s="3297"/>
      <c r="AHN234" s="3297"/>
      <c r="AHO234" s="3297"/>
      <c r="AHP234" s="3297"/>
      <c r="AHQ234" s="3297"/>
      <c r="AHR234" s="3297"/>
      <c r="AHS234" s="3297"/>
      <c r="AHT234" s="3297"/>
      <c r="AHU234" s="3297"/>
      <c r="AHV234" s="3297"/>
      <c r="AHW234" s="3297"/>
      <c r="AHX234" s="3297"/>
      <c r="AHY234" s="3297"/>
      <c r="AHZ234" s="3297"/>
      <c r="AIA234" s="3297"/>
      <c r="AIB234" s="3297"/>
      <c r="AIC234" s="3297"/>
      <c r="AID234" s="3297"/>
      <c r="AIE234" s="3297"/>
      <c r="AIF234" s="3297"/>
      <c r="AIG234" s="3297"/>
      <c r="AIH234" s="3297"/>
      <c r="AII234" s="3297"/>
      <c r="AIJ234" s="3297"/>
      <c r="AIK234" s="3297"/>
      <c r="AIL234" s="3297"/>
      <c r="AIM234" s="3297"/>
      <c r="AIN234" s="3297"/>
      <c r="AIO234" s="3297"/>
      <c r="AIP234" s="3297"/>
      <c r="AIQ234" s="3297"/>
      <c r="AIR234" s="3297"/>
      <c r="AIS234" s="3297"/>
      <c r="AIT234" s="3297"/>
      <c r="AIU234" s="3297"/>
      <c r="AIV234" s="3297"/>
      <c r="AIW234" s="3297"/>
      <c r="AIX234" s="3297"/>
      <c r="AIY234" s="3297"/>
      <c r="AIZ234" s="3297"/>
      <c r="AJA234" s="3297"/>
      <c r="AJB234" s="3297"/>
      <c r="AJC234" s="3297"/>
      <c r="AJD234" s="3297"/>
      <c r="AJE234" s="3297"/>
      <c r="AJF234" s="3297"/>
      <c r="AJG234" s="3297"/>
      <c r="AJH234" s="3297"/>
      <c r="AJI234" s="3297"/>
      <c r="AJJ234" s="3297"/>
      <c r="AJK234" s="3297"/>
      <c r="AJL234" s="3297"/>
      <c r="AJM234" s="3297"/>
      <c r="AJN234" s="3297"/>
      <c r="AJO234" s="3297"/>
      <c r="AJP234" s="3297"/>
      <c r="AJQ234" s="3297"/>
      <c r="AJR234" s="3297"/>
      <c r="AJS234" s="3297"/>
      <c r="AJT234" s="3297"/>
      <c r="AJU234" s="3297"/>
      <c r="AJV234" s="3297"/>
      <c r="AJW234" s="3297"/>
      <c r="AJX234" s="3297"/>
      <c r="AJY234" s="3297"/>
      <c r="AJZ234" s="3297"/>
      <c r="AKA234" s="3297"/>
      <c r="AKB234" s="3297"/>
      <c r="AKC234" s="3297"/>
      <c r="AKD234" s="3297"/>
      <c r="AKE234" s="3297"/>
      <c r="AKF234" s="3297"/>
      <c r="AKG234" s="3297"/>
      <c r="AKH234" s="3297"/>
      <c r="AKI234" s="3297"/>
      <c r="AKJ234" s="3297"/>
      <c r="AKK234" s="3297"/>
      <c r="AKL234" s="3297"/>
      <c r="AKM234" s="3297"/>
      <c r="AKN234" s="3297"/>
      <c r="AKO234" s="3297"/>
      <c r="AKP234" s="3297"/>
      <c r="AKQ234" s="3297"/>
      <c r="AKR234" s="3297"/>
      <c r="AKS234" s="3297"/>
      <c r="AKT234" s="3297"/>
      <c r="AKU234" s="3297"/>
      <c r="AKV234" s="3297"/>
      <c r="AKW234" s="3297"/>
      <c r="AKX234" s="3297"/>
      <c r="AKY234" s="3297"/>
      <c r="AKZ234" s="3297"/>
      <c r="ALA234" s="3297"/>
      <c r="ALB234" s="3297"/>
      <c r="ALC234" s="3297"/>
      <c r="ALD234" s="3297"/>
      <c r="ALE234" s="3297"/>
      <c r="ALF234" s="3297"/>
      <c r="ALG234" s="3297"/>
      <c r="ALH234" s="3297"/>
      <c r="ALI234" s="3297"/>
      <c r="ALJ234" s="3297"/>
      <c r="ALK234" s="3297"/>
      <c r="ALL234" s="3297"/>
      <c r="ALM234" s="3297"/>
      <c r="ALN234" s="3297"/>
      <c r="ALO234" s="3297"/>
      <c r="ALP234" s="3297"/>
      <c r="ALQ234" s="3297"/>
      <c r="ALR234" s="3297"/>
      <c r="ALS234" s="3297"/>
      <c r="ALT234" s="3297"/>
      <c r="ALU234" s="3297"/>
      <c r="ALV234" s="3297"/>
      <c r="ALW234" s="3297"/>
      <c r="ALX234" s="3297"/>
      <c r="ALY234" s="3297"/>
      <c r="ALZ234" s="3297"/>
      <c r="AMA234" s="3297"/>
      <c r="AMB234" s="3297"/>
      <c r="AMC234" s="3297"/>
      <c r="AMD234" s="3297"/>
      <c r="AME234" s="3297"/>
      <c r="AMF234" s="3297"/>
      <c r="AMG234" s="3297"/>
      <c r="AMH234" s="3297"/>
      <c r="AMI234" s="3297"/>
      <c r="AMJ234" s="3297"/>
      <c r="AMK234" s="3297"/>
      <c r="AML234" s="3297"/>
      <c r="AMM234" s="3297"/>
      <c r="AMN234" s="3297"/>
      <c r="AMO234" s="3297"/>
      <c r="AMP234" s="3297"/>
      <c r="AMQ234" s="3297"/>
      <c r="AMR234" s="3297"/>
      <c r="AMS234" s="3297"/>
      <c r="AMT234" s="3297"/>
      <c r="AMU234" s="3297"/>
      <c r="AMV234" s="3297"/>
      <c r="AMW234" s="3297"/>
      <c r="AMX234" s="3297"/>
      <c r="AMY234" s="3297"/>
      <c r="AMZ234" s="3297"/>
      <c r="ANA234" s="3297"/>
      <c r="ANB234" s="3297"/>
      <c r="ANC234" s="3297"/>
      <c r="AND234" s="3297"/>
      <c r="ANE234" s="3297"/>
      <c r="ANF234" s="3297"/>
      <c r="ANG234" s="3297"/>
      <c r="ANH234" s="3297"/>
      <c r="ANI234" s="3297"/>
      <c r="ANJ234" s="3297"/>
      <c r="ANK234" s="3297"/>
      <c r="ANL234" s="3297"/>
      <c r="ANM234" s="3297"/>
      <c r="ANN234" s="3297"/>
      <c r="ANO234" s="3297"/>
      <c r="ANP234" s="3297"/>
      <c r="ANQ234" s="3297"/>
      <c r="ANR234" s="3297"/>
      <c r="ANS234" s="3297"/>
      <c r="ANT234" s="3297"/>
      <c r="ANU234" s="3297"/>
      <c r="ANV234" s="3297"/>
      <c r="ANW234" s="3297"/>
      <c r="ANX234" s="3297"/>
      <c r="ANY234" s="3297"/>
      <c r="ANZ234" s="3297"/>
      <c r="AOA234" s="3297"/>
      <c r="AOB234" s="3297"/>
      <c r="AOC234" s="3297"/>
      <c r="AOD234" s="3297"/>
      <c r="AOE234" s="3297"/>
      <c r="AOF234" s="3297"/>
      <c r="AOG234" s="3297"/>
      <c r="AOH234" s="3297"/>
      <c r="AOI234" s="3297"/>
      <c r="AOJ234" s="3297"/>
      <c r="AOK234" s="3297"/>
      <c r="AOL234" s="3297"/>
      <c r="AOM234" s="3297"/>
      <c r="AON234" s="3297"/>
      <c r="AOO234" s="3297"/>
      <c r="AOP234" s="3297"/>
      <c r="AOQ234" s="3297"/>
      <c r="AOR234" s="3297"/>
      <c r="AOS234" s="3297"/>
      <c r="AOT234" s="3297"/>
      <c r="AOU234" s="3297"/>
      <c r="AOV234" s="3297"/>
      <c r="AOW234" s="3297"/>
      <c r="AOX234" s="3297"/>
      <c r="AOY234" s="3297"/>
      <c r="AOZ234" s="3297"/>
      <c r="APA234" s="3297"/>
      <c r="APB234" s="3297"/>
      <c r="APC234" s="3297"/>
      <c r="APD234" s="3297"/>
      <c r="APE234" s="3297"/>
      <c r="APF234" s="3297"/>
      <c r="APG234" s="3297"/>
      <c r="APH234" s="3297"/>
      <c r="API234" s="3297"/>
      <c r="APJ234" s="3297"/>
      <c r="APK234" s="3297"/>
      <c r="APL234" s="3297"/>
      <c r="APM234" s="3297"/>
      <c r="APN234" s="3297"/>
      <c r="APO234" s="3297"/>
      <c r="APP234" s="3297"/>
      <c r="APQ234" s="3297"/>
      <c r="APR234" s="3297"/>
      <c r="APS234" s="3297"/>
      <c r="APT234" s="3297"/>
      <c r="APU234" s="3297"/>
      <c r="APV234" s="3297"/>
      <c r="APW234" s="3297"/>
      <c r="APX234" s="3297"/>
      <c r="APY234" s="3297"/>
      <c r="APZ234" s="3297"/>
      <c r="AQA234" s="3297"/>
      <c r="AQB234" s="3297"/>
      <c r="AQC234" s="3297"/>
      <c r="AQD234" s="3297"/>
      <c r="AQE234" s="3297"/>
      <c r="AQF234" s="3297"/>
      <c r="AQG234" s="3297"/>
      <c r="AQH234" s="3297"/>
      <c r="AQI234" s="3297"/>
      <c r="AQJ234" s="3297"/>
      <c r="AQK234" s="3297"/>
      <c r="AQL234" s="3297"/>
      <c r="AQM234" s="3297"/>
      <c r="AQN234" s="3297"/>
      <c r="AQO234" s="3297"/>
      <c r="AQP234" s="3297"/>
      <c r="AQQ234" s="3297"/>
      <c r="AQR234" s="3297"/>
      <c r="AQS234" s="3297"/>
      <c r="AQT234" s="3297"/>
      <c r="AQU234" s="3297"/>
      <c r="AQV234" s="3297"/>
      <c r="AQW234" s="3297"/>
      <c r="AQX234" s="3297"/>
      <c r="AQY234" s="3297"/>
      <c r="AQZ234" s="3297"/>
      <c r="ARA234" s="3297"/>
      <c r="ARB234" s="3297"/>
      <c r="ARC234" s="3297"/>
      <c r="ARD234" s="3297"/>
      <c r="ARE234" s="3297"/>
      <c r="ARF234" s="3297"/>
      <c r="ARG234" s="3297"/>
      <c r="ARH234" s="3297"/>
      <c r="ARI234" s="3297"/>
      <c r="ARJ234" s="3297"/>
      <c r="ARK234" s="3297"/>
      <c r="ARL234" s="3297"/>
      <c r="ARM234" s="3297"/>
      <c r="ARN234" s="3297"/>
      <c r="ARO234" s="3297"/>
      <c r="ARP234" s="3297"/>
      <c r="ARQ234" s="3297"/>
      <c r="ARR234" s="3297"/>
      <c r="ARS234" s="3297"/>
      <c r="ART234" s="3297"/>
      <c r="ARU234" s="3297"/>
      <c r="ARV234" s="3297"/>
      <c r="ARW234" s="3297"/>
      <c r="ARX234" s="3297"/>
      <c r="ARY234" s="3297"/>
      <c r="ARZ234" s="3297"/>
      <c r="ASA234" s="3297"/>
      <c r="ASB234" s="3297"/>
      <c r="ASC234" s="3297"/>
      <c r="ASD234" s="3297"/>
      <c r="ASE234" s="3297"/>
      <c r="ASF234" s="3297"/>
      <c r="ASG234" s="3297"/>
      <c r="ASH234" s="3297"/>
      <c r="ASI234" s="3297"/>
      <c r="ASJ234" s="3297"/>
      <c r="ASK234" s="3297"/>
      <c r="ASL234" s="3297"/>
      <c r="ASM234" s="3297"/>
      <c r="ASN234" s="3297"/>
      <c r="ASO234" s="3297"/>
      <c r="ASP234" s="3297"/>
      <c r="ASQ234" s="3297"/>
      <c r="ASR234" s="3297"/>
      <c r="ASS234" s="3297"/>
      <c r="AST234" s="3297"/>
      <c r="ASU234" s="3297"/>
      <c r="ASV234" s="3297"/>
      <c r="ASW234" s="3297"/>
      <c r="ASX234" s="3297"/>
      <c r="ASY234" s="3297"/>
      <c r="ASZ234" s="3297"/>
      <c r="ATA234" s="3297"/>
      <c r="ATB234" s="3297"/>
      <c r="ATC234" s="3297"/>
      <c r="ATD234" s="3297"/>
      <c r="ATE234" s="3297"/>
      <c r="ATF234" s="3297"/>
      <c r="ATG234" s="3297"/>
      <c r="ATH234" s="3297"/>
      <c r="ATI234" s="3297"/>
      <c r="ATJ234" s="3297"/>
      <c r="ATK234" s="3297"/>
      <c r="ATL234" s="3297"/>
      <c r="ATM234" s="3297"/>
      <c r="ATN234" s="3297"/>
      <c r="ATO234" s="3297"/>
      <c r="ATP234" s="3297"/>
      <c r="ATQ234" s="3297"/>
      <c r="ATR234" s="3297"/>
      <c r="ATS234" s="3297"/>
      <c r="ATT234" s="3297"/>
      <c r="ATU234" s="3297"/>
      <c r="ATV234" s="3297"/>
      <c r="ATW234" s="3297"/>
      <c r="ATX234" s="3297"/>
      <c r="ATY234" s="3297"/>
      <c r="ATZ234" s="3297"/>
      <c r="AUA234" s="3297"/>
      <c r="AUB234" s="3297"/>
      <c r="AUC234" s="3297"/>
      <c r="AUD234" s="3297"/>
      <c r="AUE234" s="3297"/>
      <c r="AUF234" s="3297"/>
      <c r="AUG234" s="3297"/>
      <c r="AUH234" s="3297"/>
      <c r="AUI234" s="3297"/>
      <c r="AUJ234" s="3297"/>
      <c r="AUK234" s="3297"/>
      <c r="AUL234" s="3297"/>
      <c r="AUM234" s="3297"/>
      <c r="AUN234" s="3297"/>
      <c r="AUO234" s="3297"/>
      <c r="AUP234" s="3297"/>
      <c r="AUQ234" s="3297"/>
      <c r="AUR234" s="3297"/>
      <c r="AUS234" s="3297"/>
      <c r="AUT234" s="3297"/>
      <c r="AUU234" s="3297"/>
      <c r="AUV234" s="3297"/>
      <c r="AUW234" s="3297"/>
      <c r="AUX234" s="3297"/>
      <c r="AUY234" s="3297"/>
      <c r="AUZ234" s="3297"/>
      <c r="AVA234" s="3297"/>
      <c r="AVB234" s="3297"/>
      <c r="AVC234" s="3297"/>
      <c r="AVD234" s="3297"/>
      <c r="AVE234" s="3297"/>
      <c r="AVF234" s="3297"/>
      <c r="AVG234" s="3297"/>
      <c r="AVH234" s="3297"/>
      <c r="AVI234" s="3297"/>
      <c r="AVJ234" s="3297"/>
      <c r="AVK234" s="3297"/>
      <c r="AVL234" s="3297"/>
      <c r="AVM234" s="3297"/>
      <c r="AVN234" s="3297"/>
      <c r="AVO234" s="3297"/>
      <c r="AVP234" s="3297"/>
      <c r="AVQ234" s="3297"/>
      <c r="AVR234" s="3297"/>
      <c r="AVS234" s="3297"/>
      <c r="AVT234" s="3297"/>
      <c r="AVU234" s="3297"/>
      <c r="AVV234" s="3297"/>
      <c r="AVW234" s="3297"/>
      <c r="AVX234" s="3297"/>
      <c r="AVY234" s="3297"/>
      <c r="AVZ234" s="3297"/>
      <c r="AWA234" s="3297"/>
      <c r="AWB234" s="3297"/>
      <c r="AWC234" s="3297"/>
      <c r="AWD234" s="3297"/>
      <c r="AWE234" s="3297"/>
      <c r="AWF234" s="3297"/>
      <c r="AWG234" s="3297"/>
      <c r="AWH234" s="3297"/>
      <c r="AWI234" s="3297"/>
      <c r="AWJ234" s="3297"/>
      <c r="AWK234" s="3297"/>
      <c r="AWL234" s="3297"/>
      <c r="AWM234" s="3297"/>
      <c r="AWN234" s="3297"/>
      <c r="AWO234" s="3297"/>
      <c r="AWP234" s="3297"/>
      <c r="AWQ234" s="3297"/>
      <c r="AWR234" s="3297"/>
      <c r="AWS234" s="3297"/>
      <c r="AWT234" s="3297"/>
      <c r="AWU234" s="3297"/>
      <c r="AWV234" s="3297"/>
      <c r="AWW234" s="3297"/>
      <c r="AWX234" s="3297"/>
      <c r="AWY234" s="3297"/>
      <c r="AWZ234" s="3297"/>
      <c r="AXA234" s="3297"/>
      <c r="AXB234" s="3297"/>
      <c r="AXC234" s="3297"/>
      <c r="AXD234" s="3297"/>
      <c r="AXE234" s="3297"/>
      <c r="AXF234" s="3297"/>
      <c r="AXG234" s="3297"/>
      <c r="AXH234" s="3297"/>
      <c r="AXI234" s="3297"/>
      <c r="AXJ234" s="3297"/>
    </row>
    <row r="235" spans="1:1310" s="3298" customFormat="1" ht="120.75" customHeight="1">
      <c r="A235" s="468"/>
      <c r="B235" s="3308"/>
      <c r="C235" s="3308"/>
      <c r="D235" s="3308"/>
      <c r="E235" s="3308"/>
      <c r="F235" s="449"/>
      <c r="G235" s="6663" t="s">
        <v>3116</v>
      </c>
      <c r="H235" s="6663"/>
      <c r="I235" s="6663"/>
      <c r="J235" s="3301"/>
      <c r="K235" s="3309"/>
      <c r="L235" s="3308"/>
      <c r="M235" s="3308"/>
      <c r="N235" s="3308"/>
      <c r="O235" s="3308"/>
      <c r="P235" s="3308"/>
      <c r="Q235" s="3308"/>
      <c r="R235" s="443"/>
      <c r="S235" s="443"/>
      <c r="T235" s="443"/>
      <c r="U235" s="443"/>
      <c r="V235" s="443"/>
      <c r="W235" s="443"/>
      <c r="X235" s="443"/>
      <c r="Y235" s="443"/>
      <c r="Z235" s="443"/>
      <c r="AA235" s="443"/>
      <c r="AB235" s="443"/>
      <c r="AC235" s="443"/>
      <c r="AD235" s="3297"/>
      <c r="AE235" s="3297"/>
      <c r="AF235" s="3297"/>
      <c r="AG235" s="3297"/>
      <c r="AH235" s="3297"/>
      <c r="AI235" s="3297"/>
      <c r="AJ235" s="3297"/>
      <c r="AK235" s="3297"/>
      <c r="AL235" s="3297"/>
      <c r="AM235" s="3297"/>
      <c r="AN235" s="3297"/>
      <c r="AO235" s="3297"/>
      <c r="AP235" s="3297"/>
      <c r="AQ235" s="3297"/>
      <c r="AR235" s="3297"/>
      <c r="AS235" s="3297"/>
      <c r="AT235" s="3297"/>
      <c r="AU235" s="3297"/>
      <c r="AV235" s="3297"/>
      <c r="AW235" s="3297"/>
      <c r="AX235" s="3297"/>
      <c r="AY235" s="3297"/>
      <c r="AZ235" s="3297"/>
      <c r="BA235" s="3297"/>
      <c r="BB235" s="3297"/>
      <c r="BC235" s="3297"/>
      <c r="BD235" s="3297"/>
      <c r="BE235" s="3297"/>
      <c r="BF235" s="3297"/>
      <c r="BG235" s="3297"/>
      <c r="BH235" s="3297"/>
      <c r="BI235" s="3297"/>
      <c r="BJ235" s="3297"/>
      <c r="BK235" s="3297"/>
      <c r="BL235" s="3297"/>
      <c r="BM235" s="3297"/>
      <c r="BN235" s="3297"/>
      <c r="BO235" s="3297"/>
      <c r="BP235" s="3297"/>
      <c r="BQ235" s="3297"/>
      <c r="BR235" s="3297"/>
      <c r="BS235" s="3297"/>
      <c r="BT235" s="3297"/>
      <c r="BU235" s="3297"/>
      <c r="BV235" s="3297"/>
      <c r="BW235" s="3297"/>
      <c r="BX235" s="3297"/>
      <c r="BY235" s="3297"/>
      <c r="BZ235" s="3297"/>
      <c r="CA235" s="3297"/>
      <c r="CB235" s="3297"/>
      <c r="CC235" s="3297"/>
      <c r="CD235" s="3297"/>
      <c r="CE235" s="3297"/>
      <c r="CF235" s="3297"/>
      <c r="CG235" s="3297"/>
      <c r="CH235" s="3297"/>
      <c r="CI235" s="3297"/>
      <c r="CJ235" s="3297"/>
      <c r="CK235" s="3297"/>
      <c r="CL235" s="3297"/>
      <c r="CM235" s="3297"/>
      <c r="CN235" s="3297"/>
      <c r="CO235" s="3297"/>
      <c r="CP235" s="3297"/>
      <c r="CQ235" s="3297"/>
      <c r="CR235" s="3297"/>
      <c r="CS235" s="3297"/>
      <c r="CT235" s="3297"/>
      <c r="CU235" s="3297"/>
      <c r="CV235" s="3297"/>
      <c r="CW235" s="3297"/>
      <c r="CX235" s="3297"/>
      <c r="CY235" s="3297"/>
      <c r="CZ235" s="3297"/>
      <c r="DA235" s="3297"/>
      <c r="DB235" s="3297"/>
      <c r="DC235" s="3297"/>
      <c r="DD235" s="3297"/>
      <c r="DE235" s="3297"/>
      <c r="DF235" s="3297"/>
      <c r="DG235" s="3297"/>
      <c r="DH235" s="3297"/>
      <c r="DI235" s="3297"/>
      <c r="DJ235" s="3297"/>
      <c r="DK235" s="3297"/>
      <c r="DL235" s="3297"/>
      <c r="DM235" s="3297"/>
      <c r="DN235" s="3297"/>
      <c r="DO235" s="3297"/>
      <c r="DP235" s="3297"/>
      <c r="DQ235" s="3297"/>
      <c r="DR235" s="3297"/>
      <c r="DS235" s="3297"/>
      <c r="DT235" s="3297"/>
      <c r="DU235" s="3297"/>
      <c r="DV235" s="3297"/>
      <c r="DW235" s="3297"/>
      <c r="DX235" s="3297"/>
      <c r="DY235" s="3297"/>
      <c r="DZ235" s="3297"/>
      <c r="EA235" s="3297"/>
      <c r="EB235" s="3297"/>
      <c r="EC235" s="3297"/>
      <c r="ED235" s="3297"/>
      <c r="EE235" s="3297"/>
      <c r="EF235" s="3297"/>
      <c r="EG235" s="3297"/>
      <c r="EH235" s="3297"/>
      <c r="EI235" s="3297"/>
      <c r="EJ235" s="3297"/>
      <c r="EK235" s="3297"/>
      <c r="EL235" s="3297"/>
      <c r="EM235" s="3297"/>
      <c r="EN235" s="3297"/>
      <c r="EO235" s="3297"/>
      <c r="EP235" s="3297"/>
      <c r="EQ235" s="3297"/>
      <c r="ER235" s="3297"/>
      <c r="ES235" s="3297"/>
      <c r="ET235" s="3297"/>
      <c r="EU235" s="3297"/>
      <c r="EV235" s="3297"/>
      <c r="EW235" s="3297"/>
      <c r="EX235" s="3297"/>
      <c r="EY235" s="3297"/>
      <c r="EZ235" s="3297"/>
      <c r="FA235" s="3297"/>
      <c r="FB235" s="3297"/>
      <c r="FC235" s="3297"/>
      <c r="FD235" s="3297"/>
      <c r="FE235" s="3297"/>
      <c r="FF235" s="3297"/>
      <c r="FG235" s="3297"/>
      <c r="FH235" s="3297"/>
      <c r="FI235" s="3297"/>
      <c r="FJ235" s="3297"/>
      <c r="FK235" s="3297"/>
      <c r="FL235" s="3297"/>
      <c r="FM235" s="3297"/>
      <c r="FN235" s="3297"/>
      <c r="FO235" s="3297"/>
      <c r="FP235" s="3297"/>
      <c r="FQ235" s="3297"/>
      <c r="FR235" s="3297"/>
      <c r="FS235" s="3297"/>
      <c r="FT235" s="3297"/>
      <c r="FU235" s="3297"/>
      <c r="FV235" s="3297"/>
      <c r="FW235" s="3297"/>
      <c r="FX235" s="3297"/>
      <c r="FY235" s="3297"/>
      <c r="FZ235" s="3297"/>
      <c r="GA235" s="3297"/>
      <c r="GB235" s="3297"/>
      <c r="GC235" s="3297"/>
      <c r="GD235" s="3297"/>
      <c r="GE235" s="3297"/>
      <c r="GF235" s="3297"/>
      <c r="GG235" s="3297"/>
      <c r="GH235" s="3297"/>
      <c r="GI235" s="3297"/>
      <c r="GJ235" s="3297"/>
      <c r="GK235" s="3297"/>
      <c r="GL235" s="3297"/>
      <c r="GM235" s="3297"/>
      <c r="GN235" s="3297"/>
      <c r="GO235" s="3297"/>
      <c r="GP235" s="3297"/>
      <c r="GQ235" s="3297"/>
      <c r="GR235" s="3297"/>
      <c r="GS235" s="3297"/>
      <c r="GT235" s="3297"/>
      <c r="GU235" s="3297"/>
      <c r="GV235" s="3297"/>
      <c r="GW235" s="3297"/>
      <c r="GX235" s="3297"/>
      <c r="GY235" s="3297"/>
      <c r="GZ235" s="3297"/>
      <c r="HA235" s="3297"/>
      <c r="HB235" s="3297"/>
      <c r="HC235" s="3297"/>
      <c r="HD235" s="3297"/>
      <c r="HE235" s="3297"/>
      <c r="HF235" s="3297"/>
      <c r="HG235" s="3297"/>
      <c r="HH235" s="3297"/>
      <c r="HI235" s="3297"/>
      <c r="HJ235" s="3297"/>
      <c r="HK235" s="3297"/>
      <c r="HL235" s="3297"/>
      <c r="HM235" s="3297"/>
      <c r="HN235" s="3297"/>
      <c r="HO235" s="3297"/>
      <c r="HP235" s="3297"/>
      <c r="HQ235" s="3297"/>
      <c r="HR235" s="3297"/>
      <c r="HS235" s="3297"/>
      <c r="HT235" s="3297"/>
      <c r="HU235" s="3297"/>
      <c r="HV235" s="3297"/>
      <c r="HW235" s="3297"/>
      <c r="HX235" s="3297"/>
      <c r="HY235" s="3297"/>
      <c r="HZ235" s="3297"/>
      <c r="IA235" s="3297"/>
      <c r="IB235" s="3297"/>
      <c r="IC235" s="3297"/>
      <c r="ID235" s="3297"/>
      <c r="IE235" s="3297"/>
      <c r="IF235" s="3297"/>
      <c r="IG235" s="3297"/>
      <c r="IH235" s="3297"/>
      <c r="II235" s="3297"/>
      <c r="IJ235" s="3297"/>
      <c r="IK235" s="3297"/>
      <c r="IL235" s="3297"/>
      <c r="IM235" s="3297"/>
      <c r="IN235" s="3297"/>
      <c r="IO235" s="3297"/>
      <c r="IP235" s="3297"/>
      <c r="IQ235" s="3297"/>
      <c r="IR235" s="3297"/>
      <c r="IS235" s="3297"/>
      <c r="IT235" s="3297"/>
      <c r="IU235" s="3297"/>
      <c r="IV235" s="3297"/>
      <c r="IW235" s="3297"/>
      <c r="IX235" s="3297"/>
      <c r="IY235" s="3297"/>
      <c r="IZ235" s="3297"/>
      <c r="JA235" s="3297"/>
      <c r="JB235" s="3297"/>
      <c r="JC235" s="3297"/>
      <c r="JD235" s="3297"/>
      <c r="JE235" s="3297"/>
      <c r="JF235" s="3297"/>
      <c r="JG235" s="3297"/>
      <c r="JH235" s="3297"/>
      <c r="JI235" s="3297"/>
      <c r="JJ235" s="3297"/>
      <c r="JK235" s="3297"/>
      <c r="JL235" s="3297"/>
      <c r="JM235" s="3297"/>
      <c r="JN235" s="3297"/>
      <c r="JO235" s="3297"/>
      <c r="JP235" s="3297"/>
      <c r="JQ235" s="3297"/>
      <c r="JR235" s="3297"/>
      <c r="JS235" s="3297"/>
      <c r="JT235" s="3297"/>
      <c r="JU235" s="3297"/>
      <c r="JV235" s="3297"/>
      <c r="JW235" s="3297"/>
      <c r="JX235" s="3297"/>
      <c r="JY235" s="3297"/>
      <c r="JZ235" s="3297"/>
      <c r="KA235" s="3297"/>
      <c r="KB235" s="3297"/>
      <c r="KC235" s="3297"/>
      <c r="KD235" s="3297"/>
      <c r="KE235" s="3297"/>
      <c r="KF235" s="3297"/>
      <c r="KG235" s="3297"/>
      <c r="KH235" s="3297"/>
      <c r="KI235" s="3297"/>
      <c r="KJ235" s="3297"/>
      <c r="KK235" s="3297"/>
      <c r="KL235" s="3297"/>
      <c r="KM235" s="3297"/>
      <c r="KN235" s="3297"/>
      <c r="KO235" s="3297"/>
      <c r="KP235" s="3297"/>
      <c r="KQ235" s="3297"/>
      <c r="KR235" s="3297"/>
      <c r="KS235" s="3297"/>
      <c r="KT235" s="3297"/>
      <c r="KU235" s="3297"/>
      <c r="KV235" s="3297"/>
      <c r="KW235" s="3297"/>
      <c r="KX235" s="3297"/>
      <c r="KY235" s="3297"/>
      <c r="KZ235" s="3297"/>
      <c r="LA235" s="3297"/>
      <c r="LB235" s="3297"/>
      <c r="LC235" s="3297"/>
      <c r="LD235" s="3297"/>
      <c r="LE235" s="3297"/>
      <c r="LF235" s="3297"/>
      <c r="LG235" s="3297"/>
      <c r="LH235" s="3297"/>
      <c r="LI235" s="3297"/>
      <c r="LJ235" s="3297"/>
      <c r="LK235" s="3297"/>
      <c r="LL235" s="3297"/>
      <c r="LM235" s="3297"/>
      <c r="LN235" s="3297"/>
      <c r="LO235" s="3297"/>
      <c r="LP235" s="3297"/>
      <c r="LQ235" s="3297"/>
      <c r="LR235" s="3297"/>
      <c r="LS235" s="3297"/>
      <c r="LT235" s="3297"/>
      <c r="LU235" s="3297"/>
      <c r="LV235" s="3297"/>
      <c r="LW235" s="3297"/>
      <c r="LX235" s="3297"/>
      <c r="LY235" s="3297"/>
      <c r="LZ235" s="3297"/>
      <c r="MA235" s="3297"/>
      <c r="MB235" s="3297"/>
      <c r="MC235" s="3297"/>
      <c r="MD235" s="3297"/>
      <c r="ME235" s="3297"/>
      <c r="MF235" s="3297"/>
      <c r="MG235" s="3297"/>
      <c r="MH235" s="3297"/>
      <c r="MI235" s="3297"/>
      <c r="MJ235" s="3297"/>
      <c r="MK235" s="3297"/>
      <c r="ML235" s="3297"/>
      <c r="MM235" s="3297"/>
      <c r="MN235" s="3297"/>
      <c r="MO235" s="3297"/>
      <c r="MP235" s="3297"/>
      <c r="MQ235" s="3297"/>
      <c r="MR235" s="3297"/>
      <c r="MS235" s="3297"/>
      <c r="MT235" s="3297"/>
      <c r="MU235" s="3297"/>
      <c r="MV235" s="3297"/>
      <c r="MW235" s="3297"/>
      <c r="MX235" s="3297"/>
      <c r="MY235" s="3297"/>
      <c r="MZ235" s="3297"/>
      <c r="NA235" s="3297"/>
      <c r="NB235" s="3297"/>
      <c r="NC235" s="3297"/>
      <c r="ND235" s="3297"/>
      <c r="NE235" s="3297"/>
      <c r="NF235" s="3297"/>
      <c r="NG235" s="3297"/>
      <c r="NH235" s="3297"/>
      <c r="NI235" s="3297"/>
      <c r="NJ235" s="3297"/>
      <c r="NK235" s="3297"/>
      <c r="NL235" s="3297"/>
      <c r="NM235" s="3297"/>
      <c r="NN235" s="3297"/>
      <c r="NO235" s="3297"/>
      <c r="NP235" s="3297"/>
      <c r="NQ235" s="3297"/>
      <c r="NR235" s="3297"/>
      <c r="NS235" s="3297"/>
      <c r="NT235" s="3297"/>
      <c r="NU235" s="3297"/>
      <c r="NV235" s="3297"/>
      <c r="NW235" s="3297"/>
      <c r="NX235" s="3297"/>
      <c r="NY235" s="3297"/>
      <c r="NZ235" s="3297"/>
      <c r="OA235" s="3297"/>
      <c r="OB235" s="3297"/>
      <c r="OC235" s="3297"/>
      <c r="OD235" s="3297"/>
      <c r="OE235" s="3297"/>
      <c r="OF235" s="3297"/>
      <c r="OG235" s="3297"/>
      <c r="OH235" s="3297"/>
      <c r="OI235" s="3297"/>
      <c r="OJ235" s="3297"/>
      <c r="OK235" s="3297"/>
      <c r="OL235" s="3297"/>
      <c r="OM235" s="3297"/>
      <c r="ON235" s="3297"/>
      <c r="OO235" s="3297"/>
      <c r="OP235" s="3297"/>
      <c r="OQ235" s="3297"/>
      <c r="OR235" s="3297"/>
      <c r="OS235" s="3297"/>
      <c r="OT235" s="3297"/>
      <c r="OU235" s="3297"/>
      <c r="OV235" s="3297"/>
      <c r="OW235" s="3297"/>
      <c r="OX235" s="3297"/>
      <c r="OY235" s="3297"/>
      <c r="OZ235" s="3297"/>
      <c r="PA235" s="3297"/>
      <c r="PB235" s="3297"/>
      <c r="PC235" s="3297"/>
      <c r="PD235" s="3297"/>
      <c r="PE235" s="3297"/>
      <c r="PF235" s="3297"/>
      <c r="PG235" s="3297"/>
      <c r="PH235" s="3297"/>
      <c r="PI235" s="3297"/>
      <c r="PJ235" s="3297"/>
      <c r="PK235" s="3297"/>
      <c r="PL235" s="3297"/>
      <c r="PM235" s="3297"/>
      <c r="PN235" s="3297"/>
      <c r="PO235" s="3297"/>
      <c r="PP235" s="3297"/>
      <c r="PQ235" s="3297"/>
      <c r="PR235" s="3297"/>
      <c r="PS235" s="3297"/>
      <c r="PT235" s="3297"/>
      <c r="PU235" s="3297"/>
      <c r="PV235" s="3297"/>
      <c r="PW235" s="3297"/>
      <c r="PX235" s="3297"/>
      <c r="PY235" s="3297"/>
      <c r="PZ235" s="3297"/>
      <c r="QA235" s="3297"/>
      <c r="QB235" s="3297"/>
      <c r="QC235" s="3297"/>
      <c r="QD235" s="3297"/>
      <c r="QE235" s="3297"/>
      <c r="QF235" s="3297"/>
      <c r="QG235" s="3297"/>
      <c r="QH235" s="3297"/>
      <c r="QI235" s="3297"/>
      <c r="QJ235" s="3297"/>
      <c r="QK235" s="3297"/>
      <c r="QL235" s="3297"/>
      <c r="QM235" s="3297"/>
      <c r="QN235" s="3297"/>
      <c r="QO235" s="3297"/>
      <c r="QP235" s="3297"/>
      <c r="QQ235" s="3297"/>
      <c r="QR235" s="3297"/>
      <c r="QS235" s="3297"/>
      <c r="QT235" s="3297"/>
      <c r="QU235" s="3297"/>
      <c r="QV235" s="3297"/>
      <c r="QW235" s="3297"/>
      <c r="QX235" s="3297"/>
      <c r="QY235" s="3297"/>
      <c r="QZ235" s="3297"/>
      <c r="RA235" s="3297"/>
      <c r="RB235" s="3297"/>
      <c r="RC235" s="3297"/>
      <c r="RD235" s="3297"/>
      <c r="RE235" s="3297"/>
      <c r="RF235" s="3297"/>
      <c r="RG235" s="3297"/>
      <c r="RH235" s="3297"/>
      <c r="RI235" s="3297"/>
      <c r="RJ235" s="3297"/>
      <c r="RK235" s="3297"/>
      <c r="RL235" s="3297"/>
      <c r="RM235" s="3297"/>
      <c r="RN235" s="3297"/>
      <c r="RO235" s="3297"/>
      <c r="RP235" s="3297"/>
      <c r="RQ235" s="3297"/>
      <c r="RR235" s="3297"/>
      <c r="RS235" s="3297"/>
      <c r="RT235" s="3297"/>
      <c r="RU235" s="3297"/>
      <c r="RV235" s="3297"/>
      <c r="RW235" s="3297"/>
      <c r="RX235" s="3297"/>
      <c r="RY235" s="3297"/>
      <c r="RZ235" s="3297"/>
      <c r="SA235" s="3297"/>
      <c r="SB235" s="3297"/>
      <c r="SC235" s="3297"/>
      <c r="SD235" s="3297"/>
      <c r="SE235" s="3297"/>
      <c r="SF235" s="3297"/>
      <c r="SG235" s="3297"/>
      <c r="SH235" s="3297"/>
      <c r="SI235" s="3297"/>
      <c r="SJ235" s="3297"/>
      <c r="SK235" s="3297"/>
      <c r="SL235" s="3297"/>
      <c r="SM235" s="3297"/>
      <c r="SN235" s="3297"/>
      <c r="SO235" s="3297"/>
      <c r="SP235" s="3297"/>
      <c r="SQ235" s="3297"/>
      <c r="SR235" s="3297"/>
      <c r="SS235" s="3297"/>
      <c r="ST235" s="3297"/>
      <c r="SU235" s="3297"/>
      <c r="SV235" s="3297"/>
      <c r="SW235" s="3297"/>
      <c r="SX235" s="3297"/>
      <c r="SY235" s="3297"/>
      <c r="SZ235" s="3297"/>
      <c r="TA235" s="3297"/>
      <c r="TB235" s="3297"/>
      <c r="TC235" s="3297"/>
      <c r="TD235" s="3297"/>
      <c r="TE235" s="3297"/>
      <c r="TF235" s="3297"/>
      <c r="TG235" s="3297"/>
      <c r="TH235" s="3297"/>
      <c r="TI235" s="3297"/>
      <c r="TJ235" s="3297"/>
      <c r="TK235" s="3297"/>
      <c r="TL235" s="3297"/>
      <c r="TM235" s="3297"/>
      <c r="TN235" s="3297"/>
      <c r="TO235" s="3297"/>
      <c r="TP235" s="3297"/>
      <c r="TQ235" s="3297"/>
      <c r="TR235" s="3297"/>
      <c r="TS235" s="3297"/>
      <c r="TT235" s="3297"/>
      <c r="TU235" s="3297"/>
      <c r="TV235" s="3297"/>
      <c r="TW235" s="3297"/>
      <c r="TX235" s="3297"/>
      <c r="TY235" s="3297"/>
      <c r="TZ235" s="3297"/>
      <c r="UA235" s="3297"/>
      <c r="UB235" s="3297"/>
      <c r="UC235" s="3297"/>
      <c r="UD235" s="3297"/>
      <c r="UE235" s="3297"/>
      <c r="UF235" s="3297"/>
      <c r="UG235" s="3297"/>
      <c r="UH235" s="3297"/>
      <c r="UI235" s="3297"/>
      <c r="UJ235" s="3297"/>
      <c r="UK235" s="3297"/>
      <c r="UL235" s="3297"/>
      <c r="UM235" s="3297"/>
      <c r="UN235" s="3297"/>
      <c r="UO235" s="3297"/>
      <c r="UP235" s="3297"/>
      <c r="UQ235" s="3297"/>
      <c r="UR235" s="3297"/>
      <c r="US235" s="3297"/>
      <c r="UT235" s="3297"/>
      <c r="UU235" s="3297"/>
      <c r="UV235" s="3297"/>
      <c r="UW235" s="3297"/>
      <c r="UX235" s="3297"/>
      <c r="UY235" s="3297"/>
      <c r="UZ235" s="3297"/>
      <c r="VA235" s="3297"/>
      <c r="VB235" s="3297"/>
      <c r="VC235" s="3297"/>
      <c r="VD235" s="3297"/>
      <c r="VE235" s="3297"/>
      <c r="VF235" s="3297"/>
      <c r="VG235" s="3297"/>
      <c r="VH235" s="3297"/>
      <c r="VI235" s="3297"/>
      <c r="VJ235" s="3297"/>
      <c r="VK235" s="3297"/>
      <c r="VL235" s="3297"/>
      <c r="VM235" s="3297"/>
      <c r="VN235" s="3297"/>
      <c r="VO235" s="3297"/>
      <c r="VP235" s="3297"/>
      <c r="VQ235" s="3297"/>
      <c r="VR235" s="3297"/>
      <c r="VS235" s="3297"/>
      <c r="VT235" s="3297"/>
      <c r="VU235" s="3297"/>
      <c r="VV235" s="3297"/>
      <c r="VW235" s="3297"/>
      <c r="VX235" s="3297"/>
      <c r="VY235" s="3297"/>
      <c r="VZ235" s="3297"/>
      <c r="WA235" s="3297"/>
      <c r="WB235" s="3297"/>
      <c r="WC235" s="3297"/>
      <c r="WD235" s="3297"/>
      <c r="WE235" s="3297"/>
      <c r="WF235" s="3297"/>
      <c r="WG235" s="3297"/>
      <c r="WH235" s="3297"/>
      <c r="WI235" s="3297"/>
      <c r="WJ235" s="3297"/>
      <c r="WK235" s="3297"/>
      <c r="WL235" s="3297"/>
      <c r="WM235" s="3297"/>
      <c r="WN235" s="3297"/>
      <c r="WO235" s="3297"/>
      <c r="WP235" s="3297"/>
      <c r="WQ235" s="3297"/>
      <c r="WR235" s="3297"/>
      <c r="WS235" s="3297"/>
      <c r="WT235" s="3297"/>
      <c r="WU235" s="3297"/>
      <c r="WV235" s="3297"/>
      <c r="WW235" s="3297"/>
      <c r="WX235" s="3297"/>
      <c r="WY235" s="3297"/>
      <c r="WZ235" s="3297"/>
      <c r="XA235" s="3297"/>
      <c r="XB235" s="3297"/>
      <c r="XC235" s="3297"/>
      <c r="XD235" s="3297"/>
      <c r="XE235" s="3297"/>
      <c r="XF235" s="3297"/>
      <c r="XG235" s="3297"/>
      <c r="XH235" s="3297"/>
      <c r="XI235" s="3297"/>
      <c r="XJ235" s="3297"/>
      <c r="XK235" s="3297"/>
      <c r="XL235" s="3297"/>
      <c r="XM235" s="3297"/>
      <c r="XN235" s="3297"/>
      <c r="XO235" s="3297"/>
      <c r="XP235" s="3297"/>
      <c r="XQ235" s="3297"/>
      <c r="XR235" s="3297"/>
      <c r="XS235" s="3297"/>
      <c r="XT235" s="3297"/>
      <c r="XU235" s="3297"/>
      <c r="XV235" s="3297"/>
      <c r="XW235" s="3297"/>
      <c r="XX235" s="3297"/>
      <c r="XY235" s="3297"/>
      <c r="XZ235" s="3297"/>
      <c r="YA235" s="3297"/>
      <c r="YB235" s="3297"/>
      <c r="YC235" s="3297"/>
      <c r="YD235" s="3297"/>
      <c r="YE235" s="3297"/>
      <c r="YF235" s="3297"/>
      <c r="YG235" s="3297"/>
      <c r="YH235" s="3297"/>
      <c r="YI235" s="3297"/>
      <c r="YJ235" s="3297"/>
      <c r="YK235" s="3297"/>
      <c r="YL235" s="3297"/>
      <c r="YM235" s="3297"/>
      <c r="YN235" s="3297"/>
      <c r="YO235" s="3297"/>
      <c r="YP235" s="3297"/>
      <c r="YQ235" s="3297"/>
      <c r="YR235" s="3297"/>
      <c r="YS235" s="3297"/>
      <c r="YT235" s="3297"/>
      <c r="YU235" s="3297"/>
      <c r="YV235" s="3297"/>
      <c r="YW235" s="3297"/>
      <c r="YX235" s="3297"/>
      <c r="YY235" s="3297"/>
      <c r="YZ235" s="3297"/>
      <c r="ZA235" s="3297"/>
      <c r="ZB235" s="3297"/>
      <c r="ZC235" s="3297"/>
      <c r="ZD235" s="3297"/>
      <c r="ZE235" s="3297"/>
      <c r="ZF235" s="3297"/>
      <c r="ZG235" s="3297"/>
      <c r="ZH235" s="3297"/>
      <c r="ZI235" s="3297"/>
      <c r="ZJ235" s="3297"/>
      <c r="ZK235" s="3297"/>
      <c r="ZL235" s="3297"/>
      <c r="ZM235" s="3297"/>
      <c r="ZN235" s="3297"/>
      <c r="ZO235" s="3297"/>
      <c r="ZP235" s="3297"/>
      <c r="ZQ235" s="3297"/>
      <c r="ZR235" s="3297"/>
      <c r="ZS235" s="3297"/>
      <c r="ZT235" s="3297"/>
      <c r="ZU235" s="3297"/>
      <c r="ZV235" s="3297"/>
      <c r="ZW235" s="3297"/>
      <c r="ZX235" s="3297"/>
      <c r="ZY235" s="3297"/>
      <c r="ZZ235" s="3297"/>
      <c r="AAA235" s="3297"/>
      <c r="AAB235" s="3297"/>
      <c r="AAC235" s="3297"/>
      <c r="AAD235" s="3297"/>
      <c r="AAE235" s="3297"/>
      <c r="AAF235" s="3297"/>
      <c r="AAG235" s="3297"/>
      <c r="AAH235" s="3297"/>
      <c r="AAI235" s="3297"/>
      <c r="AAJ235" s="3297"/>
      <c r="AAK235" s="3297"/>
      <c r="AAL235" s="3297"/>
      <c r="AAM235" s="3297"/>
      <c r="AAN235" s="3297"/>
      <c r="AAO235" s="3297"/>
      <c r="AAP235" s="3297"/>
      <c r="AAQ235" s="3297"/>
      <c r="AAR235" s="3297"/>
      <c r="AAS235" s="3297"/>
      <c r="AAT235" s="3297"/>
      <c r="AAU235" s="3297"/>
      <c r="AAV235" s="3297"/>
      <c r="AAW235" s="3297"/>
      <c r="AAX235" s="3297"/>
      <c r="AAY235" s="3297"/>
      <c r="AAZ235" s="3297"/>
      <c r="ABA235" s="3297"/>
      <c r="ABB235" s="3297"/>
      <c r="ABC235" s="3297"/>
      <c r="ABD235" s="3297"/>
      <c r="ABE235" s="3297"/>
      <c r="ABF235" s="3297"/>
      <c r="ABG235" s="3297"/>
      <c r="ABH235" s="3297"/>
      <c r="ABI235" s="3297"/>
      <c r="ABJ235" s="3297"/>
      <c r="ABK235" s="3297"/>
      <c r="ABL235" s="3297"/>
      <c r="ABM235" s="3297"/>
      <c r="ABN235" s="3297"/>
      <c r="ABO235" s="3297"/>
      <c r="ABP235" s="3297"/>
      <c r="ABQ235" s="3297"/>
      <c r="ABR235" s="3297"/>
      <c r="ABS235" s="3297"/>
      <c r="ABT235" s="3297"/>
      <c r="ABU235" s="3297"/>
      <c r="ABV235" s="3297"/>
      <c r="ABW235" s="3297"/>
      <c r="ABX235" s="3297"/>
      <c r="ABY235" s="3297"/>
      <c r="ABZ235" s="3297"/>
      <c r="ACA235" s="3297"/>
      <c r="ACB235" s="3297"/>
      <c r="ACC235" s="3297"/>
      <c r="ACD235" s="3297"/>
      <c r="ACE235" s="3297"/>
      <c r="ACF235" s="3297"/>
      <c r="ACG235" s="3297"/>
      <c r="ACH235" s="3297"/>
      <c r="ACI235" s="3297"/>
      <c r="ACJ235" s="3297"/>
      <c r="ACK235" s="3297"/>
      <c r="ACL235" s="3297"/>
      <c r="ACM235" s="3297"/>
      <c r="ACN235" s="3297"/>
      <c r="ACO235" s="3297"/>
      <c r="ACP235" s="3297"/>
      <c r="ACQ235" s="3297"/>
      <c r="ACR235" s="3297"/>
      <c r="ACS235" s="3297"/>
      <c r="ACT235" s="3297"/>
      <c r="ACU235" s="3297"/>
      <c r="ACV235" s="3297"/>
      <c r="ACW235" s="3297"/>
      <c r="ACX235" s="3297"/>
      <c r="ACY235" s="3297"/>
      <c r="ACZ235" s="3297"/>
      <c r="ADA235" s="3297"/>
      <c r="ADB235" s="3297"/>
      <c r="ADC235" s="3297"/>
      <c r="ADD235" s="3297"/>
      <c r="ADE235" s="3297"/>
      <c r="ADF235" s="3297"/>
      <c r="ADG235" s="3297"/>
      <c r="ADH235" s="3297"/>
      <c r="ADI235" s="3297"/>
      <c r="ADJ235" s="3297"/>
      <c r="ADK235" s="3297"/>
      <c r="ADL235" s="3297"/>
      <c r="ADM235" s="3297"/>
      <c r="ADN235" s="3297"/>
      <c r="ADO235" s="3297"/>
      <c r="ADP235" s="3297"/>
      <c r="ADQ235" s="3297"/>
      <c r="ADR235" s="3297"/>
      <c r="ADS235" s="3297"/>
      <c r="ADT235" s="3297"/>
      <c r="ADU235" s="3297"/>
      <c r="ADV235" s="3297"/>
      <c r="ADW235" s="3297"/>
      <c r="ADX235" s="3297"/>
      <c r="ADY235" s="3297"/>
      <c r="ADZ235" s="3297"/>
      <c r="AEA235" s="3297"/>
      <c r="AEB235" s="3297"/>
      <c r="AEC235" s="3297"/>
      <c r="AED235" s="3297"/>
      <c r="AEE235" s="3297"/>
      <c r="AEF235" s="3297"/>
      <c r="AEG235" s="3297"/>
      <c r="AEH235" s="3297"/>
      <c r="AEI235" s="3297"/>
      <c r="AEJ235" s="3297"/>
      <c r="AEK235" s="3297"/>
      <c r="AEL235" s="3297"/>
      <c r="AEM235" s="3297"/>
      <c r="AEN235" s="3297"/>
      <c r="AEO235" s="3297"/>
      <c r="AEP235" s="3297"/>
      <c r="AEQ235" s="3297"/>
      <c r="AER235" s="3297"/>
      <c r="AES235" s="3297"/>
      <c r="AET235" s="3297"/>
      <c r="AEU235" s="3297"/>
      <c r="AEV235" s="3297"/>
      <c r="AEW235" s="3297"/>
      <c r="AEX235" s="3297"/>
      <c r="AEY235" s="3297"/>
      <c r="AEZ235" s="3297"/>
      <c r="AFA235" s="3297"/>
      <c r="AFB235" s="3297"/>
      <c r="AFC235" s="3297"/>
      <c r="AFD235" s="3297"/>
      <c r="AFE235" s="3297"/>
      <c r="AFF235" s="3297"/>
      <c r="AFG235" s="3297"/>
      <c r="AFH235" s="3297"/>
      <c r="AFI235" s="3297"/>
      <c r="AFJ235" s="3297"/>
      <c r="AFK235" s="3297"/>
      <c r="AFL235" s="3297"/>
      <c r="AFM235" s="3297"/>
      <c r="AFN235" s="3297"/>
      <c r="AFO235" s="3297"/>
      <c r="AFP235" s="3297"/>
      <c r="AFQ235" s="3297"/>
      <c r="AFR235" s="3297"/>
      <c r="AFS235" s="3297"/>
      <c r="AFT235" s="3297"/>
      <c r="AFU235" s="3297"/>
      <c r="AFV235" s="3297"/>
      <c r="AFW235" s="3297"/>
      <c r="AFX235" s="3297"/>
      <c r="AFY235" s="3297"/>
      <c r="AFZ235" s="3297"/>
      <c r="AGA235" s="3297"/>
      <c r="AGB235" s="3297"/>
      <c r="AGC235" s="3297"/>
      <c r="AGD235" s="3297"/>
      <c r="AGE235" s="3297"/>
      <c r="AGF235" s="3297"/>
      <c r="AGG235" s="3297"/>
      <c r="AGH235" s="3297"/>
      <c r="AGI235" s="3297"/>
      <c r="AGJ235" s="3297"/>
      <c r="AGK235" s="3297"/>
      <c r="AGL235" s="3297"/>
      <c r="AGM235" s="3297"/>
      <c r="AGN235" s="3297"/>
      <c r="AGO235" s="3297"/>
      <c r="AGP235" s="3297"/>
      <c r="AGQ235" s="3297"/>
      <c r="AGR235" s="3297"/>
      <c r="AGS235" s="3297"/>
      <c r="AGT235" s="3297"/>
      <c r="AGU235" s="3297"/>
      <c r="AGV235" s="3297"/>
      <c r="AGW235" s="3297"/>
      <c r="AGX235" s="3297"/>
      <c r="AGY235" s="3297"/>
      <c r="AGZ235" s="3297"/>
      <c r="AHA235" s="3297"/>
      <c r="AHB235" s="3297"/>
      <c r="AHC235" s="3297"/>
      <c r="AHD235" s="3297"/>
      <c r="AHE235" s="3297"/>
      <c r="AHF235" s="3297"/>
      <c r="AHG235" s="3297"/>
      <c r="AHH235" s="3297"/>
      <c r="AHI235" s="3297"/>
      <c r="AHJ235" s="3297"/>
      <c r="AHK235" s="3297"/>
      <c r="AHL235" s="3297"/>
      <c r="AHM235" s="3297"/>
      <c r="AHN235" s="3297"/>
      <c r="AHO235" s="3297"/>
      <c r="AHP235" s="3297"/>
      <c r="AHQ235" s="3297"/>
      <c r="AHR235" s="3297"/>
      <c r="AHS235" s="3297"/>
      <c r="AHT235" s="3297"/>
      <c r="AHU235" s="3297"/>
      <c r="AHV235" s="3297"/>
      <c r="AHW235" s="3297"/>
      <c r="AHX235" s="3297"/>
      <c r="AHY235" s="3297"/>
      <c r="AHZ235" s="3297"/>
      <c r="AIA235" s="3297"/>
      <c r="AIB235" s="3297"/>
      <c r="AIC235" s="3297"/>
      <c r="AID235" s="3297"/>
      <c r="AIE235" s="3297"/>
      <c r="AIF235" s="3297"/>
      <c r="AIG235" s="3297"/>
      <c r="AIH235" s="3297"/>
      <c r="AII235" s="3297"/>
      <c r="AIJ235" s="3297"/>
      <c r="AIK235" s="3297"/>
      <c r="AIL235" s="3297"/>
      <c r="AIM235" s="3297"/>
      <c r="AIN235" s="3297"/>
      <c r="AIO235" s="3297"/>
      <c r="AIP235" s="3297"/>
      <c r="AIQ235" s="3297"/>
      <c r="AIR235" s="3297"/>
      <c r="AIS235" s="3297"/>
      <c r="AIT235" s="3297"/>
      <c r="AIU235" s="3297"/>
      <c r="AIV235" s="3297"/>
      <c r="AIW235" s="3297"/>
      <c r="AIX235" s="3297"/>
      <c r="AIY235" s="3297"/>
      <c r="AIZ235" s="3297"/>
      <c r="AJA235" s="3297"/>
      <c r="AJB235" s="3297"/>
      <c r="AJC235" s="3297"/>
      <c r="AJD235" s="3297"/>
      <c r="AJE235" s="3297"/>
      <c r="AJF235" s="3297"/>
      <c r="AJG235" s="3297"/>
      <c r="AJH235" s="3297"/>
      <c r="AJI235" s="3297"/>
      <c r="AJJ235" s="3297"/>
      <c r="AJK235" s="3297"/>
      <c r="AJL235" s="3297"/>
      <c r="AJM235" s="3297"/>
      <c r="AJN235" s="3297"/>
      <c r="AJO235" s="3297"/>
      <c r="AJP235" s="3297"/>
      <c r="AJQ235" s="3297"/>
      <c r="AJR235" s="3297"/>
      <c r="AJS235" s="3297"/>
      <c r="AJT235" s="3297"/>
      <c r="AJU235" s="3297"/>
      <c r="AJV235" s="3297"/>
      <c r="AJW235" s="3297"/>
      <c r="AJX235" s="3297"/>
      <c r="AJY235" s="3297"/>
      <c r="AJZ235" s="3297"/>
      <c r="AKA235" s="3297"/>
      <c r="AKB235" s="3297"/>
      <c r="AKC235" s="3297"/>
      <c r="AKD235" s="3297"/>
      <c r="AKE235" s="3297"/>
      <c r="AKF235" s="3297"/>
      <c r="AKG235" s="3297"/>
      <c r="AKH235" s="3297"/>
      <c r="AKI235" s="3297"/>
      <c r="AKJ235" s="3297"/>
      <c r="AKK235" s="3297"/>
      <c r="AKL235" s="3297"/>
      <c r="AKM235" s="3297"/>
      <c r="AKN235" s="3297"/>
      <c r="AKO235" s="3297"/>
      <c r="AKP235" s="3297"/>
      <c r="AKQ235" s="3297"/>
      <c r="AKR235" s="3297"/>
      <c r="AKS235" s="3297"/>
      <c r="AKT235" s="3297"/>
      <c r="AKU235" s="3297"/>
      <c r="AKV235" s="3297"/>
      <c r="AKW235" s="3297"/>
      <c r="AKX235" s="3297"/>
      <c r="AKY235" s="3297"/>
      <c r="AKZ235" s="3297"/>
      <c r="ALA235" s="3297"/>
      <c r="ALB235" s="3297"/>
      <c r="ALC235" s="3297"/>
      <c r="ALD235" s="3297"/>
      <c r="ALE235" s="3297"/>
      <c r="ALF235" s="3297"/>
      <c r="ALG235" s="3297"/>
      <c r="ALH235" s="3297"/>
      <c r="ALI235" s="3297"/>
      <c r="ALJ235" s="3297"/>
      <c r="ALK235" s="3297"/>
      <c r="ALL235" s="3297"/>
      <c r="ALM235" s="3297"/>
      <c r="ALN235" s="3297"/>
      <c r="ALO235" s="3297"/>
      <c r="ALP235" s="3297"/>
      <c r="ALQ235" s="3297"/>
      <c r="ALR235" s="3297"/>
      <c r="ALS235" s="3297"/>
      <c r="ALT235" s="3297"/>
      <c r="ALU235" s="3297"/>
      <c r="ALV235" s="3297"/>
      <c r="ALW235" s="3297"/>
      <c r="ALX235" s="3297"/>
      <c r="ALY235" s="3297"/>
      <c r="ALZ235" s="3297"/>
      <c r="AMA235" s="3297"/>
      <c r="AMB235" s="3297"/>
      <c r="AMC235" s="3297"/>
      <c r="AMD235" s="3297"/>
      <c r="AME235" s="3297"/>
      <c r="AMF235" s="3297"/>
      <c r="AMG235" s="3297"/>
      <c r="AMH235" s="3297"/>
      <c r="AMI235" s="3297"/>
      <c r="AMJ235" s="3297"/>
      <c r="AMK235" s="3297"/>
      <c r="AML235" s="3297"/>
      <c r="AMM235" s="3297"/>
      <c r="AMN235" s="3297"/>
      <c r="AMO235" s="3297"/>
      <c r="AMP235" s="3297"/>
      <c r="AMQ235" s="3297"/>
      <c r="AMR235" s="3297"/>
      <c r="AMS235" s="3297"/>
      <c r="AMT235" s="3297"/>
      <c r="AMU235" s="3297"/>
      <c r="AMV235" s="3297"/>
      <c r="AMW235" s="3297"/>
      <c r="AMX235" s="3297"/>
      <c r="AMY235" s="3297"/>
      <c r="AMZ235" s="3297"/>
      <c r="ANA235" s="3297"/>
      <c r="ANB235" s="3297"/>
      <c r="ANC235" s="3297"/>
      <c r="AND235" s="3297"/>
      <c r="ANE235" s="3297"/>
      <c r="ANF235" s="3297"/>
      <c r="ANG235" s="3297"/>
      <c r="ANH235" s="3297"/>
      <c r="ANI235" s="3297"/>
      <c r="ANJ235" s="3297"/>
      <c r="ANK235" s="3297"/>
      <c r="ANL235" s="3297"/>
      <c r="ANM235" s="3297"/>
      <c r="ANN235" s="3297"/>
      <c r="ANO235" s="3297"/>
      <c r="ANP235" s="3297"/>
      <c r="ANQ235" s="3297"/>
      <c r="ANR235" s="3297"/>
      <c r="ANS235" s="3297"/>
      <c r="ANT235" s="3297"/>
      <c r="ANU235" s="3297"/>
      <c r="ANV235" s="3297"/>
      <c r="ANW235" s="3297"/>
      <c r="ANX235" s="3297"/>
      <c r="ANY235" s="3297"/>
      <c r="ANZ235" s="3297"/>
      <c r="AOA235" s="3297"/>
      <c r="AOB235" s="3297"/>
      <c r="AOC235" s="3297"/>
      <c r="AOD235" s="3297"/>
      <c r="AOE235" s="3297"/>
      <c r="AOF235" s="3297"/>
      <c r="AOG235" s="3297"/>
      <c r="AOH235" s="3297"/>
      <c r="AOI235" s="3297"/>
      <c r="AOJ235" s="3297"/>
      <c r="AOK235" s="3297"/>
      <c r="AOL235" s="3297"/>
      <c r="AOM235" s="3297"/>
      <c r="AON235" s="3297"/>
      <c r="AOO235" s="3297"/>
      <c r="AOP235" s="3297"/>
      <c r="AOQ235" s="3297"/>
      <c r="AOR235" s="3297"/>
      <c r="AOS235" s="3297"/>
      <c r="AOT235" s="3297"/>
      <c r="AOU235" s="3297"/>
      <c r="AOV235" s="3297"/>
      <c r="AOW235" s="3297"/>
      <c r="AOX235" s="3297"/>
      <c r="AOY235" s="3297"/>
      <c r="AOZ235" s="3297"/>
      <c r="APA235" s="3297"/>
      <c r="APB235" s="3297"/>
      <c r="APC235" s="3297"/>
      <c r="APD235" s="3297"/>
      <c r="APE235" s="3297"/>
      <c r="APF235" s="3297"/>
      <c r="APG235" s="3297"/>
      <c r="APH235" s="3297"/>
      <c r="API235" s="3297"/>
      <c r="APJ235" s="3297"/>
      <c r="APK235" s="3297"/>
      <c r="APL235" s="3297"/>
      <c r="APM235" s="3297"/>
      <c r="APN235" s="3297"/>
      <c r="APO235" s="3297"/>
      <c r="APP235" s="3297"/>
      <c r="APQ235" s="3297"/>
      <c r="APR235" s="3297"/>
      <c r="APS235" s="3297"/>
      <c r="APT235" s="3297"/>
      <c r="APU235" s="3297"/>
      <c r="APV235" s="3297"/>
      <c r="APW235" s="3297"/>
      <c r="APX235" s="3297"/>
      <c r="APY235" s="3297"/>
      <c r="APZ235" s="3297"/>
      <c r="AQA235" s="3297"/>
      <c r="AQB235" s="3297"/>
      <c r="AQC235" s="3297"/>
      <c r="AQD235" s="3297"/>
      <c r="AQE235" s="3297"/>
      <c r="AQF235" s="3297"/>
      <c r="AQG235" s="3297"/>
      <c r="AQH235" s="3297"/>
      <c r="AQI235" s="3297"/>
      <c r="AQJ235" s="3297"/>
      <c r="AQK235" s="3297"/>
      <c r="AQL235" s="3297"/>
      <c r="AQM235" s="3297"/>
      <c r="AQN235" s="3297"/>
      <c r="AQO235" s="3297"/>
      <c r="AQP235" s="3297"/>
      <c r="AQQ235" s="3297"/>
      <c r="AQR235" s="3297"/>
      <c r="AQS235" s="3297"/>
      <c r="AQT235" s="3297"/>
      <c r="AQU235" s="3297"/>
      <c r="AQV235" s="3297"/>
      <c r="AQW235" s="3297"/>
      <c r="AQX235" s="3297"/>
      <c r="AQY235" s="3297"/>
      <c r="AQZ235" s="3297"/>
      <c r="ARA235" s="3297"/>
      <c r="ARB235" s="3297"/>
      <c r="ARC235" s="3297"/>
      <c r="ARD235" s="3297"/>
      <c r="ARE235" s="3297"/>
      <c r="ARF235" s="3297"/>
      <c r="ARG235" s="3297"/>
      <c r="ARH235" s="3297"/>
      <c r="ARI235" s="3297"/>
      <c r="ARJ235" s="3297"/>
      <c r="ARK235" s="3297"/>
      <c r="ARL235" s="3297"/>
      <c r="ARM235" s="3297"/>
      <c r="ARN235" s="3297"/>
      <c r="ARO235" s="3297"/>
      <c r="ARP235" s="3297"/>
      <c r="ARQ235" s="3297"/>
      <c r="ARR235" s="3297"/>
      <c r="ARS235" s="3297"/>
      <c r="ART235" s="3297"/>
      <c r="ARU235" s="3297"/>
      <c r="ARV235" s="3297"/>
      <c r="ARW235" s="3297"/>
      <c r="ARX235" s="3297"/>
      <c r="ARY235" s="3297"/>
      <c r="ARZ235" s="3297"/>
      <c r="ASA235" s="3297"/>
      <c r="ASB235" s="3297"/>
      <c r="ASC235" s="3297"/>
      <c r="ASD235" s="3297"/>
      <c r="ASE235" s="3297"/>
      <c r="ASF235" s="3297"/>
      <c r="ASG235" s="3297"/>
      <c r="ASH235" s="3297"/>
      <c r="ASI235" s="3297"/>
      <c r="ASJ235" s="3297"/>
      <c r="ASK235" s="3297"/>
      <c r="ASL235" s="3297"/>
      <c r="ASM235" s="3297"/>
      <c r="ASN235" s="3297"/>
      <c r="ASO235" s="3297"/>
      <c r="ASP235" s="3297"/>
      <c r="ASQ235" s="3297"/>
      <c r="ASR235" s="3297"/>
      <c r="ASS235" s="3297"/>
      <c r="AST235" s="3297"/>
      <c r="ASU235" s="3297"/>
      <c r="ASV235" s="3297"/>
      <c r="ASW235" s="3297"/>
      <c r="ASX235" s="3297"/>
      <c r="ASY235" s="3297"/>
      <c r="ASZ235" s="3297"/>
      <c r="ATA235" s="3297"/>
      <c r="ATB235" s="3297"/>
      <c r="ATC235" s="3297"/>
      <c r="ATD235" s="3297"/>
      <c r="ATE235" s="3297"/>
      <c r="ATF235" s="3297"/>
      <c r="ATG235" s="3297"/>
      <c r="ATH235" s="3297"/>
      <c r="ATI235" s="3297"/>
      <c r="ATJ235" s="3297"/>
      <c r="ATK235" s="3297"/>
      <c r="ATL235" s="3297"/>
      <c r="ATM235" s="3297"/>
      <c r="ATN235" s="3297"/>
      <c r="ATO235" s="3297"/>
      <c r="ATP235" s="3297"/>
      <c r="ATQ235" s="3297"/>
      <c r="ATR235" s="3297"/>
      <c r="ATS235" s="3297"/>
      <c r="ATT235" s="3297"/>
      <c r="ATU235" s="3297"/>
      <c r="ATV235" s="3297"/>
      <c r="ATW235" s="3297"/>
      <c r="ATX235" s="3297"/>
      <c r="ATY235" s="3297"/>
      <c r="ATZ235" s="3297"/>
      <c r="AUA235" s="3297"/>
      <c r="AUB235" s="3297"/>
      <c r="AUC235" s="3297"/>
      <c r="AUD235" s="3297"/>
      <c r="AUE235" s="3297"/>
      <c r="AUF235" s="3297"/>
      <c r="AUG235" s="3297"/>
      <c r="AUH235" s="3297"/>
      <c r="AUI235" s="3297"/>
      <c r="AUJ235" s="3297"/>
      <c r="AUK235" s="3297"/>
      <c r="AUL235" s="3297"/>
      <c r="AUM235" s="3297"/>
      <c r="AUN235" s="3297"/>
      <c r="AUO235" s="3297"/>
      <c r="AUP235" s="3297"/>
      <c r="AUQ235" s="3297"/>
      <c r="AUR235" s="3297"/>
      <c r="AUS235" s="3297"/>
      <c r="AUT235" s="3297"/>
      <c r="AUU235" s="3297"/>
      <c r="AUV235" s="3297"/>
      <c r="AUW235" s="3297"/>
      <c r="AUX235" s="3297"/>
      <c r="AUY235" s="3297"/>
      <c r="AUZ235" s="3297"/>
      <c r="AVA235" s="3297"/>
      <c r="AVB235" s="3297"/>
      <c r="AVC235" s="3297"/>
      <c r="AVD235" s="3297"/>
      <c r="AVE235" s="3297"/>
      <c r="AVF235" s="3297"/>
      <c r="AVG235" s="3297"/>
      <c r="AVH235" s="3297"/>
      <c r="AVI235" s="3297"/>
      <c r="AVJ235" s="3297"/>
      <c r="AVK235" s="3297"/>
      <c r="AVL235" s="3297"/>
      <c r="AVM235" s="3297"/>
      <c r="AVN235" s="3297"/>
      <c r="AVO235" s="3297"/>
      <c r="AVP235" s="3297"/>
      <c r="AVQ235" s="3297"/>
      <c r="AVR235" s="3297"/>
      <c r="AVS235" s="3297"/>
      <c r="AVT235" s="3297"/>
      <c r="AVU235" s="3297"/>
      <c r="AVV235" s="3297"/>
      <c r="AVW235" s="3297"/>
      <c r="AVX235" s="3297"/>
      <c r="AVY235" s="3297"/>
      <c r="AVZ235" s="3297"/>
      <c r="AWA235" s="3297"/>
      <c r="AWB235" s="3297"/>
      <c r="AWC235" s="3297"/>
      <c r="AWD235" s="3297"/>
      <c r="AWE235" s="3297"/>
      <c r="AWF235" s="3297"/>
      <c r="AWG235" s="3297"/>
      <c r="AWH235" s="3297"/>
      <c r="AWI235" s="3297"/>
      <c r="AWJ235" s="3297"/>
      <c r="AWK235" s="3297"/>
      <c r="AWL235" s="3297"/>
      <c r="AWM235" s="3297"/>
      <c r="AWN235" s="3297"/>
      <c r="AWO235" s="3297"/>
      <c r="AWP235" s="3297"/>
      <c r="AWQ235" s="3297"/>
      <c r="AWR235" s="3297"/>
      <c r="AWS235" s="3297"/>
      <c r="AWT235" s="3297"/>
      <c r="AWU235" s="3297"/>
      <c r="AWV235" s="3297"/>
      <c r="AWW235" s="3297"/>
      <c r="AWX235" s="3297"/>
      <c r="AWY235" s="3297"/>
      <c r="AWZ235" s="3297"/>
      <c r="AXA235" s="3297"/>
      <c r="AXB235" s="3297"/>
      <c r="AXC235" s="3297"/>
      <c r="AXD235" s="3297"/>
      <c r="AXE235" s="3297"/>
      <c r="AXF235" s="3297"/>
      <c r="AXG235" s="3297"/>
      <c r="AXH235" s="3297"/>
      <c r="AXI235" s="3297"/>
      <c r="AXJ235" s="3297"/>
    </row>
    <row r="236" spans="1:1310" s="3298" customFormat="1" ht="56.25" customHeight="1">
      <c r="A236" s="468"/>
      <c r="B236" s="5181" t="s">
        <v>3117</v>
      </c>
      <c r="C236" s="5181"/>
      <c r="D236" s="5181"/>
      <c r="E236" s="5181"/>
      <c r="F236" s="3300"/>
      <c r="G236" s="6649" t="s">
        <v>3117</v>
      </c>
      <c r="H236" s="6649"/>
      <c r="I236" s="6649"/>
      <c r="J236" s="3303"/>
      <c r="K236" s="6650" t="s">
        <v>3118</v>
      </c>
      <c r="L236" s="6650"/>
      <c r="M236" s="6650"/>
      <c r="N236" s="3303"/>
      <c r="O236" s="6651" t="s">
        <v>552</v>
      </c>
      <c r="P236" s="6651"/>
      <c r="Q236" s="6651"/>
      <c r="R236" s="443"/>
      <c r="S236" s="443"/>
      <c r="T236" s="443"/>
      <c r="U236" s="443"/>
      <c r="V236" s="443"/>
      <c r="W236" s="443"/>
      <c r="X236" s="443"/>
      <c r="Y236" s="443"/>
      <c r="Z236" s="443"/>
      <c r="AA236" s="443"/>
      <c r="AB236" s="443"/>
      <c r="AC236" s="443"/>
      <c r="AD236" s="3297"/>
      <c r="AE236" s="3297"/>
      <c r="AF236" s="3297"/>
      <c r="AG236" s="3297"/>
      <c r="AH236" s="3297"/>
      <c r="AI236" s="3297"/>
      <c r="AJ236" s="3297"/>
      <c r="AK236" s="3297"/>
      <c r="AL236" s="3297"/>
      <c r="AM236" s="3297"/>
      <c r="AN236" s="3297"/>
      <c r="AO236" s="3297"/>
      <c r="AP236" s="3297"/>
      <c r="AQ236" s="3297"/>
      <c r="AR236" s="3297"/>
      <c r="AS236" s="3297"/>
      <c r="AT236" s="3297"/>
      <c r="AU236" s="3297"/>
      <c r="AV236" s="3297"/>
      <c r="AW236" s="3297"/>
      <c r="AX236" s="3297"/>
      <c r="AY236" s="3297"/>
      <c r="AZ236" s="3297"/>
      <c r="BA236" s="3297"/>
      <c r="BB236" s="3297"/>
      <c r="BC236" s="3297"/>
      <c r="BD236" s="3297"/>
      <c r="BE236" s="3297"/>
      <c r="BF236" s="3297"/>
      <c r="BG236" s="3297"/>
      <c r="BH236" s="3297"/>
      <c r="BI236" s="3297"/>
      <c r="BJ236" s="3297"/>
      <c r="BK236" s="3297"/>
      <c r="BL236" s="3297"/>
      <c r="BM236" s="3297"/>
      <c r="BN236" s="3297"/>
      <c r="BO236" s="3297"/>
      <c r="BP236" s="3297"/>
      <c r="BQ236" s="3297"/>
      <c r="BR236" s="3297"/>
      <c r="BS236" s="3297"/>
      <c r="BT236" s="3297"/>
      <c r="BU236" s="3297"/>
      <c r="BV236" s="3297"/>
      <c r="BW236" s="3297"/>
      <c r="BX236" s="3297"/>
      <c r="BY236" s="3297"/>
      <c r="BZ236" s="3297"/>
      <c r="CA236" s="3297"/>
      <c r="CB236" s="3297"/>
      <c r="CC236" s="3297"/>
      <c r="CD236" s="3297"/>
      <c r="CE236" s="3297"/>
      <c r="CF236" s="3297"/>
      <c r="CG236" s="3297"/>
      <c r="CH236" s="3297"/>
      <c r="CI236" s="3297"/>
      <c r="CJ236" s="3297"/>
      <c r="CK236" s="3297"/>
      <c r="CL236" s="3297"/>
      <c r="CM236" s="3297"/>
      <c r="CN236" s="3297"/>
      <c r="CO236" s="3297"/>
      <c r="CP236" s="3297"/>
      <c r="CQ236" s="3297"/>
      <c r="CR236" s="3297"/>
      <c r="CS236" s="3297"/>
      <c r="CT236" s="3297"/>
      <c r="CU236" s="3297"/>
      <c r="CV236" s="3297"/>
      <c r="CW236" s="3297"/>
      <c r="CX236" s="3297"/>
      <c r="CY236" s="3297"/>
      <c r="CZ236" s="3297"/>
      <c r="DA236" s="3297"/>
      <c r="DB236" s="3297"/>
      <c r="DC236" s="3297"/>
      <c r="DD236" s="3297"/>
      <c r="DE236" s="3297"/>
      <c r="DF236" s="3297"/>
      <c r="DG236" s="3297"/>
      <c r="DH236" s="3297"/>
      <c r="DI236" s="3297"/>
      <c r="DJ236" s="3297"/>
      <c r="DK236" s="3297"/>
      <c r="DL236" s="3297"/>
      <c r="DM236" s="3297"/>
      <c r="DN236" s="3297"/>
      <c r="DO236" s="3297"/>
      <c r="DP236" s="3297"/>
      <c r="DQ236" s="3297"/>
      <c r="DR236" s="3297"/>
      <c r="DS236" s="3297"/>
      <c r="DT236" s="3297"/>
      <c r="DU236" s="3297"/>
      <c r="DV236" s="3297"/>
      <c r="DW236" s="3297"/>
      <c r="DX236" s="3297"/>
      <c r="DY236" s="3297"/>
      <c r="DZ236" s="3297"/>
      <c r="EA236" s="3297"/>
      <c r="EB236" s="3297"/>
      <c r="EC236" s="3297"/>
      <c r="ED236" s="3297"/>
      <c r="EE236" s="3297"/>
      <c r="EF236" s="3297"/>
      <c r="EG236" s="3297"/>
      <c r="EH236" s="3297"/>
      <c r="EI236" s="3297"/>
      <c r="EJ236" s="3297"/>
      <c r="EK236" s="3297"/>
      <c r="EL236" s="3297"/>
      <c r="EM236" s="3297"/>
      <c r="EN236" s="3297"/>
      <c r="EO236" s="3297"/>
      <c r="EP236" s="3297"/>
      <c r="EQ236" s="3297"/>
      <c r="ER236" s="3297"/>
      <c r="ES236" s="3297"/>
      <c r="ET236" s="3297"/>
      <c r="EU236" s="3297"/>
      <c r="EV236" s="3297"/>
      <c r="EW236" s="3297"/>
      <c r="EX236" s="3297"/>
      <c r="EY236" s="3297"/>
      <c r="EZ236" s="3297"/>
      <c r="FA236" s="3297"/>
      <c r="FB236" s="3297"/>
      <c r="FC236" s="3297"/>
      <c r="FD236" s="3297"/>
      <c r="FE236" s="3297"/>
      <c r="FF236" s="3297"/>
      <c r="FG236" s="3297"/>
      <c r="FH236" s="3297"/>
      <c r="FI236" s="3297"/>
      <c r="FJ236" s="3297"/>
      <c r="FK236" s="3297"/>
      <c r="FL236" s="3297"/>
      <c r="FM236" s="3297"/>
      <c r="FN236" s="3297"/>
      <c r="FO236" s="3297"/>
      <c r="FP236" s="3297"/>
      <c r="FQ236" s="3297"/>
      <c r="FR236" s="3297"/>
      <c r="FS236" s="3297"/>
      <c r="FT236" s="3297"/>
      <c r="FU236" s="3297"/>
      <c r="FV236" s="3297"/>
      <c r="FW236" s="3297"/>
      <c r="FX236" s="3297"/>
      <c r="FY236" s="3297"/>
      <c r="FZ236" s="3297"/>
      <c r="GA236" s="3297"/>
      <c r="GB236" s="3297"/>
      <c r="GC236" s="3297"/>
      <c r="GD236" s="3297"/>
      <c r="GE236" s="3297"/>
      <c r="GF236" s="3297"/>
      <c r="GG236" s="3297"/>
      <c r="GH236" s="3297"/>
      <c r="GI236" s="3297"/>
      <c r="GJ236" s="3297"/>
      <c r="GK236" s="3297"/>
      <c r="GL236" s="3297"/>
      <c r="GM236" s="3297"/>
      <c r="GN236" s="3297"/>
      <c r="GO236" s="3297"/>
      <c r="GP236" s="3297"/>
      <c r="GQ236" s="3297"/>
      <c r="GR236" s="3297"/>
      <c r="GS236" s="3297"/>
      <c r="GT236" s="3297"/>
      <c r="GU236" s="3297"/>
      <c r="GV236" s="3297"/>
      <c r="GW236" s="3297"/>
      <c r="GX236" s="3297"/>
      <c r="GY236" s="3297"/>
      <c r="GZ236" s="3297"/>
      <c r="HA236" s="3297"/>
      <c r="HB236" s="3297"/>
      <c r="HC236" s="3297"/>
      <c r="HD236" s="3297"/>
      <c r="HE236" s="3297"/>
      <c r="HF236" s="3297"/>
      <c r="HG236" s="3297"/>
      <c r="HH236" s="3297"/>
      <c r="HI236" s="3297"/>
      <c r="HJ236" s="3297"/>
      <c r="HK236" s="3297"/>
      <c r="HL236" s="3297"/>
      <c r="HM236" s="3297"/>
      <c r="HN236" s="3297"/>
      <c r="HO236" s="3297"/>
      <c r="HP236" s="3297"/>
      <c r="HQ236" s="3297"/>
      <c r="HR236" s="3297"/>
      <c r="HS236" s="3297"/>
      <c r="HT236" s="3297"/>
      <c r="HU236" s="3297"/>
      <c r="HV236" s="3297"/>
      <c r="HW236" s="3297"/>
      <c r="HX236" s="3297"/>
      <c r="HY236" s="3297"/>
      <c r="HZ236" s="3297"/>
      <c r="IA236" s="3297"/>
      <c r="IB236" s="3297"/>
      <c r="IC236" s="3297"/>
      <c r="ID236" s="3297"/>
      <c r="IE236" s="3297"/>
      <c r="IF236" s="3297"/>
      <c r="IG236" s="3297"/>
      <c r="IH236" s="3297"/>
      <c r="II236" s="3297"/>
      <c r="IJ236" s="3297"/>
      <c r="IK236" s="3297"/>
      <c r="IL236" s="3297"/>
      <c r="IM236" s="3297"/>
      <c r="IN236" s="3297"/>
      <c r="IO236" s="3297"/>
      <c r="IP236" s="3297"/>
      <c r="IQ236" s="3297"/>
      <c r="IR236" s="3297"/>
      <c r="IS236" s="3297"/>
      <c r="IT236" s="3297"/>
      <c r="IU236" s="3297"/>
      <c r="IV236" s="3297"/>
      <c r="IW236" s="3297"/>
      <c r="IX236" s="3297"/>
      <c r="IY236" s="3297"/>
      <c r="IZ236" s="3297"/>
      <c r="JA236" s="3297"/>
      <c r="JB236" s="3297"/>
      <c r="JC236" s="3297"/>
      <c r="JD236" s="3297"/>
      <c r="JE236" s="3297"/>
      <c r="JF236" s="3297"/>
      <c r="JG236" s="3297"/>
      <c r="JH236" s="3297"/>
      <c r="JI236" s="3297"/>
      <c r="JJ236" s="3297"/>
      <c r="JK236" s="3297"/>
      <c r="JL236" s="3297"/>
      <c r="JM236" s="3297"/>
      <c r="JN236" s="3297"/>
      <c r="JO236" s="3297"/>
      <c r="JP236" s="3297"/>
      <c r="JQ236" s="3297"/>
      <c r="JR236" s="3297"/>
      <c r="JS236" s="3297"/>
      <c r="JT236" s="3297"/>
      <c r="JU236" s="3297"/>
      <c r="JV236" s="3297"/>
      <c r="JW236" s="3297"/>
      <c r="JX236" s="3297"/>
      <c r="JY236" s="3297"/>
      <c r="JZ236" s="3297"/>
      <c r="KA236" s="3297"/>
      <c r="KB236" s="3297"/>
      <c r="KC236" s="3297"/>
      <c r="KD236" s="3297"/>
      <c r="KE236" s="3297"/>
      <c r="KF236" s="3297"/>
      <c r="KG236" s="3297"/>
      <c r="KH236" s="3297"/>
      <c r="KI236" s="3297"/>
      <c r="KJ236" s="3297"/>
      <c r="KK236" s="3297"/>
      <c r="KL236" s="3297"/>
      <c r="KM236" s="3297"/>
      <c r="KN236" s="3297"/>
      <c r="KO236" s="3297"/>
      <c r="KP236" s="3297"/>
      <c r="KQ236" s="3297"/>
      <c r="KR236" s="3297"/>
      <c r="KS236" s="3297"/>
      <c r="KT236" s="3297"/>
      <c r="KU236" s="3297"/>
      <c r="KV236" s="3297"/>
      <c r="KW236" s="3297"/>
      <c r="KX236" s="3297"/>
      <c r="KY236" s="3297"/>
      <c r="KZ236" s="3297"/>
      <c r="LA236" s="3297"/>
      <c r="LB236" s="3297"/>
      <c r="LC236" s="3297"/>
      <c r="LD236" s="3297"/>
      <c r="LE236" s="3297"/>
      <c r="LF236" s="3297"/>
      <c r="LG236" s="3297"/>
      <c r="LH236" s="3297"/>
      <c r="LI236" s="3297"/>
      <c r="LJ236" s="3297"/>
      <c r="LK236" s="3297"/>
      <c r="LL236" s="3297"/>
      <c r="LM236" s="3297"/>
      <c r="LN236" s="3297"/>
      <c r="LO236" s="3297"/>
      <c r="LP236" s="3297"/>
      <c r="LQ236" s="3297"/>
      <c r="LR236" s="3297"/>
      <c r="LS236" s="3297"/>
      <c r="LT236" s="3297"/>
      <c r="LU236" s="3297"/>
      <c r="LV236" s="3297"/>
      <c r="LW236" s="3297"/>
      <c r="LX236" s="3297"/>
      <c r="LY236" s="3297"/>
      <c r="LZ236" s="3297"/>
      <c r="MA236" s="3297"/>
      <c r="MB236" s="3297"/>
      <c r="MC236" s="3297"/>
      <c r="MD236" s="3297"/>
      <c r="ME236" s="3297"/>
      <c r="MF236" s="3297"/>
      <c r="MG236" s="3297"/>
      <c r="MH236" s="3297"/>
      <c r="MI236" s="3297"/>
      <c r="MJ236" s="3297"/>
      <c r="MK236" s="3297"/>
      <c r="ML236" s="3297"/>
      <c r="MM236" s="3297"/>
      <c r="MN236" s="3297"/>
      <c r="MO236" s="3297"/>
      <c r="MP236" s="3297"/>
      <c r="MQ236" s="3297"/>
      <c r="MR236" s="3297"/>
      <c r="MS236" s="3297"/>
      <c r="MT236" s="3297"/>
      <c r="MU236" s="3297"/>
      <c r="MV236" s="3297"/>
      <c r="MW236" s="3297"/>
      <c r="MX236" s="3297"/>
      <c r="MY236" s="3297"/>
      <c r="MZ236" s="3297"/>
      <c r="NA236" s="3297"/>
      <c r="NB236" s="3297"/>
      <c r="NC236" s="3297"/>
      <c r="ND236" s="3297"/>
      <c r="NE236" s="3297"/>
      <c r="NF236" s="3297"/>
      <c r="NG236" s="3297"/>
      <c r="NH236" s="3297"/>
      <c r="NI236" s="3297"/>
      <c r="NJ236" s="3297"/>
      <c r="NK236" s="3297"/>
      <c r="NL236" s="3297"/>
      <c r="NM236" s="3297"/>
      <c r="NN236" s="3297"/>
      <c r="NO236" s="3297"/>
      <c r="NP236" s="3297"/>
      <c r="NQ236" s="3297"/>
      <c r="NR236" s="3297"/>
      <c r="NS236" s="3297"/>
      <c r="NT236" s="3297"/>
      <c r="NU236" s="3297"/>
      <c r="NV236" s="3297"/>
      <c r="NW236" s="3297"/>
      <c r="NX236" s="3297"/>
      <c r="NY236" s="3297"/>
      <c r="NZ236" s="3297"/>
      <c r="OA236" s="3297"/>
      <c r="OB236" s="3297"/>
      <c r="OC236" s="3297"/>
      <c r="OD236" s="3297"/>
      <c r="OE236" s="3297"/>
      <c r="OF236" s="3297"/>
      <c r="OG236" s="3297"/>
      <c r="OH236" s="3297"/>
      <c r="OI236" s="3297"/>
      <c r="OJ236" s="3297"/>
      <c r="OK236" s="3297"/>
      <c r="OL236" s="3297"/>
      <c r="OM236" s="3297"/>
      <c r="ON236" s="3297"/>
      <c r="OO236" s="3297"/>
      <c r="OP236" s="3297"/>
      <c r="OQ236" s="3297"/>
      <c r="OR236" s="3297"/>
      <c r="OS236" s="3297"/>
      <c r="OT236" s="3297"/>
      <c r="OU236" s="3297"/>
      <c r="OV236" s="3297"/>
      <c r="OW236" s="3297"/>
      <c r="OX236" s="3297"/>
      <c r="OY236" s="3297"/>
      <c r="OZ236" s="3297"/>
      <c r="PA236" s="3297"/>
      <c r="PB236" s="3297"/>
      <c r="PC236" s="3297"/>
      <c r="PD236" s="3297"/>
      <c r="PE236" s="3297"/>
      <c r="PF236" s="3297"/>
      <c r="PG236" s="3297"/>
      <c r="PH236" s="3297"/>
      <c r="PI236" s="3297"/>
      <c r="PJ236" s="3297"/>
      <c r="PK236" s="3297"/>
      <c r="PL236" s="3297"/>
      <c r="PM236" s="3297"/>
      <c r="PN236" s="3297"/>
      <c r="PO236" s="3297"/>
      <c r="PP236" s="3297"/>
      <c r="PQ236" s="3297"/>
      <c r="PR236" s="3297"/>
      <c r="PS236" s="3297"/>
      <c r="PT236" s="3297"/>
      <c r="PU236" s="3297"/>
      <c r="PV236" s="3297"/>
      <c r="PW236" s="3297"/>
      <c r="PX236" s="3297"/>
      <c r="PY236" s="3297"/>
      <c r="PZ236" s="3297"/>
      <c r="QA236" s="3297"/>
      <c r="QB236" s="3297"/>
      <c r="QC236" s="3297"/>
      <c r="QD236" s="3297"/>
      <c r="QE236" s="3297"/>
      <c r="QF236" s="3297"/>
      <c r="QG236" s="3297"/>
      <c r="QH236" s="3297"/>
      <c r="QI236" s="3297"/>
      <c r="QJ236" s="3297"/>
      <c r="QK236" s="3297"/>
      <c r="QL236" s="3297"/>
      <c r="QM236" s="3297"/>
      <c r="QN236" s="3297"/>
      <c r="QO236" s="3297"/>
      <c r="QP236" s="3297"/>
      <c r="QQ236" s="3297"/>
      <c r="QR236" s="3297"/>
      <c r="QS236" s="3297"/>
      <c r="QT236" s="3297"/>
      <c r="QU236" s="3297"/>
      <c r="QV236" s="3297"/>
      <c r="QW236" s="3297"/>
      <c r="QX236" s="3297"/>
      <c r="QY236" s="3297"/>
      <c r="QZ236" s="3297"/>
      <c r="RA236" s="3297"/>
      <c r="RB236" s="3297"/>
      <c r="RC236" s="3297"/>
      <c r="RD236" s="3297"/>
      <c r="RE236" s="3297"/>
      <c r="RF236" s="3297"/>
      <c r="RG236" s="3297"/>
      <c r="RH236" s="3297"/>
      <c r="RI236" s="3297"/>
      <c r="RJ236" s="3297"/>
      <c r="RK236" s="3297"/>
      <c r="RL236" s="3297"/>
      <c r="RM236" s="3297"/>
      <c r="RN236" s="3297"/>
      <c r="RO236" s="3297"/>
      <c r="RP236" s="3297"/>
      <c r="RQ236" s="3297"/>
      <c r="RR236" s="3297"/>
      <c r="RS236" s="3297"/>
      <c r="RT236" s="3297"/>
      <c r="RU236" s="3297"/>
      <c r="RV236" s="3297"/>
      <c r="RW236" s="3297"/>
      <c r="RX236" s="3297"/>
      <c r="RY236" s="3297"/>
      <c r="RZ236" s="3297"/>
      <c r="SA236" s="3297"/>
      <c r="SB236" s="3297"/>
      <c r="SC236" s="3297"/>
      <c r="SD236" s="3297"/>
      <c r="SE236" s="3297"/>
      <c r="SF236" s="3297"/>
      <c r="SG236" s="3297"/>
      <c r="SH236" s="3297"/>
      <c r="SI236" s="3297"/>
      <c r="SJ236" s="3297"/>
      <c r="SK236" s="3297"/>
      <c r="SL236" s="3297"/>
      <c r="SM236" s="3297"/>
      <c r="SN236" s="3297"/>
      <c r="SO236" s="3297"/>
      <c r="SP236" s="3297"/>
      <c r="SQ236" s="3297"/>
      <c r="SR236" s="3297"/>
      <c r="SS236" s="3297"/>
      <c r="ST236" s="3297"/>
      <c r="SU236" s="3297"/>
      <c r="SV236" s="3297"/>
      <c r="SW236" s="3297"/>
      <c r="SX236" s="3297"/>
      <c r="SY236" s="3297"/>
      <c r="SZ236" s="3297"/>
      <c r="TA236" s="3297"/>
      <c r="TB236" s="3297"/>
      <c r="TC236" s="3297"/>
      <c r="TD236" s="3297"/>
      <c r="TE236" s="3297"/>
      <c r="TF236" s="3297"/>
      <c r="TG236" s="3297"/>
      <c r="TH236" s="3297"/>
      <c r="TI236" s="3297"/>
      <c r="TJ236" s="3297"/>
      <c r="TK236" s="3297"/>
      <c r="TL236" s="3297"/>
      <c r="TM236" s="3297"/>
      <c r="TN236" s="3297"/>
      <c r="TO236" s="3297"/>
      <c r="TP236" s="3297"/>
      <c r="TQ236" s="3297"/>
      <c r="TR236" s="3297"/>
      <c r="TS236" s="3297"/>
      <c r="TT236" s="3297"/>
      <c r="TU236" s="3297"/>
      <c r="TV236" s="3297"/>
      <c r="TW236" s="3297"/>
      <c r="TX236" s="3297"/>
      <c r="TY236" s="3297"/>
      <c r="TZ236" s="3297"/>
      <c r="UA236" s="3297"/>
      <c r="UB236" s="3297"/>
      <c r="UC236" s="3297"/>
      <c r="UD236" s="3297"/>
      <c r="UE236" s="3297"/>
      <c r="UF236" s="3297"/>
      <c r="UG236" s="3297"/>
      <c r="UH236" s="3297"/>
      <c r="UI236" s="3297"/>
      <c r="UJ236" s="3297"/>
      <c r="UK236" s="3297"/>
      <c r="UL236" s="3297"/>
      <c r="UM236" s="3297"/>
      <c r="UN236" s="3297"/>
      <c r="UO236" s="3297"/>
      <c r="UP236" s="3297"/>
      <c r="UQ236" s="3297"/>
      <c r="UR236" s="3297"/>
      <c r="US236" s="3297"/>
      <c r="UT236" s="3297"/>
      <c r="UU236" s="3297"/>
      <c r="UV236" s="3297"/>
      <c r="UW236" s="3297"/>
      <c r="UX236" s="3297"/>
      <c r="UY236" s="3297"/>
      <c r="UZ236" s="3297"/>
      <c r="VA236" s="3297"/>
      <c r="VB236" s="3297"/>
      <c r="VC236" s="3297"/>
      <c r="VD236" s="3297"/>
      <c r="VE236" s="3297"/>
      <c r="VF236" s="3297"/>
      <c r="VG236" s="3297"/>
      <c r="VH236" s="3297"/>
      <c r="VI236" s="3297"/>
      <c r="VJ236" s="3297"/>
      <c r="VK236" s="3297"/>
      <c r="VL236" s="3297"/>
      <c r="VM236" s="3297"/>
      <c r="VN236" s="3297"/>
      <c r="VO236" s="3297"/>
      <c r="VP236" s="3297"/>
      <c r="VQ236" s="3297"/>
      <c r="VR236" s="3297"/>
      <c r="VS236" s="3297"/>
      <c r="VT236" s="3297"/>
      <c r="VU236" s="3297"/>
      <c r="VV236" s="3297"/>
      <c r="VW236" s="3297"/>
      <c r="VX236" s="3297"/>
      <c r="VY236" s="3297"/>
      <c r="VZ236" s="3297"/>
      <c r="WA236" s="3297"/>
      <c r="WB236" s="3297"/>
      <c r="WC236" s="3297"/>
      <c r="WD236" s="3297"/>
      <c r="WE236" s="3297"/>
      <c r="WF236" s="3297"/>
      <c r="WG236" s="3297"/>
      <c r="WH236" s="3297"/>
      <c r="WI236" s="3297"/>
      <c r="WJ236" s="3297"/>
      <c r="WK236" s="3297"/>
      <c r="WL236" s="3297"/>
      <c r="WM236" s="3297"/>
      <c r="WN236" s="3297"/>
      <c r="WO236" s="3297"/>
      <c r="WP236" s="3297"/>
      <c r="WQ236" s="3297"/>
      <c r="WR236" s="3297"/>
      <c r="WS236" s="3297"/>
      <c r="WT236" s="3297"/>
      <c r="WU236" s="3297"/>
      <c r="WV236" s="3297"/>
      <c r="WW236" s="3297"/>
      <c r="WX236" s="3297"/>
      <c r="WY236" s="3297"/>
      <c r="WZ236" s="3297"/>
      <c r="XA236" s="3297"/>
      <c r="XB236" s="3297"/>
      <c r="XC236" s="3297"/>
      <c r="XD236" s="3297"/>
      <c r="XE236" s="3297"/>
      <c r="XF236" s="3297"/>
      <c r="XG236" s="3297"/>
      <c r="XH236" s="3297"/>
      <c r="XI236" s="3297"/>
      <c r="XJ236" s="3297"/>
      <c r="XK236" s="3297"/>
      <c r="XL236" s="3297"/>
      <c r="XM236" s="3297"/>
      <c r="XN236" s="3297"/>
      <c r="XO236" s="3297"/>
      <c r="XP236" s="3297"/>
      <c r="XQ236" s="3297"/>
      <c r="XR236" s="3297"/>
      <c r="XS236" s="3297"/>
      <c r="XT236" s="3297"/>
      <c r="XU236" s="3297"/>
      <c r="XV236" s="3297"/>
      <c r="XW236" s="3297"/>
      <c r="XX236" s="3297"/>
      <c r="XY236" s="3297"/>
      <c r="XZ236" s="3297"/>
      <c r="YA236" s="3297"/>
      <c r="YB236" s="3297"/>
      <c r="YC236" s="3297"/>
      <c r="YD236" s="3297"/>
      <c r="YE236" s="3297"/>
      <c r="YF236" s="3297"/>
      <c r="YG236" s="3297"/>
      <c r="YH236" s="3297"/>
      <c r="YI236" s="3297"/>
      <c r="YJ236" s="3297"/>
      <c r="YK236" s="3297"/>
      <c r="YL236" s="3297"/>
      <c r="YM236" s="3297"/>
      <c r="YN236" s="3297"/>
      <c r="YO236" s="3297"/>
      <c r="YP236" s="3297"/>
      <c r="YQ236" s="3297"/>
      <c r="YR236" s="3297"/>
      <c r="YS236" s="3297"/>
      <c r="YT236" s="3297"/>
      <c r="YU236" s="3297"/>
      <c r="YV236" s="3297"/>
      <c r="YW236" s="3297"/>
      <c r="YX236" s="3297"/>
      <c r="YY236" s="3297"/>
      <c r="YZ236" s="3297"/>
      <c r="ZA236" s="3297"/>
      <c r="ZB236" s="3297"/>
      <c r="ZC236" s="3297"/>
      <c r="ZD236" s="3297"/>
      <c r="ZE236" s="3297"/>
      <c r="ZF236" s="3297"/>
      <c r="ZG236" s="3297"/>
      <c r="ZH236" s="3297"/>
      <c r="ZI236" s="3297"/>
      <c r="ZJ236" s="3297"/>
      <c r="ZK236" s="3297"/>
      <c r="ZL236" s="3297"/>
      <c r="ZM236" s="3297"/>
      <c r="ZN236" s="3297"/>
      <c r="ZO236" s="3297"/>
      <c r="ZP236" s="3297"/>
      <c r="ZQ236" s="3297"/>
      <c r="ZR236" s="3297"/>
      <c r="ZS236" s="3297"/>
      <c r="ZT236" s="3297"/>
      <c r="ZU236" s="3297"/>
      <c r="ZV236" s="3297"/>
      <c r="ZW236" s="3297"/>
      <c r="ZX236" s="3297"/>
      <c r="ZY236" s="3297"/>
      <c r="ZZ236" s="3297"/>
      <c r="AAA236" s="3297"/>
      <c r="AAB236" s="3297"/>
      <c r="AAC236" s="3297"/>
      <c r="AAD236" s="3297"/>
      <c r="AAE236" s="3297"/>
      <c r="AAF236" s="3297"/>
      <c r="AAG236" s="3297"/>
      <c r="AAH236" s="3297"/>
      <c r="AAI236" s="3297"/>
      <c r="AAJ236" s="3297"/>
      <c r="AAK236" s="3297"/>
      <c r="AAL236" s="3297"/>
      <c r="AAM236" s="3297"/>
      <c r="AAN236" s="3297"/>
      <c r="AAO236" s="3297"/>
      <c r="AAP236" s="3297"/>
      <c r="AAQ236" s="3297"/>
      <c r="AAR236" s="3297"/>
      <c r="AAS236" s="3297"/>
      <c r="AAT236" s="3297"/>
      <c r="AAU236" s="3297"/>
      <c r="AAV236" s="3297"/>
      <c r="AAW236" s="3297"/>
      <c r="AAX236" s="3297"/>
      <c r="AAY236" s="3297"/>
      <c r="AAZ236" s="3297"/>
      <c r="ABA236" s="3297"/>
      <c r="ABB236" s="3297"/>
      <c r="ABC236" s="3297"/>
      <c r="ABD236" s="3297"/>
      <c r="ABE236" s="3297"/>
      <c r="ABF236" s="3297"/>
      <c r="ABG236" s="3297"/>
      <c r="ABH236" s="3297"/>
      <c r="ABI236" s="3297"/>
      <c r="ABJ236" s="3297"/>
      <c r="ABK236" s="3297"/>
      <c r="ABL236" s="3297"/>
      <c r="ABM236" s="3297"/>
      <c r="ABN236" s="3297"/>
      <c r="ABO236" s="3297"/>
      <c r="ABP236" s="3297"/>
      <c r="ABQ236" s="3297"/>
      <c r="ABR236" s="3297"/>
      <c r="ABS236" s="3297"/>
      <c r="ABT236" s="3297"/>
      <c r="ABU236" s="3297"/>
      <c r="ABV236" s="3297"/>
      <c r="ABW236" s="3297"/>
      <c r="ABX236" s="3297"/>
      <c r="ABY236" s="3297"/>
      <c r="ABZ236" s="3297"/>
      <c r="ACA236" s="3297"/>
      <c r="ACB236" s="3297"/>
      <c r="ACC236" s="3297"/>
      <c r="ACD236" s="3297"/>
      <c r="ACE236" s="3297"/>
      <c r="ACF236" s="3297"/>
      <c r="ACG236" s="3297"/>
      <c r="ACH236" s="3297"/>
      <c r="ACI236" s="3297"/>
      <c r="ACJ236" s="3297"/>
      <c r="ACK236" s="3297"/>
      <c r="ACL236" s="3297"/>
      <c r="ACM236" s="3297"/>
      <c r="ACN236" s="3297"/>
      <c r="ACO236" s="3297"/>
      <c r="ACP236" s="3297"/>
      <c r="ACQ236" s="3297"/>
      <c r="ACR236" s="3297"/>
      <c r="ACS236" s="3297"/>
      <c r="ACT236" s="3297"/>
      <c r="ACU236" s="3297"/>
      <c r="ACV236" s="3297"/>
      <c r="ACW236" s="3297"/>
      <c r="ACX236" s="3297"/>
      <c r="ACY236" s="3297"/>
      <c r="ACZ236" s="3297"/>
      <c r="ADA236" s="3297"/>
      <c r="ADB236" s="3297"/>
      <c r="ADC236" s="3297"/>
      <c r="ADD236" s="3297"/>
      <c r="ADE236" s="3297"/>
      <c r="ADF236" s="3297"/>
      <c r="ADG236" s="3297"/>
      <c r="ADH236" s="3297"/>
      <c r="ADI236" s="3297"/>
      <c r="ADJ236" s="3297"/>
      <c r="ADK236" s="3297"/>
      <c r="ADL236" s="3297"/>
      <c r="ADM236" s="3297"/>
      <c r="ADN236" s="3297"/>
      <c r="ADO236" s="3297"/>
      <c r="ADP236" s="3297"/>
      <c r="ADQ236" s="3297"/>
      <c r="ADR236" s="3297"/>
      <c r="ADS236" s="3297"/>
      <c r="ADT236" s="3297"/>
      <c r="ADU236" s="3297"/>
      <c r="ADV236" s="3297"/>
      <c r="ADW236" s="3297"/>
      <c r="ADX236" s="3297"/>
      <c r="ADY236" s="3297"/>
      <c r="ADZ236" s="3297"/>
      <c r="AEA236" s="3297"/>
      <c r="AEB236" s="3297"/>
      <c r="AEC236" s="3297"/>
      <c r="AED236" s="3297"/>
      <c r="AEE236" s="3297"/>
      <c r="AEF236" s="3297"/>
      <c r="AEG236" s="3297"/>
      <c r="AEH236" s="3297"/>
      <c r="AEI236" s="3297"/>
      <c r="AEJ236" s="3297"/>
      <c r="AEK236" s="3297"/>
      <c r="AEL236" s="3297"/>
      <c r="AEM236" s="3297"/>
      <c r="AEN236" s="3297"/>
      <c r="AEO236" s="3297"/>
      <c r="AEP236" s="3297"/>
      <c r="AEQ236" s="3297"/>
      <c r="AER236" s="3297"/>
      <c r="AES236" s="3297"/>
      <c r="AET236" s="3297"/>
      <c r="AEU236" s="3297"/>
      <c r="AEV236" s="3297"/>
      <c r="AEW236" s="3297"/>
      <c r="AEX236" s="3297"/>
      <c r="AEY236" s="3297"/>
      <c r="AEZ236" s="3297"/>
      <c r="AFA236" s="3297"/>
      <c r="AFB236" s="3297"/>
      <c r="AFC236" s="3297"/>
      <c r="AFD236" s="3297"/>
      <c r="AFE236" s="3297"/>
      <c r="AFF236" s="3297"/>
      <c r="AFG236" s="3297"/>
      <c r="AFH236" s="3297"/>
      <c r="AFI236" s="3297"/>
      <c r="AFJ236" s="3297"/>
      <c r="AFK236" s="3297"/>
      <c r="AFL236" s="3297"/>
      <c r="AFM236" s="3297"/>
      <c r="AFN236" s="3297"/>
      <c r="AFO236" s="3297"/>
      <c r="AFP236" s="3297"/>
      <c r="AFQ236" s="3297"/>
      <c r="AFR236" s="3297"/>
      <c r="AFS236" s="3297"/>
      <c r="AFT236" s="3297"/>
      <c r="AFU236" s="3297"/>
      <c r="AFV236" s="3297"/>
      <c r="AFW236" s="3297"/>
      <c r="AFX236" s="3297"/>
      <c r="AFY236" s="3297"/>
      <c r="AFZ236" s="3297"/>
      <c r="AGA236" s="3297"/>
      <c r="AGB236" s="3297"/>
      <c r="AGC236" s="3297"/>
      <c r="AGD236" s="3297"/>
      <c r="AGE236" s="3297"/>
      <c r="AGF236" s="3297"/>
      <c r="AGG236" s="3297"/>
      <c r="AGH236" s="3297"/>
      <c r="AGI236" s="3297"/>
      <c r="AGJ236" s="3297"/>
      <c r="AGK236" s="3297"/>
      <c r="AGL236" s="3297"/>
      <c r="AGM236" s="3297"/>
      <c r="AGN236" s="3297"/>
      <c r="AGO236" s="3297"/>
      <c r="AGP236" s="3297"/>
      <c r="AGQ236" s="3297"/>
      <c r="AGR236" s="3297"/>
      <c r="AGS236" s="3297"/>
      <c r="AGT236" s="3297"/>
      <c r="AGU236" s="3297"/>
      <c r="AGV236" s="3297"/>
      <c r="AGW236" s="3297"/>
      <c r="AGX236" s="3297"/>
      <c r="AGY236" s="3297"/>
      <c r="AGZ236" s="3297"/>
      <c r="AHA236" s="3297"/>
      <c r="AHB236" s="3297"/>
      <c r="AHC236" s="3297"/>
      <c r="AHD236" s="3297"/>
      <c r="AHE236" s="3297"/>
      <c r="AHF236" s="3297"/>
      <c r="AHG236" s="3297"/>
      <c r="AHH236" s="3297"/>
      <c r="AHI236" s="3297"/>
      <c r="AHJ236" s="3297"/>
      <c r="AHK236" s="3297"/>
      <c r="AHL236" s="3297"/>
      <c r="AHM236" s="3297"/>
      <c r="AHN236" s="3297"/>
      <c r="AHO236" s="3297"/>
      <c r="AHP236" s="3297"/>
      <c r="AHQ236" s="3297"/>
      <c r="AHR236" s="3297"/>
      <c r="AHS236" s="3297"/>
      <c r="AHT236" s="3297"/>
      <c r="AHU236" s="3297"/>
      <c r="AHV236" s="3297"/>
      <c r="AHW236" s="3297"/>
      <c r="AHX236" s="3297"/>
      <c r="AHY236" s="3297"/>
      <c r="AHZ236" s="3297"/>
      <c r="AIA236" s="3297"/>
      <c r="AIB236" s="3297"/>
      <c r="AIC236" s="3297"/>
      <c r="AID236" s="3297"/>
      <c r="AIE236" s="3297"/>
      <c r="AIF236" s="3297"/>
      <c r="AIG236" s="3297"/>
      <c r="AIH236" s="3297"/>
      <c r="AII236" s="3297"/>
      <c r="AIJ236" s="3297"/>
      <c r="AIK236" s="3297"/>
      <c r="AIL236" s="3297"/>
      <c r="AIM236" s="3297"/>
      <c r="AIN236" s="3297"/>
      <c r="AIO236" s="3297"/>
      <c r="AIP236" s="3297"/>
      <c r="AIQ236" s="3297"/>
      <c r="AIR236" s="3297"/>
      <c r="AIS236" s="3297"/>
      <c r="AIT236" s="3297"/>
      <c r="AIU236" s="3297"/>
      <c r="AIV236" s="3297"/>
      <c r="AIW236" s="3297"/>
      <c r="AIX236" s="3297"/>
      <c r="AIY236" s="3297"/>
      <c r="AIZ236" s="3297"/>
      <c r="AJA236" s="3297"/>
      <c r="AJB236" s="3297"/>
      <c r="AJC236" s="3297"/>
      <c r="AJD236" s="3297"/>
      <c r="AJE236" s="3297"/>
      <c r="AJF236" s="3297"/>
      <c r="AJG236" s="3297"/>
      <c r="AJH236" s="3297"/>
      <c r="AJI236" s="3297"/>
      <c r="AJJ236" s="3297"/>
      <c r="AJK236" s="3297"/>
      <c r="AJL236" s="3297"/>
      <c r="AJM236" s="3297"/>
      <c r="AJN236" s="3297"/>
      <c r="AJO236" s="3297"/>
      <c r="AJP236" s="3297"/>
      <c r="AJQ236" s="3297"/>
      <c r="AJR236" s="3297"/>
      <c r="AJS236" s="3297"/>
      <c r="AJT236" s="3297"/>
      <c r="AJU236" s="3297"/>
      <c r="AJV236" s="3297"/>
      <c r="AJW236" s="3297"/>
      <c r="AJX236" s="3297"/>
      <c r="AJY236" s="3297"/>
      <c r="AJZ236" s="3297"/>
      <c r="AKA236" s="3297"/>
      <c r="AKB236" s="3297"/>
      <c r="AKC236" s="3297"/>
      <c r="AKD236" s="3297"/>
      <c r="AKE236" s="3297"/>
      <c r="AKF236" s="3297"/>
      <c r="AKG236" s="3297"/>
      <c r="AKH236" s="3297"/>
      <c r="AKI236" s="3297"/>
      <c r="AKJ236" s="3297"/>
      <c r="AKK236" s="3297"/>
      <c r="AKL236" s="3297"/>
      <c r="AKM236" s="3297"/>
      <c r="AKN236" s="3297"/>
      <c r="AKO236" s="3297"/>
      <c r="AKP236" s="3297"/>
      <c r="AKQ236" s="3297"/>
      <c r="AKR236" s="3297"/>
      <c r="AKS236" s="3297"/>
      <c r="AKT236" s="3297"/>
      <c r="AKU236" s="3297"/>
      <c r="AKV236" s="3297"/>
      <c r="AKW236" s="3297"/>
      <c r="AKX236" s="3297"/>
      <c r="AKY236" s="3297"/>
      <c r="AKZ236" s="3297"/>
      <c r="ALA236" s="3297"/>
      <c r="ALB236" s="3297"/>
      <c r="ALC236" s="3297"/>
      <c r="ALD236" s="3297"/>
      <c r="ALE236" s="3297"/>
      <c r="ALF236" s="3297"/>
      <c r="ALG236" s="3297"/>
      <c r="ALH236" s="3297"/>
      <c r="ALI236" s="3297"/>
      <c r="ALJ236" s="3297"/>
      <c r="ALK236" s="3297"/>
      <c r="ALL236" s="3297"/>
      <c r="ALM236" s="3297"/>
      <c r="ALN236" s="3297"/>
      <c r="ALO236" s="3297"/>
      <c r="ALP236" s="3297"/>
      <c r="ALQ236" s="3297"/>
      <c r="ALR236" s="3297"/>
      <c r="ALS236" s="3297"/>
      <c r="ALT236" s="3297"/>
      <c r="ALU236" s="3297"/>
      <c r="ALV236" s="3297"/>
      <c r="ALW236" s="3297"/>
      <c r="ALX236" s="3297"/>
      <c r="ALY236" s="3297"/>
      <c r="ALZ236" s="3297"/>
      <c r="AMA236" s="3297"/>
      <c r="AMB236" s="3297"/>
      <c r="AMC236" s="3297"/>
      <c r="AMD236" s="3297"/>
      <c r="AME236" s="3297"/>
      <c r="AMF236" s="3297"/>
      <c r="AMG236" s="3297"/>
      <c r="AMH236" s="3297"/>
      <c r="AMI236" s="3297"/>
      <c r="AMJ236" s="3297"/>
      <c r="AMK236" s="3297"/>
      <c r="AML236" s="3297"/>
      <c r="AMM236" s="3297"/>
      <c r="AMN236" s="3297"/>
      <c r="AMO236" s="3297"/>
      <c r="AMP236" s="3297"/>
      <c r="AMQ236" s="3297"/>
      <c r="AMR236" s="3297"/>
      <c r="AMS236" s="3297"/>
      <c r="AMT236" s="3297"/>
      <c r="AMU236" s="3297"/>
      <c r="AMV236" s="3297"/>
      <c r="AMW236" s="3297"/>
      <c r="AMX236" s="3297"/>
      <c r="AMY236" s="3297"/>
      <c r="AMZ236" s="3297"/>
      <c r="ANA236" s="3297"/>
      <c r="ANB236" s="3297"/>
      <c r="ANC236" s="3297"/>
      <c r="AND236" s="3297"/>
      <c r="ANE236" s="3297"/>
      <c r="ANF236" s="3297"/>
      <c r="ANG236" s="3297"/>
      <c r="ANH236" s="3297"/>
      <c r="ANI236" s="3297"/>
      <c r="ANJ236" s="3297"/>
      <c r="ANK236" s="3297"/>
      <c r="ANL236" s="3297"/>
      <c r="ANM236" s="3297"/>
      <c r="ANN236" s="3297"/>
      <c r="ANO236" s="3297"/>
      <c r="ANP236" s="3297"/>
      <c r="ANQ236" s="3297"/>
      <c r="ANR236" s="3297"/>
      <c r="ANS236" s="3297"/>
      <c r="ANT236" s="3297"/>
      <c r="ANU236" s="3297"/>
      <c r="ANV236" s="3297"/>
      <c r="ANW236" s="3297"/>
      <c r="ANX236" s="3297"/>
      <c r="ANY236" s="3297"/>
      <c r="ANZ236" s="3297"/>
      <c r="AOA236" s="3297"/>
      <c r="AOB236" s="3297"/>
      <c r="AOC236" s="3297"/>
      <c r="AOD236" s="3297"/>
      <c r="AOE236" s="3297"/>
      <c r="AOF236" s="3297"/>
      <c r="AOG236" s="3297"/>
      <c r="AOH236" s="3297"/>
      <c r="AOI236" s="3297"/>
      <c r="AOJ236" s="3297"/>
      <c r="AOK236" s="3297"/>
      <c r="AOL236" s="3297"/>
      <c r="AOM236" s="3297"/>
      <c r="AON236" s="3297"/>
      <c r="AOO236" s="3297"/>
      <c r="AOP236" s="3297"/>
      <c r="AOQ236" s="3297"/>
      <c r="AOR236" s="3297"/>
      <c r="AOS236" s="3297"/>
      <c r="AOT236" s="3297"/>
      <c r="AOU236" s="3297"/>
      <c r="AOV236" s="3297"/>
      <c r="AOW236" s="3297"/>
      <c r="AOX236" s="3297"/>
      <c r="AOY236" s="3297"/>
      <c r="AOZ236" s="3297"/>
      <c r="APA236" s="3297"/>
      <c r="APB236" s="3297"/>
      <c r="APC236" s="3297"/>
      <c r="APD236" s="3297"/>
      <c r="APE236" s="3297"/>
      <c r="APF236" s="3297"/>
      <c r="APG236" s="3297"/>
      <c r="APH236" s="3297"/>
      <c r="API236" s="3297"/>
      <c r="APJ236" s="3297"/>
      <c r="APK236" s="3297"/>
      <c r="APL236" s="3297"/>
      <c r="APM236" s="3297"/>
      <c r="APN236" s="3297"/>
      <c r="APO236" s="3297"/>
      <c r="APP236" s="3297"/>
      <c r="APQ236" s="3297"/>
      <c r="APR236" s="3297"/>
      <c r="APS236" s="3297"/>
      <c r="APT236" s="3297"/>
      <c r="APU236" s="3297"/>
      <c r="APV236" s="3297"/>
      <c r="APW236" s="3297"/>
      <c r="APX236" s="3297"/>
      <c r="APY236" s="3297"/>
      <c r="APZ236" s="3297"/>
      <c r="AQA236" s="3297"/>
      <c r="AQB236" s="3297"/>
      <c r="AQC236" s="3297"/>
      <c r="AQD236" s="3297"/>
      <c r="AQE236" s="3297"/>
      <c r="AQF236" s="3297"/>
      <c r="AQG236" s="3297"/>
      <c r="AQH236" s="3297"/>
      <c r="AQI236" s="3297"/>
      <c r="AQJ236" s="3297"/>
      <c r="AQK236" s="3297"/>
      <c r="AQL236" s="3297"/>
      <c r="AQM236" s="3297"/>
      <c r="AQN236" s="3297"/>
      <c r="AQO236" s="3297"/>
      <c r="AQP236" s="3297"/>
      <c r="AQQ236" s="3297"/>
      <c r="AQR236" s="3297"/>
      <c r="AQS236" s="3297"/>
      <c r="AQT236" s="3297"/>
      <c r="AQU236" s="3297"/>
      <c r="AQV236" s="3297"/>
      <c r="AQW236" s="3297"/>
      <c r="AQX236" s="3297"/>
      <c r="AQY236" s="3297"/>
      <c r="AQZ236" s="3297"/>
      <c r="ARA236" s="3297"/>
      <c r="ARB236" s="3297"/>
      <c r="ARC236" s="3297"/>
      <c r="ARD236" s="3297"/>
      <c r="ARE236" s="3297"/>
      <c r="ARF236" s="3297"/>
      <c r="ARG236" s="3297"/>
      <c r="ARH236" s="3297"/>
      <c r="ARI236" s="3297"/>
      <c r="ARJ236" s="3297"/>
      <c r="ARK236" s="3297"/>
      <c r="ARL236" s="3297"/>
      <c r="ARM236" s="3297"/>
      <c r="ARN236" s="3297"/>
      <c r="ARO236" s="3297"/>
      <c r="ARP236" s="3297"/>
      <c r="ARQ236" s="3297"/>
      <c r="ARR236" s="3297"/>
      <c r="ARS236" s="3297"/>
      <c r="ART236" s="3297"/>
      <c r="ARU236" s="3297"/>
      <c r="ARV236" s="3297"/>
      <c r="ARW236" s="3297"/>
      <c r="ARX236" s="3297"/>
      <c r="ARY236" s="3297"/>
      <c r="ARZ236" s="3297"/>
      <c r="ASA236" s="3297"/>
      <c r="ASB236" s="3297"/>
      <c r="ASC236" s="3297"/>
      <c r="ASD236" s="3297"/>
      <c r="ASE236" s="3297"/>
      <c r="ASF236" s="3297"/>
      <c r="ASG236" s="3297"/>
      <c r="ASH236" s="3297"/>
      <c r="ASI236" s="3297"/>
      <c r="ASJ236" s="3297"/>
      <c r="ASK236" s="3297"/>
      <c r="ASL236" s="3297"/>
      <c r="ASM236" s="3297"/>
      <c r="ASN236" s="3297"/>
      <c r="ASO236" s="3297"/>
      <c r="ASP236" s="3297"/>
      <c r="ASQ236" s="3297"/>
      <c r="ASR236" s="3297"/>
      <c r="ASS236" s="3297"/>
      <c r="AST236" s="3297"/>
      <c r="ASU236" s="3297"/>
      <c r="ASV236" s="3297"/>
      <c r="ASW236" s="3297"/>
      <c r="ASX236" s="3297"/>
      <c r="ASY236" s="3297"/>
      <c r="ASZ236" s="3297"/>
      <c r="ATA236" s="3297"/>
      <c r="ATB236" s="3297"/>
      <c r="ATC236" s="3297"/>
      <c r="ATD236" s="3297"/>
      <c r="ATE236" s="3297"/>
      <c r="ATF236" s="3297"/>
      <c r="ATG236" s="3297"/>
      <c r="ATH236" s="3297"/>
      <c r="ATI236" s="3297"/>
      <c r="ATJ236" s="3297"/>
      <c r="ATK236" s="3297"/>
      <c r="ATL236" s="3297"/>
      <c r="ATM236" s="3297"/>
      <c r="ATN236" s="3297"/>
      <c r="ATO236" s="3297"/>
      <c r="ATP236" s="3297"/>
      <c r="ATQ236" s="3297"/>
      <c r="ATR236" s="3297"/>
      <c r="ATS236" s="3297"/>
      <c r="ATT236" s="3297"/>
      <c r="ATU236" s="3297"/>
      <c r="ATV236" s="3297"/>
      <c r="ATW236" s="3297"/>
      <c r="ATX236" s="3297"/>
      <c r="ATY236" s="3297"/>
      <c r="ATZ236" s="3297"/>
      <c r="AUA236" s="3297"/>
      <c r="AUB236" s="3297"/>
      <c r="AUC236" s="3297"/>
      <c r="AUD236" s="3297"/>
      <c r="AUE236" s="3297"/>
      <c r="AUF236" s="3297"/>
      <c r="AUG236" s="3297"/>
      <c r="AUH236" s="3297"/>
      <c r="AUI236" s="3297"/>
      <c r="AUJ236" s="3297"/>
      <c r="AUK236" s="3297"/>
      <c r="AUL236" s="3297"/>
      <c r="AUM236" s="3297"/>
      <c r="AUN236" s="3297"/>
      <c r="AUO236" s="3297"/>
      <c r="AUP236" s="3297"/>
      <c r="AUQ236" s="3297"/>
      <c r="AUR236" s="3297"/>
      <c r="AUS236" s="3297"/>
      <c r="AUT236" s="3297"/>
      <c r="AUU236" s="3297"/>
      <c r="AUV236" s="3297"/>
      <c r="AUW236" s="3297"/>
      <c r="AUX236" s="3297"/>
      <c r="AUY236" s="3297"/>
      <c r="AUZ236" s="3297"/>
      <c r="AVA236" s="3297"/>
      <c r="AVB236" s="3297"/>
      <c r="AVC236" s="3297"/>
      <c r="AVD236" s="3297"/>
      <c r="AVE236" s="3297"/>
      <c r="AVF236" s="3297"/>
      <c r="AVG236" s="3297"/>
      <c r="AVH236" s="3297"/>
      <c r="AVI236" s="3297"/>
      <c r="AVJ236" s="3297"/>
      <c r="AVK236" s="3297"/>
      <c r="AVL236" s="3297"/>
      <c r="AVM236" s="3297"/>
      <c r="AVN236" s="3297"/>
      <c r="AVO236" s="3297"/>
      <c r="AVP236" s="3297"/>
      <c r="AVQ236" s="3297"/>
      <c r="AVR236" s="3297"/>
      <c r="AVS236" s="3297"/>
      <c r="AVT236" s="3297"/>
      <c r="AVU236" s="3297"/>
      <c r="AVV236" s="3297"/>
      <c r="AVW236" s="3297"/>
      <c r="AVX236" s="3297"/>
      <c r="AVY236" s="3297"/>
      <c r="AVZ236" s="3297"/>
      <c r="AWA236" s="3297"/>
      <c r="AWB236" s="3297"/>
      <c r="AWC236" s="3297"/>
      <c r="AWD236" s="3297"/>
      <c r="AWE236" s="3297"/>
      <c r="AWF236" s="3297"/>
      <c r="AWG236" s="3297"/>
      <c r="AWH236" s="3297"/>
      <c r="AWI236" s="3297"/>
      <c r="AWJ236" s="3297"/>
      <c r="AWK236" s="3297"/>
      <c r="AWL236" s="3297"/>
      <c r="AWM236" s="3297"/>
      <c r="AWN236" s="3297"/>
      <c r="AWO236" s="3297"/>
      <c r="AWP236" s="3297"/>
      <c r="AWQ236" s="3297"/>
      <c r="AWR236" s="3297"/>
      <c r="AWS236" s="3297"/>
      <c r="AWT236" s="3297"/>
      <c r="AWU236" s="3297"/>
      <c r="AWV236" s="3297"/>
      <c r="AWW236" s="3297"/>
      <c r="AWX236" s="3297"/>
      <c r="AWY236" s="3297"/>
      <c r="AWZ236" s="3297"/>
      <c r="AXA236" s="3297"/>
      <c r="AXB236" s="3297"/>
      <c r="AXC236" s="3297"/>
      <c r="AXD236" s="3297"/>
      <c r="AXE236" s="3297"/>
      <c r="AXF236" s="3297"/>
      <c r="AXG236" s="3297"/>
      <c r="AXH236" s="3297"/>
      <c r="AXI236" s="3297"/>
      <c r="AXJ236" s="3297"/>
    </row>
    <row r="237" spans="1:1310" s="3298" customFormat="1" ht="23.25" customHeight="1">
      <c r="A237" s="468"/>
      <c r="B237" s="3310"/>
      <c r="C237" s="3310"/>
      <c r="D237" s="3310"/>
      <c r="E237" s="3310"/>
      <c r="F237" s="3310"/>
      <c r="G237" s="3310"/>
      <c r="H237" s="3310"/>
      <c r="I237" s="3310"/>
      <c r="J237" s="3310"/>
      <c r="K237" s="3310"/>
      <c r="L237" s="3310"/>
      <c r="M237" s="3310"/>
      <c r="N237" s="3310"/>
      <c r="O237" s="3310"/>
      <c r="P237" s="3310"/>
      <c r="Q237" s="3310"/>
      <c r="R237" s="443"/>
      <c r="S237" s="443"/>
      <c r="T237" s="443"/>
      <c r="U237" s="443"/>
      <c r="V237" s="443"/>
      <c r="W237" s="443"/>
      <c r="X237" s="443"/>
      <c r="Y237" s="443"/>
      <c r="Z237" s="443"/>
      <c r="AA237" s="443"/>
      <c r="AB237" s="443"/>
      <c r="AC237" s="443"/>
      <c r="AD237" s="3297"/>
      <c r="AE237" s="3297"/>
      <c r="AF237" s="3297"/>
      <c r="AG237" s="3297"/>
      <c r="AH237" s="3297"/>
      <c r="AI237" s="3297"/>
      <c r="AJ237" s="3297"/>
      <c r="AK237" s="3297"/>
      <c r="AL237" s="3297"/>
      <c r="AM237" s="3297"/>
      <c r="AN237" s="3297"/>
      <c r="AO237" s="3297"/>
      <c r="AP237" s="3297"/>
      <c r="AQ237" s="3297"/>
      <c r="AR237" s="3297"/>
      <c r="AS237" s="3297"/>
      <c r="AT237" s="3297"/>
      <c r="AU237" s="3297"/>
      <c r="AV237" s="3297"/>
      <c r="AW237" s="3297"/>
      <c r="AX237" s="3297"/>
      <c r="AY237" s="3297"/>
      <c r="AZ237" s="3297"/>
      <c r="BA237" s="3297"/>
      <c r="BB237" s="3297"/>
      <c r="BC237" s="3297"/>
      <c r="BD237" s="3297"/>
      <c r="BE237" s="3297"/>
      <c r="BF237" s="3297"/>
      <c r="BG237" s="3297"/>
      <c r="BH237" s="3297"/>
      <c r="BI237" s="3297"/>
      <c r="BJ237" s="3297"/>
      <c r="BK237" s="3297"/>
      <c r="BL237" s="3297"/>
      <c r="BM237" s="3297"/>
      <c r="BN237" s="3297"/>
      <c r="BO237" s="3297"/>
      <c r="BP237" s="3297"/>
      <c r="BQ237" s="3297"/>
      <c r="BR237" s="3297"/>
      <c r="BS237" s="3297"/>
      <c r="BT237" s="3297"/>
      <c r="BU237" s="3297"/>
      <c r="BV237" s="3297"/>
      <c r="BW237" s="3297"/>
      <c r="BX237" s="3297"/>
      <c r="BY237" s="3297"/>
      <c r="BZ237" s="3297"/>
      <c r="CA237" s="3297"/>
      <c r="CB237" s="3297"/>
      <c r="CC237" s="3297"/>
      <c r="CD237" s="3297"/>
      <c r="CE237" s="3297"/>
      <c r="CF237" s="3297"/>
      <c r="CG237" s="3297"/>
      <c r="CH237" s="3297"/>
      <c r="CI237" s="3297"/>
      <c r="CJ237" s="3297"/>
      <c r="CK237" s="3297"/>
      <c r="CL237" s="3297"/>
      <c r="CM237" s="3297"/>
      <c r="CN237" s="3297"/>
      <c r="CO237" s="3297"/>
      <c r="CP237" s="3297"/>
      <c r="CQ237" s="3297"/>
      <c r="CR237" s="3297"/>
      <c r="CS237" s="3297"/>
      <c r="CT237" s="3297"/>
      <c r="CU237" s="3297"/>
      <c r="CV237" s="3297"/>
      <c r="CW237" s="3297"/>
      <c r="CX237" s="3297"/>
      <c r="CY237" s="3297"/>
      <c r="CZ237" s="3297"/>
      <c r="DA237" s="3297"/>
      <c r="DB237" s="3297"/>
      <c r="DC237" s="3297"/>
      <c r="DD237" s="3297"/>
      <c r="DE237" s="3297"/>
      <c r="DF237" s="3297"/>
      <c r="DG237" s="3297"/>
      <c r="DH237" s="3297"/>
      <c r="DI237" s="3297"/>
      <c r="DJ237" s="3297"/>
      <c r="DK237" s="3297"/>
      <c r="DL237" s="3297"/>
      <c r="DM237" s="3297"/>
      <c r="DN237" s="3297"/>
      <c r="DO237" s="3297"/>
      <c r="DP237" s="3297"/>
      <c r="DQ237" s="3297"/>
      <c r="DR237" s="3297"/>
      <c r="DS237" s="3297"/>
      <c r="DT237" s="3297"/>
      <c r="DU237" s="3297"/>
      <c r="DV237" s="3297"/>
      <c r="DW237" s="3297"/>
      <c r="DX237" s="3297"/>
      <c r="DY237" s="3297"/>
      <c r="DZ237" s="3297"/>
      <c r="EA237" s="3297"/>
      <c r="EB237" s="3297"/>
      <c r="EC237" s="3297"/>
      <c r="ED237" s="3297"/>
      <c r="EE237" s="3297"/>
      <c r="EF237" s="3297"/>
      <c r="EG237" s="3297"/>
      <c r="EH237" s="3297"/>
      <c r="EI237" s="3297"/>
      <c r="EJ237" s="3297"/>
      <c r="EK237" s="3297"/>
      <c r="EL237" s="3297"/>
      <c r="EM237" s="3297"/>
      <c r="EN237" s="3297"/>
      <c r="EO237" s="3297"/>
      <c r="EP237" s="3297"/>
      <c r="EQ237" s="3297"/>
      <c r="ER237" s="3297"/>
      <c r="ES237" s="3297"/>
      <c r="ET237" s="3297"/>
      <c r="EU237" s="3297"/>
      <c r="EV237" s="3297"/>
      <c r="EW237" s="3297"/>
      <c r="EX237" s="3297"/>
      <c r="EY237" s="3297"/>
      <c r="EZ237" s="3297"/>
      <c r="FA237" s="3297"/>
      <c r="FB237" s="3297"/>
      <c r="FC237" s="3297"/>
      <c r="FD237" s="3297"/>
      <c r="FE237" s="3297"/>
      <c r="FF237" s="3297"/>
      <c r="FG237" s="3297"/>
      <c r="FH237" s="3297"/>
      <c r="FI237" s="3297"/>
      <c r="FJ237" s="3297"/>
      <c r="FK237" s="3297"/>
      <c r="FL237" s="3297"/>
      <c r="FM237" s="3297"/>
      <c r="FN237" s="3297"/>
      <c r="FO237" s="3297"/>
      <c r="FP237" s="3297"/>
      <c r="FQ237" s="3297"/>
      <c r="FR237" s="3297"/>
      <c r="FS237" s="3297"/>
      <c r="FT237" s="3297"/>
      <c r="FU237" s="3297"/>
      <c r="FV237" s="3297"/>
      <c r="FW237" s="3297"/>
      <c r="FX237" s="3297"/>
      <c r="FY237" s="3297"/>
      <c r="FZ237" s="3297"/>
      <c r="GA237" s="3297"/>
      <c r="GB237" s="3297"/>
      <c r="GC237" s="3297"/>
      <c r="GD237" s="3297"/>
      <c r="GE237" s="3297"/>
      <c r="GF237" s="3297"/>
      <c r="GG237" s="3297"/>
      <c r="GH237" s="3297"/>
      <c r="GI237" s="3297"/>
      <c r="GJ237" s="3297"/>
      <c r="GK237" s="3297"/>
      <c r="GL237" s="3297"/>
      <c r="GM237" s="3297"/>
      <c r="GN237" s="3297"/>
      <c r="GO237" s="3297"/>
      <c r="GP237" s="3297"/>
      <c r="GQ237" s="3297"/>
      <c r="GR237" s="3297"/>
      <c r="GS237" s="3297"/>
      <c r="GT237" s="3297"/>
      <c r="GU237" s="3297"/>
      <c r="GV237" s="3297"/>
      <c r="GW237" s="3297"/>
      <c r="GX237" s="3297"/>
      <c r="GY237" s="3297"/>
      <c r="GZ237" s="3297"/>
      <c r="HA237" s="3297"/>
      <c r="HB237" s="3297"/>
      <c r="HC237" s="3297"/>
      <c r="HD237" s="3297"/>
      <c r="HE237" s="3297"/>
      <c r="HF237" s="3297"/>
      <c r="HG237" s="3297"/>
      <c r="HH237" s="3297"/>
      <c r="HI237" s="3297"/>
      <c r="HJ237" s="3297"/>
      <c r="HK237" s="3297"/>
      <c r="HL237" s="3297"/>
      <c r="HM237" s="3297"/>
      <c r="HN237" s="3297"/>
      <c r="HO237" s="3297"/>
      <c r="HP237" s="3297"/>
      <c r="HQ237" s="3297"/>
      <c r="HR237" s="3297"/>
      <c r="HS237" s="3297"/>
      <c r="HT237" s="3297"/>
      <c r="HU237" s="3297"/>
      <c r="HV237" s="3297"/>
      <c r="HW237" s="3297"/>
      <c r="HX237" s="3297"/>
      <c r="HY237" s="3297"/>
      <c r="HZ237" s="3297"/>
      <c r="IA237" s="3297"/>
      <c r="IB237" s="3297"/>
      <c r="IC237" s="3297"/>
      <c r="ID237" s="3297"/>
      <c r="IE237" s="3297"/>
      <c r="IF237" s="3297"/>
      <c r="IG237" s="3297"/>
      <c r="IH237" s="3297"/>
      <c r="II237" s="3297"/>
      <c r="IJ237" s="3297"/>
      <c r="IK237" s="3297"/>
      <c r="IL237" s="3297"/>
      <c r="IM237" s="3297"/>
      <c r="IN237" s="3297"/>
      <c r="IO237" s="3297"/>
      <c r="IP237" s="3297"/>
      <c r="IQ237" s="3297"/>
      <c r="IR237" s="3297"/>
      <c r="IS237" s="3297"/>
      <c r="IT237" s="3297"/>
      <c r="IU237" s="3297"/>
      <c r="IV237" s="3297"/>
      <c r="IW237" s="3297"/>
      <c r="IX237" s="3297"/>
      <c r="IY237" s="3297"/>
      <c r="IZ237" s="3297"/>
      <c r="JA237" s="3297"/>
      <c r="JB237" s="3297"/>
      <c r="JC237" s="3297"/>
      <c r="JD237" s="3297"/>
      <c r="JE237" s="3297"/>
      <c r="JF237" s="3297"/>
      <c r="JG237" s="3297"/>
      <c r="JH237" s="3297"/>
      <c r="JI237" s="3297"/>
      <c r="JJ237" s="3297"/>
      <c r="JK237" s="3297"/>
      <c r="JL237" s="3297"/>
      <c r="JM237" s="3297"/>
      <c r="JN237" s="3297"/>
      <c r="JO237" s="3297"/>
      <c r="JP237" s="3297"/>
      <c r="JQ237" s="3297"/>
      <c r="JR237" s="3297"/>
      <c r="JS237" s="3297"/>
      <c r="JT237" s="3297"/>
      <c r="JU237" s="3297"/>
      <c r="JV237" s="3297"/>
      <c r="JW237" s="3297"/>
      <c r="JX237" s="3297"/>
      <c r="JY237" s="3297"/>
      <c r="JZ237" s="3297"/>
      <c r="KA237" s="3297"/>
      <c r="KB237" s="3297"/>
      <c r="KC237" s="3297"/>
      <c r="KD237" s="3297"/>
      <c r="KE237" s="3297"/>
      <c r="KF237" s="3297"/>
      <c r="KG237" s="3297"/>
      <c r="KH237" s="3297"/>
      <c r="KI237" s="3297"/>
      <c r="KJ237" s="3297"/>
      <c r="KK237" s="3297"/>
      <c r="KL237" s="3297"/>
      <c r="KM237" s="3297"/>
      <c r="KN237" s="3297"/>
      <c r="KO237" s="3297"/>
      <c r="KP237" s="3297"/>
      <c r="KQ237" s="3297"/>
      <c r="KR237" s="3297"/>
      <c r="KS237" s="3297"/>
      <c r="KT237" s="3297"/>
      <c r="KU237" s="3297"/>
      <c r="KV237" s="3297"/>
      <c r="KW237" s="3297"/>
      <c r="KX237" s="3297"/>
      <c r="KY237" s="3297"/>
      <c r="KZ237" s="3297"/>
      <c r="LA237" s="3297"/>
      <c r="LB237" s="3297"/>
      <c r="LC237" s="3297"/>
      <c r="LD237" s="3297"/>
      <c r="LE237" s="3297"/>
      <c r="LF237" s="3297"/>
      <c r="LG237" s="3297"/>
      <c r="LH237" s="3297"/>
      <c r="LI237" s="3297"/>
      <c r="LJ237" s="3297"/>
      <c r="LK237" s="3297"/>
      <c r="LL237" s="3297"/>
      <c r="LM237" s="3297"/>
      <c r="LN237" s="3297"/>
      <c r="LO237" s="3297"/>
      <c r="LP237" s="3297"/>
      <c r="LQ237" s="3297"/>
      <c r="LR237" s="3297"/>
      <c r="LS237" s="3297"/>
      <c r="LT237" s="3297"/>
      <c r="LU237" s="3297"/>
      <c r="LV237" s="3297"/>
      <c r="LW237" s="3297"/>
      <c r="LX237" s="3297"/>
      <c r="LY237" s="3297"/>
      <c r="LZ237" s="3297"/>
      <c r="MA237" s="3297"/>
      <c r="MB237" s="3297"/>
      <c r="MC237" s="3297"/>
      <c r="MD237" s="3297"/>
      <c r="ME237" s="3297"/>
      <c r="MF237" s="3297"/>
      <c r="MG237" s="3297"/>
      <c r="MH237" s="3297"/>
      <c r="MI237" s="3297"/>
      <c r="MJ237" s="3297"/>
      <c r="MK237" s="3297"/>
      <c r="ML237" s="3297"/>
      <c r="MM237" s="3297"/>
      <c r="MN237" s="3297"/>
      <c r="MO237" s="3297"/>
      <c r="MP237" s="3297"/>
      <c r="MQ237" s="3297"/>
      <c r="MR237" s="3297"/>
      <c r="MS237" s="3297"/>
      <c r="MT237" s="3297"/>
      <c r="MU237" s="3297"/>
      <c r="MV237" s="3297"/>
      <c r="MW237" s="3297"/>
      <c r="MX237" s="3297"/>
      <c r="MY237" s="3297"/>
      <c r="MZ237" s="3297"/>
      <c r="NA237" s="3297"/>
      <c r="NB237" s="3297"/>
      <c r="NC237" s="3297"/>
      <c r="ND237" s="3297"/>
      <c r="NE237" s="3297"/>
      <c r="NF237" s="3297"/>
      <c r="NG237" s="3297"/>
      <c r="NH237" s="3297"/>
      <c r="NI237" s="3297"/>
      <c r="NJ237" s="3297"/>
      <c r="NK237" s="3297"/>
      <c r="NL237" s="3297"/>
      <c r="NM237" s="3297"/>
      <c r="NN237" s="3297"/>
      <c r="NO237" s="3297"/>
      <c r="NP237" s="3297"/>
      <c r="NQ237" s="3297"/>
      <c r="NR237" s="3297"/>
      <c r="NS237" s="3297"/>
      <c r="NT237" s="3297"/>
      <c r="NU237" s="3297"/>
      <c r="NV237" s="3297"/>
      <c r="NW237" s="3297"/>
      <c r="NX237" s="3297"/>
      <c r="NY237" s="3297"/>
      <c r="NZ237" s="3297"/>
      <c r="OA237" s="3297"/>
      <c r="OB237" s="3297"/>
      <c r="OC237" s="3297"/>
      <c r="OD237" s="3297"/>
      <c r="OE237" s="3297"/>
      <c r="OF237" s="3297"/>
      <c r="OG237" s="3297"/>
      <c r="OH237" s="3297"/>
      <c r="OI237" s="3297"/>
      <c r="OJ237" s="3297"/>
      <c r="OK237" s="3297"/>
      <c r="OL237" s="3297"/>
      <c r="OM237" s="3297"/>
      <c r="ON237" s="3297"/>
      <c r="OO237" s="3297"/>
      <c r="OP237" s="3297"/>
      <c r="OQ237" s="3297"/>
      <c r="OR237" s="3297"/>
      <c r="OS237" s="3297"/>
      <c r="OT237" s="3297"/>
      <c r="OU237" s="3297"/>
      <c r="OV237" s="3297"/>
      <c r="OW237" s="3297"/>
      <c r="OX237" s="3297"/>
      <c r="OY237" s="3297"/>
      <c r="OZ237" s="3297"/>
      <c r="PA237" s="3297"/>
      <c r="PB237" s="3297"/>
      <c r="PC237" s="3297"/>
      <c r="PD237" s="3297"/>
      <c r="PE237" s="3297"/>
      <c r="PF237" s="3297"/>
      <c r="PG237" s="3297"/>
      <c r="PH237" s="3297"/>
      <c r="PI237" s="3297"/>
      <c r="PJ237" s="3297"/>
      <c r="PK237" s="3297"/>
      <c r="PL237" s="3297"/>
      <c r="PM237" s="3297"/>
      <c r="PN237" s="3297"/>
      <c r="PO237" s="3297"/>
      <c r="PP237" s="3297"/>
      <c r="PQ237" s="3297"/>
      <c r="PR237" s="3297"/>
      <c r="PS237" s="3297"/>
      <c r="PT237" s="3297"/>
      <c r="PU237" s="3297"/>
      <c r="PV237" s="3297"/>
      <c r="PW237" s="3297"/>
      <c r="PX237" s="3297"/>
      <c r="PY237" s="3297"/>
      <c r="PZ237" s="3297"/>
      <c r="QA237" s="3297"/>
      <c r="QB237" s="3297"/>
      <c r="QC237" s="3297"/>
      <c r="QD237" s="3297"/>
      <c r="QE237" s="3297"/>
      <c r="QF237" s="3297"/>
      <c r="QG237" s="3297"/>
      <c r="QH237" s="3297"/>
      <c r="QI237" s="3297"/>
      <c r="QJ237" s="3297"/>
      <c r="QK237" s="3297"/>
      <c r="QL237" s="3297"/>
      <c r="QM237" s="3297"/>
      <c r="QN237" s="3297"/>
      <c r="QO237" s="3297"/>
      <c r="QP237" s="3297"/>
      <c r="QQ237" s="3297"/>
      <c r="QR237" s="3297"/>
      <c r="QS237" s="3297"/>
      <c r="QT237" s="3297"/>
      <c r="QU237" s="3297"/>
      <c r="QV237" s="3297"/>
      <c r="QW237" s="3297"/>
      <c r="QX237" s="3297"/>
      <c r="QY237" s="3297"/>
      <c r="QZ237" s="3297"/>
      <c r="RA237" s="3297"/>
      <c r="RB237" s="3297"/>
      <c r="RC237" s="3297"/>
      <c r="RD237" s="3297"/>
      <c r="RE237" s="3297"/>
      <c r="RF237" s="3297"/>
      <c r="RG237" s="3297"/>
      <c r="RH237" s="3297"/>
      <c r="RI237" s="3297"/>
      <c r="RJ237" s="3297"/>
      <c r="RK237" s="3297"/>
      <c r="RL237" s="3297"/>
      <c r="RM237" s="3297"/>
      <c r="RN237" s="3297"/>
      <c r="RO237" s="3297"/>
      <c r="RP237" s="3297"/>
      <c r="RQ237" s="3297"/>
      <c r="RR237" s="3297"/>
      <c r="RS237" s="3297"/>
      <c r="RT237" s="3297"/>
      <c r="RU237" s="3297"/>
      <c r="RV237" s="3297"/>
      <c r="RW237" s="3297"/>
      <c r="RX237" s="3297"/>
      <c r="RY237" s="3297"/>
      <c r="RZ237" s="3297"/>
      <c r="SA237" s="3297"/>
      <c r="SB237" s="3297"/>
      <c r="SC237" s="3297"/>
      <c r="SD237" s="3297"/>
      <c r="SE237" s="3297"/>
      <c r="SF237" s="3297"/>
      <c r="SG237" s="3297"/>
      <c r="SH237" s="3297"/>
      <c r="SI237" s="3297"/>
      <c r="SJ237" s="3297"/>
      <c r="SK237" s="3297"/>
      <c r="SL237" s="3297"/>
      <c r="SM237" s="3297"/>
      <c r="SN237" s="3297"/>
      <c r="SO237" s="3297"/>
      <c r="SP237" s="3297"/>
      <c r="SQ237" s="3297"/>
      <c r="SR237" s="3297"/>
      <c r="SS237" s="3297"/>
      <c r="ST237" s="3297"/>
      <c r="SU237" s="3297"/>
      <c r="SV237" s="3297"/>
      <c r="SW237" s="3297"/>
      <c r="SX237" s="3297"/>
      <c r="SY237" s="3297"/>
      <c r="SZ237" s="3297"/>
      <c r="TA237" s="3297"/>
      <c r="TB237" s="3297"/>
      <c r="TC237" s="3297"/>
      <c r="TD237" s="3297"/>
      <c r="TE237" s="3297"/>
      <c r="TF237" s="3297"/>
      <c r="TG237" s="3297"/>
      <c r="TH237" s="3297"/>
      <c r="TI237" s="3297"/>
      <c r="TJ237" s="3297"/>
      <c r="TK237" s="3297"/>
      <c r="TL237" s="3297"/>
      <c r="TM237" s="3297"/>
      <c r="TN237" s="3297"/>
      <c r="TO237" s="3297"/>
      <c r="TP237" s="3297"/>
      <c r="TQ237" s="3297"/>
      <c r="TR237" s="3297"/>
      <c r="TS237" s="3297"/>
      <c r="TT237" s="3297"/>
      <c r="TU237" s="3297"/>
      <c r="TV237" s="3297"/>
      <c r="TW237" s="3297"/>
      <c r="TX237" s="3297"/>
      <c r="TY237" s="3297"/>
      <c r="TZ237" s="3297"/>
      <c r="UA237" s="3297"/>
      <c r="UB237" s="3297"/>
      <c r="UC237" s="3297"/>
      <c r="UD237" s="3297"/>
      <c r="UE237" s="3297"/>
      <c r="UF237" s="3297"/>
      <c r="UG237" s="3297"/>
      <c r="UH237" s="3297"/>
      <c r="UI237" s="3297"/>
      <c r="UJ237" s="3297"/>
      <c r="UK237" s="3297"/>
      <c r="UL237" s="3297"/>
      <c r="UM237" s="3297"/>
      <c r="UN237" s="3297"/>
      <c r="UO237" s="3297"/>
      <c r="UP237" s="3297"/>
      <c r="UQ237" s="3297"/>
      <c r="UR237" s="3297"/>
      <c r="US237" s="3297"/>
      <c r="UT237" s="3297"/>
      <c r="UU237" s="3297"/>
      <c r="UV237" s="3297"/>
      <c r="UW237" s="3297"/>
      <c r="UX237" s="3297"/>
      <c r="UY237" s="3297"/>
      <c r="UZ237" s="3297"/>
      <c r="VA237" s="3297"/>
      <c r="VB237" s="3297"/>
      <c r="VC237" s="3297"/>
      <c r="VD237" s="3297"/>
      <c r="VE237" s="3297"/>
      <c r="VF237" s="3297"/>
      <c r="VG237" s="3297"/>
      <c r="VH237" s="3297"/>
      <c r="VI237" s="3297"/>
      <c r="VJ237" s="3297"/>
      <c r="VK237" s="3297"/>
      <c r="VL237" s="3297"/>
      <c r="VM237" s="3297"/>
      <c r="VN237" s="3297"/>
      <c r="VO237" s="3297"/>
      <c r="VP237" s="3297"/>
      <c r="VQ237" s="3297"/>
      <c r="VR237" s="3297"/>
      <c r="VS237" s="3297"/>
      <c r="VT237" s="3297"/>
      <c r="VU237" s="3297"/>
      <c r="VV237" s="3297"/>
      <c r="VW237" s="3297"/>
      <c r="VX237" s="3297"/>
      <c r="VY237" s="3297"/>
      <c r="VZ237" s="3297"/>
      <c r="WA237" s="3297"/>
      <c r="WB237" s="3297"/>
      <c r="WC237" s="3297"/>
      <c r="WD237" s="3297"/>
      <c r="WE237" s="3297"/>
      <c r="WF237" s="3297"/>
      <c r="WG237" s="3297"/>
      <c r="WH237" s="3297"/>
      <c r="WI237" s="3297"/>
      <c r="WJ237" s="3297"/>
      <c r="WK237" s="3297"/>
      <c r="WL237" s="3297"/>
      <c r="WM237" s="3297"/>
      <c r="WN237" s="3297"/>
      <c r="WO237" s="3297"/>
      <c r="WP237" s="3297"/>
      <c r="WQ237" s="3297"/>
      <c r="WR237" s="3297"/>
      <c r="WS237" s="3297"/>
      <c r="WT237" s="3297"/>
      <c r="WU237" s="3297"/>
      <c r="WV237" s="3297"/>
      <c r="WW237" s="3297"/>
      <c r="WX237" s="3297"/>
      <c r="WY237" s="3297"/>
      <c r="WZ237" s="3297"/>
      <c r="XA237" s="3297"/>
      <c r="XB237" s="3297"/>
      <c r="XC237" s="3297"/>
      <c r="XD237" s="3297"/>
      <c r="XE237" s="3297"/>
      <c r="XF237" s="3297"/>
      <c r="XG237" s="3297"/>
      <c r="XH237" s="3297"/>
      <c r="XI237" s="3297"/>
      <c r="XJ237" s="3297"/>
      <c r="XK237" s="3297"/>
      <c r="XL237" s="3297"/>
      <c r="XM237" s="3297"/>
      <c r="XN237" s="3297"/>
      <c r="XO237" s="3297"/>
      <c r="XP237" s="3297"/>
      <c r="XQ237" s="3297"/>
      <c r="XR237" s="3297"/>
      <c r="XS237" s="3297"/>
      <c r="XT237" s="3297"/>
      <c r="XU237" s="3297"/>
      <c r="XV237" s="3297"/>
      <c r="XW237" s="3297"/>
      <c r="XX237" s="3297"/>
      <c r="XY237" s="3297"/>
      <c r="XZ237" s="3297"/>
      <c r="YA237" s="3297"/>
      <c r="YB237" s="3297"/>
      <c r="YC237" s="3297"/>
      <c r="YD237" s="3297"/>
      <c r="YE237" s="3297"/>
      <c r="YF237" s="3297"/>
      <c r="YG237" s="3297"/>
      <c r="YH237" s="3297"/>
      <c r="YI237" s="3297"/>
      <c r="YJ237" s="3297"/>
      <c r="YK237" s="3297"/>
      <c r="YL237" s="3297"/>
      <c r="YM237" s="3297"/>
      <c r="YN237" s="3297"/>
      <c r="YO237" s="3297"/>
      <c r="YP237" s="3297"/>
      <c r="YQ237" s="3297"/>
      <c r="YR237" s="3297"/>
      <c r="YS237" s="3297"/>
      <c r="YT237" s="3297"/>
      <c r="YU237" s="3297"/>
      <c r="YV237" s="3297"/>
      <c r="YW237" s="3297"/>
      <c r="YX237" s="3297"/>
      <c r="YY237" s="3297"/>
      <c r="YZ237" s="3297"/>
      <c r="ZA237" s="3297"/>
      <c r="ZB237" s="3297"/>
      <c r="ZC237" s="3297"/>
      <c r="ZD237" s="3297"/>
      <c r="ZE237" s="3297"/>
      <c r="ZF237" s="3297"/>
      <c r="ZG237" s="3297"/>
      <c r="ZH237" s="3297"/>
      <c r="ZI237" s="3297"/>
      <c r="ZJ237" s="3297"/>
      <c r="ZK237" s="3297"/>
      <c r="ZL237" s="3297"/>
      <c r="ZM237" s="3297"/>
      <c r="ZN237" s="3297"/>
      <c r="ZO237" s="3297"/>
      <c r="ZP237" s="3297"/>
      <c r="ZQ237" s="3297"/>
      <c r="ZR237" s="3297"/>
      <c r="ZS237" s="3297"/>
      <c r="ZT237" s="3297"/>
      <c r="ZU237" s="3297"/>
      <c r="ZV237" s="3297"/>
      <c r="ZW237" s="3297"/>
      <c r="ZX237" s="3297"/>
      <c r="ZY237" s="3297"/>
      <c r="ZZ237" s="3297"/>
      <c r="AAA237" s="3297"/>
      <c r="AAB237" s="3297"/>
      <c r="AAC237" s="3297"/>
      <c r="AAD237" s="3297"/>
      <c r="AAE237" s="3297"/>
      <c r="AAF237" s="3297"/>
      <c r="AAG237" s="3297"/>
      <c r="AAH237" s="3297"/>
      <c r="AAI237" s="3297"/>
      <c r="AAJ237" s="3297"/>
      <c r="AAK237" s="3297"/>
      <c r="AAL237" s="3297"/>
      <c r="AAM237" s="3297"/>
      <c r="AAN237" s="3297"/>
      <c r="AAO237" s="3297"/>
      <c r="AAP237" s="3297"/>
      <c r="AAQ237" s="3297"/>
      <c r="AAR237" s="3297"/>
      <c r="AAS237" s="3297"/>
      <c r="AAT237" s="3297"/>
      <c r="AAU237" s="3297"/>
      <c r="AAV237" s="3297"/>
      <c r="AAW237" s="3297"/>
      <c r="AAX237" s="3297"/>
      <c r="AAY237" s="3297"/>
      <c r="AAZ237" s="3297"/>
      <c r="ABA237" s="3297"/>
      <c r="ABB237" s="3297"/>
      <c r="ABC237" s="3297"/>
      <c r="ABD237" s="3297"/>
      <c r="ABE237" s="3297"/>
      <c r="ABF237" s="3297"/>
      <c r="ABG237" s="3297"/>
      <c r="ABH237" s="3297"/>
      <c r="ABI237" s="3297"/>
      <c r="ABJ237" s="3297"/>
      <c r="ABK237" s="3297"/>
      <c r="ABL237" s="3297"/>
      <c r="ABM237" s="3297"/>
      <c r="ABN237" s="3297"/>
      <c r="ABO237" s="3297"/>
      <c r="ABP237" s="3297"/>
      <c r="ABQ237" s="3297"/>
      <c r="ABR237" s="3297"/>
      <c r="ABS237" s="3297"/>
      <c r="ABT237" s="3297"/>
      <c r="ABU237" s="3297"/>
      <c r="ABV237" s="3297"/>
      <c r="ABW237" s="3297"/>
      <c r="ABX237" s="3297"/>
      <c r="ABY237" s="3297"/>
      <c r="ABZ237" s="3297"/>
      <c r="ACA237" s="3297"/>
      <c r="ACB237" s="3297"/>
      <c r="ACC237" s="3297"/>
      <c r="ACD237" s="3297"/>
      <c r="ACE237" s="3297"/>
      <c r="ACF237" s="3297"/>
      <c r="ACG237" s="3297"/>
      <c r="ACH237" s="3297"/>
      <c r="ACI237" s="3297"/>
      <c r="ACJ237" s="3297"/>
      <c r="ACK237" s="3297"/>
      <c r="ACL237" s="3297"/>
      <c r="ACM237" s="3297"/>
      <c r="ACN237" s="3297"/>
      <c r="ACO237" s="3297"/>
      <c r="ACP237" s="3297"/>
      <c r="ACQ237" s="3297"/>
      <c r="ACR237" s="3297"/>
      <c r="ACS237" s="3297"/>
      <c r="ACT237" s="3297"/>
      <c r="ACU237" s="3297"/>
      <c r="ACV237" s="3297"/>
      <c r="ACW237" s="3297"/>
      <c r="ACX237" s="3297"/>
      <c r="ACY237" s="3297"/>
      <c r="ACZ237" s="3297"/>
      <c r="ADA237" s="3297"/>
      <c r="ADB237" s="3297"/>
      <c r="ADC237" s="3297"/>
      <c r="ADD237" s="3297"/>
      <c r="ADE237" s="3297"/>
      <c r="ADF237" s="3297"/>
      <c r="ADG237" s="3297"/>
      <c r="ADH237" s="3297"/>
      <c r="ADI237" s="3297"/>
      <c r="ADJ237" s="3297"/>
      <c r="ADK237" s="3297"/>
      <c r="ADL237" s="3297"/>
      <c r="ADM237" s="3297"/>
      <c r="ADN237" s="3297"/>
      <c r="ADO237" s="3297"/>
      <c r="ADP237" s="3297"/>
      <c r="ADQ237" s="3297"/>
      <c r="ADR237" s="3297"/>
      <c r="ADS237" s="3297"/>
      <c r="ADT237" s="3297"/>
      <c r="ADU237" s="3297"/>
      <c r="ADV237" s="3297"/>
      <c r="ADW237" s="3297"/>
      <c r="ADX237" s="3297"/>
      <c r="ADY237" s="3297"/>
      <c r="ADZ237" s="3297"/>
      <c r="AEA237" s="3297"/>
      <c r="AEB237" s="3297"/>
      <c r="AEC237" s="3297"/>
      <c r="AED237" s="3297"/>
      <c r="AEE237" s="3297"/>
      <c r="AEF237" s="3297"/>
      <c r="AEG237" s="3297"/>
      <c r="AEH237" s="3297"/>
      <c r="AEI237" s="3297"/>
      <c r="AEJ237" s="3297"/>
      <c r="AEK237" s="3297"/>
      <c r="AEL237" s="3297"/>
      <c r="AEM237" s="3297"/>
      <c r="AEN237" s="3297"/>
      <c r="AEO237" s="3297"/>
      <c r="AEP237" s="3297"/>
      <c r="AEQ237" s="3297"/>
      <c r="AER237" s="3297"/>
      <c r="AES237" s="3297"/>
      <c r="AET237" s="3297"/>
      <c r="AEU237" s="3297"/>
      <c r="AEV237" s="3297"/>
      <c r="AEW237" s="3297"/>
      <c r="AEX237" s="3297"/>
      <c r="AEY237" s="3297"/>
      <c r="AEZ237" s="3297"/>
      <c r="AFA237" s="3297"/>
      <c r="AFB237" s="3297"/>
      <c r="AFC237" s="3297"/>
      <c r="AFD237" s="3297"/>
      <c r="AFE237" s="3297"/>
      <c r="AFF237" s="3297"/>
      <c r="AFG237" s="3297"/>
      <c r="AFH237" s="3297"/>
      <c r="AFI237" s="3297"/>
      <c r="AFJ237" s="3297"/>
      <c r="AFK237" s="3297"/>
      <c r="AFL237" s="3297"/>
      <c r="AFM237" s="3297"/>
      <c r="AFN237" s="3297"/>
      <c r="AFO237" s="3297"/>
      <c r="AFP237" s="3297"/>
      <c r="AFQ237" s="3297"/>
      <c r="AFR237" s="3297"/>
      <c r="AFS237" s="3297"/>
      <c r="AFT237" s="3297"/>
      <c r="AFU237" s="3297"/>
      <c r="AFV237" s="3297"/>
      <c r="AFW237" s="3297"/>
      <c r="AFX237" s="3297"/>
      <c r="AFY237" s="3297"/>
      <c r="AFZ237" s="3297"/>
      <c r="AGA237" s="3297"/>
      <c r="AGB237" s="3297"/>
      <c r="AGC237" s="3297"/>
      <c r="AGD237" s="3297"/>
      <c r="AGE237" s="3297"/>
      <c r="AGF237" s="3297"/>
      <c r="AGG237" s="3297"/>
      <c r="AGH237" s="3297"/>
      <c r="AGI237" s="3297"/>
      <c r="AGJ237" s="3297"/>
      <c r="AGK237" s="3297"/>
      <c r="AGL237" s="3297"/>
      <c r="AGM237" s="3297"/>
      <c r="AGN237" s="3297"/>
      <c r="AGO237" s="3297"/>
      <c r="AGP237" s="3297"/>
      <c r="AGQ237" s="3297"/>
      <c r="AGR237" s="3297"/>
      <c r="AGS237" s="3297"/>
      <c r="AGT237" s="3297"/>
      <c r="AGU237" s="3297"/>
      <c r="AGV237" s="3297"/>
      <c r="AGW237" s="3297"/>
      <c r="AGX237" s="3297"/>
      <c r="AGY237" s="3297"/>
      <c r="AGZ237" s="3297"/>
      <c r="AHA237" s="3297"/>
      <c r="AHB237" s="3297"/>
      <c r="AHC237" s="3297"/>
      <c r="AHD237" s="3297"/>
      <c r="AHE237" s="3297"/>
      <c r="AHF237" s="3297"/>
      <c r="AHG237" s="3297"/>
      <c r="AHH237" s="3297"/>
      <c r="AHI237" s="3297"/>
      <c r="AHJ237" s="3297"/>
      <c r="AHK237" s="3297"/>
      <c r="AHL237" s="3297"/>
      <c r="AHM237" s="3297"/>
      <c r="AHN237" s="3297"/>
      <c r="AHO237" s="3297"/>
      <c r="AHP237" s="3297"/>
      <c r="AHQ237" s="3297"/>
      <c r="AHR237" s="3297"/>
      <c r="AHS237" s="3297"/>
      <c r="AHT237" s="3297"/>
      <c r="AHU237" s="3297"/>
      <c r="AHV237" s="3297"/>
      <c r="AHW237" s="3297"/>
      <c r="AHX237" s="3297"/>
      <c r="AHY237" s="3297"/>
      <c r="AHZ237" s="3297"/>
      <c r="AIA237" s="3297"/>
      <c r="AIB237" s="3297"/>
      <c r="AIC237" s="3297"/>
      <c r="AID237" s="3297"/>
      <c r="AIE237" s="3297"/>
      <c r="AIF237" s="3297"/>
      <c r="AIG237" s="3297"/>
      <c r="AIH237" s="3297"/>
      <c r="AII237" s="3297"/>
      <c r="AIJ237" s="3297"/>
      <c r="AIK237" s="3297"/>
      <c r="AIL237" s="3297"/>
      <c r="AIM237" s="3297"/>
      <c r="AIN237" s="3297"/>
      <c r="AIO237" s="3297"/>
      <c r="AIP237" s="3297"/>
      <c r="AIQ237" s="3297"/>
      <c r="AIR237" s="3297"/>
      <c r="AIS237" s="3297"/>
      <c r="AIT237" s="3297"/>
      <c r="AIU237" s="3297"/>
      <c r="AIV237" s="3297"/>
      <c r="AIW237" s="3297"/>
      <c r="AIX237" s="3297"/>
      <c r="AIY237" s="3297"/>
      <c r="AIZ237" s="3297"/>
      <c r="AJA237" s="3297"/>
      <c r="AJB237" s="3297"/>
      <c r="AJC237" s="3297"/>
      <c r="AJD237" s="3297"/>
      <c r="AJE237" s="3297"/>
      <c r="AJF237" s="3297"/>
      <c r="AJG237" s="3297"/>
      <c r="AJH237" s="3297"/>
      <c r="AJI237" s="3297"/>
      <c r="AJJ237" s="3297"/>
      <c r="AJK237" s="3297"/>
      <c r="AJL237" s="3297"/>
      <c r="AJM237" s="3297"/>
      <c r="AJN237" s="3297"/>
      <c r="AJO237" s="3297"/>
      <c r="AJP237" s="3297"/>
      <c r="AJQ237" s="3297"/>
      <c r="AJR237" s="3297"/>
      <c r="AJS237" s="3297"/>
      <c r="AJT237" s="3297"/>
      <c r="AJU237" s="3297"/>
      <c r="AJV237" s="3297"/>
      <c r="AJW237" s="3297"/>
      <c r="AJX237" s="3297"/>
      <c r="AJY237" s="3297"/>
      <c r="AJZ237" s="3297"/>
      <c r="AKA237" s="3297"/>
      <c r="AKB237" s="3297"/>
      <c r="AKC237" s="3297"/>
      <c r="AKD237" s="3297"/>
      <c r="AKE237" s="3297"/>
      <c r="AKF237" s="3297"/>
      <c r="AKG237" s="3297"/>
      <c r="AKH237" s="3297"/>
      <c r="AKI237" s="3297"/>
      <c r="AKJ237" s="3297"/>
      <c r="AKK237" s="3297"/>
      <c r="AKL237" s="3297"/>
      <c r="AKM237" s="3297"/>
      <c r="AKN237" s="3297"/>
      <c r="AKO237" s="3297"/>
      <c r="AKP237" s="3297"/>
      <c r="AKQ237" s="3297"/>
      <c r="AKR237" s="3297"/>
      <c r="AKS237" s="3297"/>
      <c r="AKT237" s="3297"/>
      <c r="AKU237" s="3297"/>
      <c r="AKV237" s="3297"/>
      <c r="AKW237" s="3297"/>
      <c r="AKX237" s="3297"/>
      <c r="AKY237" s="3297"/>
      <c r="AKZ237" s="3297"/>
      <c r="ALA237" s="3297"/>
      <c r="ALB237" s="3297"/>
      <c r="ALC237" s="3297"/>
      <c r="ALD237" s="3297"/>
      <c r="ALE237" s="3297"/>
      <c r="ALF237" s="3297"/>
      <c r="ALG237" s="3297"/>
      <c r="ALH237" s="3297"/>
      <c r="ALI237" s="3297"/>
      <c r="ALJ237" s="3297"/>
      <c r="ALK237" s="3297"/>
      <c r="ALL237" s="3297"/>
      <c r="ALM237" s="3297"/>
      <c r="ALN237" s="3297"/>
      <c r="ALO237" s="3297"/>
      <c r="ALP237" s="3297"/>
      <c r="ALQ237" s="3297"/>
      <c r="ALR237" s="3297"/>
      <c r="ALS237" s="3297"/>
      <c r="ALT237" s="3297"/>
      <c r="ALU237" s="3297"/>
      <c r="ALV237" s="3297"/>
      <c r="ALW237" s="3297"/>
      <c r="ALX237" s="3297"/>
      <c r="ALY237" s="3297"/>
      <c r="ALZ237" s="3297"/>
      <c r="AMA237" s="3297"/>
      <c r="AMB237" s="3297"/>
      <c r="AMC237" s="3297"/>
      <c r="AMD237" s="3297"/>
      <c r="AME237" s="3297"/>
      <c r="AMF237" s="3297"/>
      <c r="AMG237" s="3297"/>
      <c r="AMH237" s="3297"/>
      <c r="AMI237" s="3297"/>
      <c r="AMJ237" s="3297"/>
      <c r="AMK237" s="3297"/>
      <c r="AML237" s="3297"/>
      <c r="AMM237" s="3297"/>
      <c r="AMN237" s="3297"/>
      <c r="AMO237" s="3297"/>
      <c r="AMP237" s="3297"/>
      <c r="AMQ237" s="3297"/>
      <c r="AMR237" s="3297"/>
      <c r="AMS237" s="3297"/>
      <c r="AMT237" s="3297"/>
      <c r="AMU237" s="3297"/>
      <c r="AMV237" s="3297"/>
      <c r="AMW237" s="3297"/>
      <c r="AMX237" s="3297"/>
      <c r="AMY237" s="3297"/>
      <c r="AMZ237" s="3297"/>
      <c r="ANA237" s="3297"/>
      <c r="ANB237" s="3297"/>
      <c r="ANC237" s="3297"/>
      <c r="AND237" s="3297"/>
      <c r="ANE237" s="3297"/>
      <c r="ANF237" s="3297"/>
      <c r="ANG237" s="3297"/>
      <c r="ANH237" s="3297"/>
      <c r="ANI237" s="3297"/>
      <c r="ANJ237" s="3297"/>
      <c r="ANK237" s="3297"/>
      <c r="ANL237" s="3297"/>
      <c r="ANM237" s="3297"/>
      <c r="ANN237" s="3297"/>
      <c r="ANO237" s="3297"/>
      <c r="ANP237" s="3297"/>
      <c r="ANQ237" s="3297"/>
      <c r="ANR237" s="3297"/>
      <c r="ANS237" s="3297"/>
      <c r="ANT237" s="3297"/>
      <c r="ANU237" s="3297"/>
      <c r="ANV237" s="3297"/>
      <c r="ANW237" s="3297"/>
      <c r="ANX237" s="3297"/>
      <c r="ANY237" s="3297"/>
      <c r="ANZ237" s="3297"/>
      <c r="AOA237" s="3297"/>
      <c r="AOB237" s="3297"/>
      <c r="AOC237" s="3297"/>
      <c r="AOD237" s="3297"/>
      <c r="AOE237" s="3297"/>
      <c r="AOF237" s="3297"/>
      <c r="AOG237" s="3297"/>
      <c r="AOH237" s="3297"/>
      <c r="AOI237" s="3297"/>
      <c r="AOJ237" s="3297"/>
      <c r="AOK237" s="3297"/>
      <c r="AOL237" s="3297"/>
      <c r="AOM237" s="3297"/>
      <c r="AON237" s="3297"/>
      <c r="AOO237" s="3297"/>
      <c r="AOP237" s="3297"/>
      <c r="AOQ237" s="3297"/>
      <c r="AOR237" s="3297"/>
      <c r="AOS237" s="3297"/>
      <c r="AOT237" s="3297"/>
      <c r="AOU237" s="3297"/>
      <c r="AOV237" s="3297"/>
      <c r="AOW237" s="3297"/>
      <c r="AOX237" s="3297"/>
      <c r="AOY237" s="3297"/>
      <c r="AOZ237" s="3297"/>
      <c r="APA237" s="3297"/>
      <c r="APB237" s="3297"/>
      <c r="APC237" s="3297"/>
      <c r="APD237" s="3297"/>
      <c r="APE237" s="3297"/>
      <c r="APF237" s="3297"/>
      <c r="APG237" s="3297"/>
      <c r="APH237" s="3297"/>
      <c r="API237" s="3297"/>
      <c r="APJ237" s="3297"/>
      <c r="APK237" s="3297"/>
      <c r="APL237" s="3297"/>
      <c r="APM237" s="3297"/>
      <c r="APN237" s="3297"/>
      <c r="APO237" s="3297"/>
      <c r="APP237" s="3297"/>
      <c r="APQ237" s="3297"/>
      <c r="APR237" s="3297"/>
      <c r="APS237" s="3297"/>
      <c r="APT237" s="3297"/>
      <c r="APU237" s="3297"/>
      <c r="APV237" s="3297"/>
      <c r="APW237" s="3297"/>
      <c r="APX237" s="3297"/>
      <c r="APY237" s="3297"/>
      <c r="APZ237" s="3297"/>
      <c r="AQA237" s="3297"/>
      <c r="AQB237" s="3297"/>
      <c r="AQC237" s="3297"/>
      <c r="AQD237" s="3297"/>
      <c r="AQE237" s="3297"/>
      <c r="AQF237" s="3297"/>
      <c r="AQG237" s="3297"/>
      <c r="AQH237" s="3297"/>
      <c r="AQI237" s="3297"/>
      <c r="AQJ237" s="3297"/>
      <c r="AQK237" s="3297"/>
      <c r="AQL237" s="3297"/>
      <c r="AQM237" s="3297"/>
      <c r="AQN237" s="3297"/>
      <c r="AQO237" s="3297"/>
      <c r="AQP237" s="3297"/>
      <c r="AQQ237" s="3297"/>
      <c r="AQR237" s="3297"/>
      <c r="AQS237" s="3297"/>
      <c r="AQT237" s="3297"/>
      <c r="AQU237" s="3297"/>
      <c r="AQV237" s="3297"/>
      <c r="AQW237" s="3297"/>
      <c r="AQX237" s="3297"/>
      <c r="AQY237" s="3297"/>
      <c r="AQZ237" s="3297"/>
      <c r="ARA237" s="3297"/>
      <c r="ARB237" s="3297"/>
      <c r="ARC237" s="3297"/>
      <c r="ARD237" s="3297"/>
      <c r="ARE237" s="3297"/>
      <c r="ARF237" s="3297"/>
      <c r="ARG237" s="3297"/>
      <c r="ARH237" s="3297"/>
      <c r="ARI237" s="3297"/>
      <c r="ARJ237" s="3297"/>
      <c r="ARK237" s="3297"/>
      <c r="ARL237" s="3297"/>
      <c r="ARM237" s="3297"/>
      <c r="ARN237" s="3297"/>
      <c r="ARO237" s="3297"/>
      <c r="ARP237" s="3297"/>
      <c r="ARQ237" s="3297"/>
      <c r="ARR237" s="3297"/>
      <c r="ARS237" s="3297"/>
      <c r="ART237" s="3297"/>
      <c r="ARU237" s="3297"/>
      <c r="ARV237" s="3297"/>
      <c r="ARW237" s="3297"/>
      <c r="ARX237" s="3297"/>
      <c r="ARY237" s="3297"/>
      <c r="ARZ237" s="3297"/>
      <c r="ASA237" s="3297"/>
      <c r="ASB237" s="3297"/>
      <c r="ASC237" s="3297"/>
      <c r="ASD237" s="3297"/>
      <c r="ASE237" s="3297"/>
      <c r="ASF237" s="3297"/>
      <c r="ASG237" s="3297"/>
      <c r="ASH237" s="3297"/>
      <c r="ASI237" s="3297"/>
      <c r="ASJ237" s="3297"/>
      <c r="ASK237" s="3297"/>
      <c r="ASL237" s="3297"/>
      <c r="ASM237" s="3297"/>
      <c r="ASN237" s="3297"/>
      <c r="ASO237" s="3297"/>
      <c r="ASP237" s="3297"/>
      <c r="ASQ237" s="3297"/>
      <c r="ASR237" s="3297"/>
      <c r="ASS237" s="3297"/>
      <c r="AST237" s="3297"/>
      <c r="ASU237" s="3297"/>
      <c r="ASV237" s="3297"/>
      <c r="ASW237" s="3297"/>
      <c r="ASX237" s="3297"/>
      <c r="ASY237" s="3297"/>
      <c r="ASZ237" s="3297"/>
      <c r="ATA237" s="3297"/>
      <c r="ATB237" s="3297"/>
      <c r="ATC237" s="3297"/>
      <c r="ATD237" s="3297"/>
      <c r="ATE237" s="3297"/>
      <c r="ATF237" s="3297"/>
      <c r="ATG237" s="3297"/>
      <c r="ATH237" s="3297"/>
      <c r="ATI237" s="3297"/>
      <c r="ATJ237" s="3297"/>
      <c r="ATK237" s="3297"/>
      <c r="ATL237" s="3297"/>
      <c r="ATM237" s="3297"/>
      <c r="ATN237" s="3297"/>
      <c r="ATO237" s="3297"/>
      <c r="ATP237" s="3297"/>
      <c r="ATQ237" s="3297"/>
      <c r="ATR237" s="3297"/>
      <c r="ATS237" s="3297"/>
      <c r="ATT237" s="3297"/>
      <c r="ATU237" s="3297"/>
      <c r="ATV237" s="3297"/>
      <c r="ATW237" s="3297"/>
      <c r="ATX237" s="3297"/>
      <c r="ATY237" s="3297"/>
      <c r="ATZ237" s="3297"/>
      <c r="AUA237" s="3297"/>
      <c r="AUB237" s="3297"/>
      <c r="AUC237" s="3297"/>
      <c r="AUD237" s="3297"/>
      <c r="AUE237" s="3297"/>
      <c r="AUF237" s="3297"/>
      <c r="AUG237" s="3297"/>
      <c r="AUH237" s="3297"/>
      <c r="AUI237" s="3297"/>
      <c r="AUJ237" s="3297"/>
      <c r="AUK237" s="3297"/>
      <c r="AUL237" s="3297"/>
      <c r="AUM237" s="3297"/>
      <c r="AUN237" s="3297"/>
      <c r="AUO237" s="3297"/>
      <c r="AUP237" s="3297"/>
      <c r="AUQ237" s="3297"/>
      <c r="AUR237" s="3297"/>
      <c r="AUS237" s="3297"/>
      <c r="AUT237" s="3297"/>
      <c r="AUU237" s="3297"/>
      <c r="AUV237" s="3297"/>
      <c r="AUW237" s="3297"/>
      <c r="AUX237" s="3297"/>
      <c r="AUY237" s="3297"/>
      <c r="AUZ237" s="3297"/>
      <c r="AVA237" s="3297"/>
      <c r="AVB237" s="3297"/>
      <c r="AVC237" s="3297"/>
      <c r="AVD237" s="3297"/>
      <c r="AVE237" s="3297"/>
      <c r="AVF237" s="3297"/>
      <c r="AVG237" s="3297"/>
      <c r="AVH237" s="3297"/>
      <c r="AVI237" s="3297"/>
      <c r="AVJ237" s="3297"/>
      <c r="AVK237" s="3297"/>
      <c r="AVL237" s="3297"/>
      <c r="AVM237" s="3297"/>
      <c r="AVN237" s="3297"/>
      <c r="AVO237" s="3297"/>
      <c r="AVP237" s="3297"/>
      <c r="AVQ237" s="3297"/>
      <c r="AVR237" s="3297"/>
      <c r="AVS237" s="3297"/>
      <c r="AVT237" s="3297"/>
      <c r="AVU237" s="3297"/>
      <c r="AVV237" s="3297"/>
      <c r="AVW237" s="3297"/>
      <c r="AVX237" s="3297"/>
      <c r="AVY237" s="3297"/>
      <c r="AVZ237" s="3297"/>
      <c r="AWA237" s="3297"/>
      <c r="AWB237" s="3297"/>
      <c r="AWC237" s="3297"/>
      <c r="AWD237" s="3297"/>
      <c r="AWE237" s="3297"/>
      <c r="AWF237" s="3297"/>
      <c r="AWG237" s="3297"/>
      <c r="AWH237" s="3297"/>
      <c r="AWI237" s="3297"/>
      <c r="AWJ237" s="3297"/>
      <c r="AWK237" s="3297"/>
      <c r="AWL237" s="3297"/>
      <c r="AWM237" s="3297"/>
      <c r="AWN237" s="3297"/>
      <c r="AWO237" s="3297"/>
      <c r="AWP237" s="3297"/>
      <c r="AWQ237" s="3297"/>
      <c r="AWR237" s="3297"/>
      <c r="AWS237" s="3297"/>
      <c r="AWT237" s="3297"/>
      <c r="AWU237" s="3297"/>
      <c r="AWV237" s="3297"/>
      <c r="AWW237" s="3297"/>
      <c r="AWX237" s="3297"/>
      <c r="AWY237" s="3297"/>
      <c r="AWZ237" s="3297"/>
      <c r="AXA237" s="3297"/>
      <c r="AXB237" s="3297"/>
      <c r="AXC237" s="3297"/>
      <c r="AXD237" s="3297"/>
      <c r="AXE237" s="3297"/>
      <c r="AXF237" s="3297"/>
      <c r="AXG237" s="3297"/>
      <c r="AXH237" s="3297"/>
      <c r="AXI237" s="3297"/>
      <c r="AXJ237" s="3297"/>
    </row>
    <row r="238" spans="1:1310" ht="20.100000000000001" customHeight="1">
      <c r="A238" s="468"/>
      <c r="B238" s="3193"/>
      <c r="C238" s="3193"/>
      <c r="D238" s="3193"/>
      <c r="E238" s="356"/>
      <c r="F238" s="356"/>
      <c r="G238" s="3193"/>
      <c r="H238" s="3193"/>
      <c r="I238" s="3193"/>
      <c r="J238" s="3193"/>
      <c r="K238" s="3193"/>
      <c r="L238" s="3193"/>
      <c r="M238" s="3193"/>
      <c r="N238" s="3193"/>
      <c r="O238" s="3193"/>
      <c r="P238" s="3193"/>
      <c r="Q238" s="3193"/>
    </row>
    <row r="239" spans="1:1310" ht="20.100000000000001" customHeight="1">
      <c r="A239" s="468"/>
      <c r="B239" s="6652" t="s">
        <v>551</v>
      </c>
      <c r="C239" s="6652"/>
      <c r="D239" s="6652"/>
      <c r="E239" s="3311" t="s">
        <v>550</v>
      </c>
      <c r="F239" s="3312"/>
      <c r="G239" s="3311" t="s">
        <v>549</v>
      </c>
      <c r="H239" s="3313"/>
      <c r="I239" s="3193"/>
      <c r="J239" s="3311" t="s">
        <v>548</v>
      </c>
      <c r="K239" s="3313"/>
      <c r="L239" s="3193"/>
      <c r="M239" s="3314" t="s">
        <v>547</v>
      </c>
      <c r="Q239" s="3193"/>
    </row>
    <row r="240" spans="1:1310" ht="20.100000000000001" customHeight="1">
      <c r="A240" s="468"/>
      <c r="B240" s="3193"/>
      <c r="C240" s="3193"/>
      <c r="D240" s="3193"/>
      <c r="E240" s="356"/>
      <c r="F240" s="356"/>
      <c r="G240" s="3193"/>
      <c r="H240" s="3193"/>
      <c r="I240" s="3193"/>
      <c r="J240" s="3193"/>
      <c r="K240" s="3193"/>
      <c r="L240" s="3193"/>
      <c r="M240" s="3193"/>
      <c r="N240" s="3193"/>
      <c r="O240" s="3193"/>
      <c r="P240" s="3193"/>
      <c r="Q240" s="3193"/>
    </row>
    <row r="241" spans="1:1310" s="3298" customFormat="1" ht="23.25" customHeight="1">
      <c r="A241" s="468"/>
      <c r="B241" s="3310"/>
      <c r="C241" s="3310"/>
      <c r="D241" s="3310"/>
      <c r="E241" s="3310"/>
      <c r="F241" s="3310"/>
      <c r="G241" s="3310"/>
      <c r="H241" s="3310"/>
      <c r="I241" s="3310"/>
      <c r="J241" s="3310"/>
      <c r="K241" s="3310"/>
      <c r="L241" s="3310"/>
      <c r="M241" s="3310"/>
      <c r="N241" s="3310"/>
      <c r="O241" s="3310"/>
      <c r="P241" s="3310"/>
      <c r="Q241" s="3310"/>
      <c r="R241" s="443"/>
      <c r="S241" s="443"/>
      <c r="T241" s="443"/>
      <c r="U241" s="443"/>
      <c r="V241" s="443"/>
      <c r="W241" s="443"/>
      <c r="X241" s="443"/>
      <c r="Y241" s="443"/>
      <c r="Z241" s="443"/>
      <c r="AA241" s="443"/>
      <c r="AB241" s="443"/>
      <c r="AC241" s="443"/>
      <c r="AD241" s="3297"/>
      <c r="AE241" s="3297"/>
      <c r="AF241" s="3297"/>
      <c r="AG241" s="3297"/>
      <c r="AH241" s="3297"/>
      <c r="AI241" s="3297"/>
      <c r="AJ241" s="3297"/>
      <c r="AK241" s="3297"/>
      <c r="AL241" s="3297"/>
      <c r="AM241" s="3297"/>
      <c r="AN241" s="3297"/>
      <c r="AO241" s="3297"/>
      <c r="AP241" s="3297"/>
      <c r="AQ241" s="3297"/>
      <c r="AR241" s="3297"/>
      <c r="AS241" s="3297"/>
      <c r="AT241" s="3297"/>
      <c r="AU241" s="3297"/>
      <c r="AV241" s="3297"/>
      <c r="AW241" s="3297"/>
      <c r="AX241" s="3297"/>
      <c r="AY241" s="3297"/>
      <c r="AZ241" s="3297"/>
      <c r="BA241" s="3297"/>
      <c r="BB241" s="3297"/>
      <c r="BC241" s="3297"/>
      <c r="BD241" s="3297"/>
      <c r="BE241" s="3297"/>
      <c r="BF241" s="3297"/>
      <c r="BG241" s="3297"/>
      <c r="BH241" s="3297"/>
      <c r="BI241" s="3297"/>
      <c r="BJ241" s="3297"/>
      <c r="BK241" s="3297"/>
      <c r="BL241" s="3297"/>
      <c r="BM241" s="3297"/>
      <c r="BN241" s="3297"/>
      <c r="BO241" s="3297"/>
      <c r="BP241" s="3297"/>
      <c r="BQ241" s="3297"/>
      <c r="BR241" s="3297"/>
      <c r="BS241" s="3297"/>
      <c r="BT241" s="3297"/>
      <c r="BU241" s="3297"/>
      <c r="BV241" s="3297"/>
      <c r="BW241" s="3297"/>
      <c r="BX241" s="3297"/>
      <c r="BY241" s="3297"/>
      <c r="BZ241" s="3297"/>
      <c r="CA241" s="3297"/>
      <c r="CB241" s="3297"/>
      <c r="CC241" s="3297"/>
      <c r="CD241" s="3297"/>
      <c r="CE241" s="3297"/>
      <c r="CF241" s="3297"/>
      <c r="CG241" s="3297"/>
      <c r="CH241" s="3297"/>
      <c r="CI241" s="3297"/>
      <c r="CJ241" s="3297"/>
      <c r="CK241" s="3297"/>
      <c r="CL241" s="3297"/>
      <c r="CM241" s="3297"/>
      <c r="CN241" s="3297"/>
      <c r="CO241" s="3297"/>
      <c r="CP241" s="3297"/>
      <c r="CQ241" s="3297"/>
      <c r="CR241" s="3297"/>
      <c r="CS241" s="3297"/>
      <c r="CT241" s="3297"/>
      <c r="CU241" s="3297"/>
      <c r="CV241" s="3297"/>
      <c r="CW241" s="3297"/>
      <c r="CX241" s="3297"/>
      <c r="CY241" s="3297"/>
      <c r="CZ241" s="3297"/>
      <c r="DA241" s="3297"/>
      <c r="DB241" s="3297"/>
      <c r="DC241" s="3297"/>
      <c r="DD241" s="3297"/>
      <c r="DE241" s="3297"/>
      <c r="DF241" s="3297"/>
      <c r="DG241" s="3297"/>
      <c r="DH241" s="3297"/>
      <c r="DI241" s="3297"/>
      <c r="DJ241" s="3297"/>
      <c r="DK241" s="3297"/>
      <c r="DL241" s="3297"/>
      <c r="DM241" s="3297"/>
      <c r="DN241" s="3297"/>
      <c r="DO241" s="3297"/>
      <c r="DP241" s="3297"/>
      <c r="DQ241" s="3297"/>
      <c r="DR241" s="3297"/>
      <c r="DS241" s="3297"/>
      <c r="DT241" s="3297"/>
      <c r="DU241" s="3297"/>
      <c r="DV241" s="3297"/>
      <c r="DW241" s="3297"/>
      <c r="DX241" s="3297"/>
      <c r="DY241" s="3297"/>
      <c r="DZ241" s="3297"/>
      <c r="EA241" s="3297"/>
      <c r="EB241" s="3297"/>
      <c r="EC241" s="3297"/>
      <c r="ED241" s="3297"/>
      <c r="EE241" s="3297"/>
      <c r="EF241" s="3297"/>
      <c r="EG241" s="3297"/>
      <c r="EH241" s="3297"/>
      <c r="EI241" s="3297"/>
      <c r="EJ241" s="3297"/>
      <c r="EK241" s="3297"/>
      <c r="EL241" s="3297"/>
      <c r="EM241" s="3297"/>
      <c r="EN241" s="3297"/>
      <c r="EO241" s="3297"/>
      <c r="EP241" s="3297"/>
      <c r="EQ241" s="3297"/>
      <c r="ER241" s="3297"/>
      <c r="ES241" s="3297"/>
      <c r="ET241" s="3297"/>
      <c r="EU241" s="3297"/>
      <c r="EV241" s="3297"/>
      <c r="EW241" s="3297"/>
      <c r="EX241" s="3297"/>
      <c r="EY241" s="3297"/>
      <c r="EZ241" s="3297"/>
      <c r="FA241" s="3297"/>
      <c r="FB241" s="3297"/>
      <c r="FC241" s="3297"/>
      <c r="FD241" s="3297"/>
      <c r="FE241" s="3297"/>
      <c r="FF241" s="3297"/>
      <c r="FG241" s="3297"/>
      <c r="FH241" s="3297"/>
      <c r="FI241" s="3297"/>
      <c r="FJ241" s="3297"/>
      <c r="FK241" s="3297"/>
      <c r="FL241" s="3297"/>
      <c r="FM241" s="3297"/>
      <c r="FN241" s="3297"/>
      <c r="FO241" s="3297"/>
      <c r="FP241" s="3297"/>
      <c r="FQ241" s="3297"/>
      <c r="FR241" s="3297"/>
      <c r="FS241" s="3297"/>
      <c r="FT241" s="3297"/>
      <c r="FU241" s="3297"/>
      <c r="FV241" s="3297"/>
      <c r="FW241" s="3297"/>
      <c r="FX241" s="3297"/>
      <c r="FY241" s="3297"/>
      <c r="FZ241" s="3297"/>
      <c r="GA241" s="3297"/>
      <c r="GB241" s="3297"/>
      <c r="GC241" s="3297"/>
      <c r="GD241" s="3297"/>
      <c r="GE241" s="3297"/>
      <c r="GF241" s="3297"/>
      <c r="GG241" s="3297"/>
      <c r="GH241" s="3297"/>
      <c r="GI241" s="3297"/>
      <c r="GJ241" s="3297"/>
      <c r="GK241" s="3297"/>
      <c r="GL241" s="3297"/>
      <c r="GM241" s="3297"/>
      <c r="GN241" s="3297"/>
      <c r="GO241" s="3297"/>
      <c r="GP241" s="3297"/>
      <c r="GQ241" s="3297"/>
      <c r="GR241" s="3297"/>
      <c r="GS241" s="3297"/>
      <c r="GT241" s="3297"/>
      <c r="GU241" s="3297"/>
      <c r="GV241" s="3297"/>
      <c r="GW241" s="3297"/>
      <c r="GX241" s="3297"/>
      <c r="GY241" s="3297"/>
      <c r="GZ241" s="3297"/>
      <c r="HA241" s="3297"/>
      <c r="HB241" s="3297"/>
      <c r="HC241" s="3297"/>
      <c r="HD241" s="3297"/>
      <c r="HE241" s="3297"/>
      <c r="HF241" s="3297"/>
      <c r="HG241" s="3297"/>
      <c r="HH241" s="3297"/>
      <c r="HI241" s="3297"/>
      <c r="HJ241" s="3297"/>
      <c r="HK241" s="3297"/>
      <c r="HL241" s="3297"/>
      <c r="HM241" s="3297"/>
      <c r="HN241" s="3297"/>
      <c r="HO241" s="3297"/>
      <c r="HP241" s="3297"/>
      <c r="HQ241" s="3297"/>
      <c r="HR241" s="3297"/>
      <c r="HS241" s="3297"/>
      <c r="HT241" s="3297"/>
      <c r="HU241" s="3297"/>
      <c r="HV241" s="3297"/>
      <c r="HW241" s="3297"/>
      <c r="HX241" s="3297"/>
      <c r="HY241" s="3297"/>
      <c r="HZ241" s="3297"/>
      <c r="IA241" s="3297"/>
      <c r="IB241" s="3297"/>
      <c r="IC241" s="3297"/>
      <c r="ID241" s="3297"/>
      <c r="IE241" s="3297"/>
      <c r="IF241" s="3297"/>
      <c r="IG241" s="3297"/>
      <c r="IH241" s="3297"/>
      <c r="II241" s="3297"/>
      <c r="IJ241" s="3297"/>
      <c r="IK241" s="3297"/>
      <c r="IL241" s="3297"/>
      <c r="IM241" s="3297"/>
      <c r="IN241" s="3297"/>
      <c r="IO241" s="3297"/>
      <c r="IP241" s="3297"/>
      <c r="IQ241" s="3297"/>
      <c r="IR241" s="3297"/>
      <c r="IS241" s="3297"/>
      <c r="IT241" s="3297"/>
      <c r="IU241" s="3297"/>
      <c r="IV241" s="3297"/>
      <c r="IW241" s="3297"/>
      <c r="IX241" s="3297"/>
      <c r="IY241" s="3297"/>
      <c r="IZ241" s="3297"/>
      <c r="JA241" s="3297"/>
      <c r="JB241" s="3297"/>
      <c r="JC241" s="3297"/>
      <c r="JD241" s="3297"/>
      <c r="JE241" s="3297"/>
      <c r="JF241" s="3297"/>
      <c r="JG241" s="3297"/>
      <c r="JH241" s="3297"/>
      <c r="JI241" s="3297"/>
      <c r="JJ241" s="3297"/>
      <c r="JK241" s="3297"/>
      <c r="JL241" s="3297"/>
      <c r="JM241" s="3297"/>
      <c r="JN241" s="3297"/>
      <c r="JO241" s="3297"/>
      <c r="JP241" s="3297"/>
      <c r="JQ241" s="3297"/>
      <c r="JR241" s="3297"/>
      <c r="JS241" s="3297"/>
      <c r="JT241" s="3297"/>
      <c r="JU241" s="3297"/>
      <c r="JV241" s="3297"/>
      <c r="JW241" s="3297"/>
      <c r="JX241" s="3297"/>
      <c r="JY241" s="3297"/>
      <c r="JZ241" s="3297"/>
      <c r="KA241" s="3297"/>
      <c r="KB241" s="3297"/>
      <c r="KC241" s="3297"/>
      <c r="KD241" s="3297"/>
      <c r="KE241" s="3297"/>
      <c r="KF241" s="3297"/>
      <c r="KG241" s="3297"/>
      <c r="KH241" s="3297"/>
      <c r="KI241" s="3297"/>
      <c r="KJ241" s="3297"/>
      <c r="KK241" s="3297"/>
      <c r="KL241" s="3297"/>
      <c r="KM241" s="3297"/>
      <c r="KN241" s="3297"/>
      <c r="KO241" s="3297"/>
      <c r="KP241" s="3297"/>
      <c r="KQ241" s="3297"/>
      <c r="KR241" s="3297"/>
      <c r="KS241" s="3297"/>
      <c r="KT241" s="3297"/>
      <c r="KU241" s="3297"/>
      <c r="KV241" s="3297"/>
      <c r="KW241" s="3297"/>
      <c r="KX241" s="3297"/>
      <c r="KY241" s="3297"/>
      <c r="KZ241" s="3297"/>
      <c r="LA241" s="3297"/>
      <c r="LB241" s="3297"/>
      <c r="LC241" s="3297"/>
      <c r="LD241" s="3297"/>
      <c r="LE241" s="3297"/>
      <c r="LF241" s="3297"/>
      <c r="LG241" s="3297"/>
      <c r="LH241" s="3297"/>
      <c r="LI241" s="3297"/>
      <c r="LJ241" s="3297"/>
      <c r="LK241" s="3297"/>
      <c r="LL241" s="3297"/>
      <c r="LM241" s="3297"/>
      <c r="LN241" s="3297"/>
      <c r="LO241" s="3297"/>
      <c r="LP241" s="3297"/>
      <c r="LQ241" s="3297"/>
      <c r="LR241" s="3297"/>
      <c r="LS241" s="3297"/>
      <c r="LT241" s="3297"/>
      <c r="LU241" s="3297"/>
      <c r="LV241" s="3297"/>
      <c r="LW241" s="3297"/>
      <c r="LX241" s="3297"/>
      <c r="LY241" s="3297"/>
      <c r="LZ241" s="3297"/>
      <c r="MA241" s="3297"/>
      <c r="MB241" s="3297"/>
      <c r="MC241" s="3297"/>
      <c r="MD241" s="3297"/>
      <c r="ME241" s="3297"/>
      <c r="MF241" s="3297"/>
      <c r="MG241" s="3297"/>
      <c r="MH241" s="3297"/>
      <c r="MI241" s="3297"/>
      <c r="MJ241" s="3297"/>
      <c r="MK241" s="3297"/>
      <c r="ML241" s="3297"/>
      <c r="MM241" s="3297"/>
      <c r="MN241" s="3297"/>
      <c r="MO241" s="3297"/>
      <c r="MP241" s="3297"/>
      <c r="MQ241" s="3297"/>
      <c r="MR241" s="3297"/>
      <c r="MS241" s="3297"/>
      <c r="MT241" s="3297"/>
      <c r="MU241" s="3297"/>
      <c r="MV241" s="3297"/>
      <c r="MW241" s="3297"/>
      <c r="MX241" s="3297"/>
      <c r="MY241" s="3297"/>
      <c r="MZ241" s="3297"/>
      <c r="NA241" s="3297"/>
      <c r="NB241" s="3297"/>
      <c r="NC241" s="3297"/>
      <c r="ND241" s="3297"/>
      <c r="NE241" s="3297"/>
      <c r="NF241" s="3297"/>
      <c r="NG241" s="3297"/>
      <c r="NH241" s="3297"/>
      <c r="NI241" s="3297"/>
      <c r="NJ241" s="3297"/>
      <c r="NK241" s="3297"/>
      <c r="NL241" s="3297"/>
      <c r="NM241" s="3297"/>
      <c r="NN241" s="3297"/>
      <c r="NO241" s="3297"/>
      <c r="NP241" s="3297"/>
      <c r="NQ241" s="3297"/>
      <c r="NR241" s="3297"/>
      <c r="NS241" s="3297"/>
      <c r="NT241" s="3297"/>
      <c r="NU241" s="3297"/>
      <c r="NV241" s="3297"/>
      <c r="NW241" s="3297"/>
      <c r="NX241" s="3297"/>
      <c r="NY241" s="3297"/>
      <c r="NZ241" s="3297"/>
      <c r="OA241" s="3297"/>
      <c r="OB241" s="3297"/>
      <c r="OC241" s="3297"/>
      <c r="OD241" s="3297"/>
      <c r="OE241" s="3297"/>
      <c r="OF241" s="3297"/>
      <c r="OG241" s="3297"/>
      <c r="OH241" s="3297"/>
      <c r="OI241" s="3297"/>
      <c r="OJ241" s="3297"/>
      <c r="OK241" s="3297"/>
      <c r="OL241" s="3297"/>
      <c r="OM241" s="3297"/>
      <c r="ON241" s="3297"/>
      <c r="OO241" s="3297"/>
      <c r="OP241" s="3297"/>
      <c r="OQ241" s="3297"/>
      <c r="OR241" s="3297"/>
      <c r="OS241" s="3297"/>
      <c r="OT241" s="3297"/>
      <c r="OU241" s="3297"/>
      <c r="OV241" s="3297"/>
      <c r="OW241" s="3297"/>
      <c r="OX241" s="3297"/>
      <c r="OY241" s="3297"/>
      <c r="OZ241" s="3297"/>
      <c r="PA241" s="3297"/>
      <c r="PB241" s="3297"/>
      <c r="PC241" s="3297"/>
      <c r="PD241" s="3297"/>
      <c r="PE241" s="3297"/>
      <c r="PF241" s="3297"/>
      <c r="PG241" s="3297"/>
      <c r="PH241" s="3297"/>
      <c r="PI241" s="3297"/>
      <c r="PJ241" s="3297"/>
      <c r="PK241" s="3297"/>
      <c r="PL241" s="3297"/>
      <c r="PM241" s="3297"/>
      <c r="PN241" s="3297"/>
      <c r="PO241" s="3297"/>
      <c r="PP241" s="3297"/>
      <c r="PQ241" s="3297"/>
      <c r="PR241" s="3297"/>
      <c r="PS241" s="3297"/>
      <c r="PT241" s="3297"/>
      <c r="PU241" s="3297"/>
      <c r="PV241" s="3297"/>
      <c r="PW241" s="3297"/>
      <c r="PX241" s="3297"/>
      <c r="PY241" s="3297"/>
      <c r="PZ241" s="3297"/>
      <c r="QA241" s="3297"/>
      <c r="QB241" s="3297"/>
      <c r="QC241" s="3297"/>
      <c r="QD241" s="3297"/>
      <c r="QE241" s="3297"/>
      <c r="QF241" s="3297"/>
      <c r="QG241" s="3297"/>
      <c r="QH241" s="3297"/>
      <c r="QI241" s="3297"/>
      <c r="QJ241" s="3297"/>
      <c r="QK241" s="3297"/>
      <c r="QL241" s="3297"/>
      <c r="QM241" s="3297"/>
      <c r="QN241" s="3297"/>
      <c r="QO241" s="3297"/>
      <c r="QP241" s="3297"/>
      <c r="QQ241" s="3297"/>
      <c r="QR241" s="3297"/>
      <c r="QS241" s="3297"/>
      <c r="QT241" s="3297"/>
      <c r="QU241" s="3297"/>
      <c r="QV241" s="3297"/>
      <c r="QW241" s="3297"/>
      <c r="QX241" s="3297"/>
      <c r="QY241" s="3297"/>
      <c r="QZ241" s="3297"/>
      <c r="RA241" s="3297"/>
      <c r="RB241" s="3297"/>
      <c r="RC241" s="3297"/>
      <c r="RD241" s="3297"/>
      <c r="RE241" s="3297"/>
      <c r="RF241" s="3297"/>
      <c r="RG241" s="3297"/>
      <c r="RH241" s="3297"/>
      <c r="RI241" s="3297"/>
      <c r="RJ241" s="3297"/>
      <c r="RK241" s="3297"/>
      <c r="RL241" s="3297"/>
      <c r="RM241" s="3297"/>
      <c r="RN241" s="3297"/>
      <c r="RO241" s="3297"/>
      <c r="RP241" s="3297"/>
      <c r="RQ241" s="3297"/>
      <c r="RR241" s="3297"/>
      <c r="RS241" s="3297"/>
      <c r="RT241" s="3297"/>
      <c r="RU241" s="3297"/>
      <c r="RV241" s="3297"/>
      <c r="RW241" s="3297"/>
      <c r="RX241" s="3297"/>
      <c r="RY241" s="3297"/>
      <c r="RZ241" s="3297"/>
      <c r="SA241" s="3297"/>
      <c r="SB241" s="3297"/>
      <c r="SC241" s="3297"/>
      <c r="SD241" s="3297"/>
      <c r="SE241" s="3297"/>
      <c r="SF241" s="3297"/>
      <c r="SG241" s="3297"/>
      <c r="SH241" s="3297"/>
      <c r="SI241" s="3297"/>
      <c r="SJ241" s="3297"/>
      <c r="SK241" s="3297"/>
      <c r="SL241" s="3297"/>
      <c r="SM241" s="3297"/>
      <c r="SN241" s="3297"/>
      <c r="SO241" s="3297"/>
      <c r="SP241" s="3297"/>
      <c r="SQ241" s="3297"/>
      <c r="SR241" s="3297"/>
      <c r="SS241" s="3297"/>
      <c r="ST241" s="3297"/>
      <c r="SU241" s="3297"/>
      <c r="SV241" s="3297"/>
      <c r="SW241" s="3297"/>
      <c r="SX241" s="3297"/>
      <c r="SY241" s="3297"/>
      <c r="SZ241" s="3297"/>
      <c r="TA241" s="3297"/>
      <c r="TB241" s="3297"/>
      <c r="TC241" s="3297"/>
      <c r="TD241" s="3297"/>
      <c r="TE241" s="3297"/>
      <c r="TF241" s="3297"/>
      <c r="TG241" s="3297"/>
      <c r="TH241" s="3297"/>
      <c r="TI241" s="3297"/>
      <c r="TJ241" s="3297"/>
      <c r="TK241" s="3297"/>
      <c r="TL241" s="3297"/>
      <c r="TM241" s="3297"/>
      <c r="TN241" s="3297"/>
      <c r="TO241" s="3297"/>
      <c r="TP241" s="3297"/>
      <c r="TQ241" s="3297"/>
      <c r="TR241" s="3297"/>
      <c r="TS241" s="3297"/>
      <c r="TT241" s="3297"/>
      <c r="TU241" s="3297"/>
      <c r="TV241" s="3297"/>
      <c r="TW241" s="3297"/>
      <c r="TX241" s="3297"/>
      <c r="TY241" s="3297"/>
      <c r="TZ241" s="3297"/>
      <c r="UA241" s="3297"/>
      <c r="UB241" s="3297"/>
      <c r="UC241" s="3297"/>
      <c r="UD241" s="3297"/>
      <c r="UE241" s="3297"/>
      <c r="UF241" s="3297"/>
      <c r="UG241" s="3297"/>
      <c r="UH241" s="3297"/>
      <c r="UI241" s="3297"/>
      <c r="UJ241" s="3297"/>
      <c r="UK241" s="3297"/>
      <c r="UL241" s="3297"/>
      <c r="UM241" s="3297"/>
      <c r="UN241" s="3297"/>
      <c r="UO241" s="3297"/>
      <c r="UP241" s="3297"/>
      <c r="UQ241" s="3297"/>
      <c r="UR241" s="3297"/>
      <c r="US241" s="3297"/>
      <c r="UT241" s="3297"/>
      <c r="UU241" s="3297"/>
      <c r="UV241" s="3297"/>
      <c r="UW241" s="3297"/>
      <c r="UX241" s="3297"/>
      <c r="UY241" s="3297"/>
      <c r="UZ241" s="3297"/>
      <c r="VA241" s="3297"/>
      <c r="VB241" s="3297"/>
      <c r="VC241" s="3297"/>
      <c r="VD241" s="3297"/>
      <c r="VE241" s="3297"/>
      <c r="VF241" s="3297"/>
      <c r="VG241" s="3297"/>
      <c r="VH241" s="3297"/>
      <c r="VI241" s="3297"/>
      <c r="VJ241" s="3297"/>
      <c r="VK241" s="3297"/>
      <c r="VL241" s="3297"/>
      <c r="VM241" s="3297"/>
      <c r="VN241" s="3297"/>
      <c r="VO241" s="3297"/>
      <c r="VP241" s="3297"/>
      <c r="VQ241" s="3297"/>
      <c r="VR241" s="3297"/>
      <c r="VS241" s="3297"/>
      <c r="VT241" s="3297"/>
      <c r="VU241" s="3297"/>
      <c r="VV241" s="3297"/>
      <c r="VW241" s="3297"/>
      <c r="VX241" s="3297"/>
      <c r="VY241" s="3297"/>
      <c r="VZ241" s="3297"/>
      <c r="WA241" s="3297"/>
      <c r="WB241" s="3297"/>
      <c r="WC241" s="3297"/>
      <c r="WD241" s="3297"/>
      <c r="WE241" s="3297"/>
      <c r="WF241" s="3297"/>
      <c r="WG241" s="3297"/>
      <c r="WH241" s="3297"/>
      <c r="WI241" s="3297"/>
      <c r="WJ241" s="3297"/>
      <c r="WK241" s="3297"/>
      <c r="WL241" s="3297"/>
      <c r="WM241" s="3297"/>
      <c r="WN241" s="3297"/>
      <c r="WO241" s="3297"/>
      <c r="WP241" s="3297"/>
      <c r="WQ241" s="3297"/>
      <c r="WR241" s="3297"/>
      <c r="WS241" s="3297"/>
      <c r="WT241" s="3297"/>
      <c r="WU241" s="3297"/>
      <c r="WV241" s="3297"/>
      <c r="WW241" s="3297"/>
      <c r="WX241" s="3297"/>
      <c r="WY241" s="3297"/>
      <c r="WZ241" s="3297"/>
      <c r="XA241" s="3297"/>
      <c r="XB241" s="3297"/>
      <c r="XC241" s="3297"/>
      <c r="XD241" s="3297"/>
      <c r="XE241" s="3297"/>
      <c r="XF241" s="3297"/>
      <c r="XG241" s="3297"/>
      <c r="XH241" s="3297"/>
      <c r="XI241" s="3297"/>
      <c r="XJ241" s="3297"/>
      <c r="XK241" s="3297"/>
      <c r="XL241" s="3297"/>
      <c r="XM241" s="3297"/>
      <c r="XN241" s="3297"/>
      <c r="XO241" s="3297"/>
      <c r="XP241" s="3297"/>
      <c r="XQ241" s="3297"/>
      <c r="XR241" s="3297"/>
      <c r="XS241" s="3297"/>
      <c r="XT241" s="3297"/>
      <c r="XU241" s="3297"/>
      <c r="XV241" s="3297"/>
      <c r="XW241" s="3297"/>
      <c r="XX241" s="3297"/>
      <c r="XY241" s="3297"/>
      <c r="XZ241" s="3297"/>
      <c r="YA241" s="3297"/>
      <c r="YB241" s="3297"/>
      <c r="YC241" s="3297"/>
      <c r="YD241" s="3297"/>
      <c r="YE241" s="3297"/>
      <c r="YF241" s="3297"/>
      <c r="YG241" s="3297"/>
      <c r="YH241" s="3297"/>
      <c r="YI241" s="3297"/>
      <c r="YJ241" s="3297"/>
      <c r="YK241" s="3297"/>
      <c r="YL241" s="3297"/>
      <c r="YM241" s="3297"/>
      <c r="YN241" s="3297"/>
      <c r="YO241" s="3297"/>
      <c r="YP241" s="3297"/>
      <c r="YQ241" s="3297"/>
      <c r="YR241" s="3297"/>
      <c r="YS241" s="3297"/>
      <c r="YT241" s="3297"/>
      <c r="YU241" s="3297"/>
      <c r="YV241" s="3297"/>
      <c r="YW241" s="3297"/>
      <c r="YX241" s="3297"/>
      <c r="YY241" s="3297"/>
      <c r="YZ241" s="3297"/>
      <c r="ZA241" s="3297"/>
      <c r="ZB241" s="3297"/>
      <c r="ZC241" s="3297"/>
      <c r="ZD241" s="3297"/>
      <c r="ZE241" s="3297"/>
      <c r="ZF241" s="3297"/>
      <c r="ZG241" s="3297"/>
      <c r="ZH241" s="3297"/>
      <c r="ZI241" s="3297"/>
      <c r="ZJ241" s="3297"/>
      <c r="ZK241" s="3297"/>
      <c r="ZL241" s="3297"/>
      <c r="ZM241" s="3297"/>
      <c r="ZN241" s="3297"/>
      <c r="ZO241" s="3297"/>
      <c r="ZP241" s="3297"/>
      <c r="ZQ241" s="3297"/>
      <c r="ZR241" s="3297"/>
      <c r="ZS241" s="3297"/>
      <c r="ZT241" s="3297"/>
      <c r="ZU241" s="3297"/>
      <c r="ZV241" s="3297"/>
      <c r="ZW241" s="3297"/>
      <c r="ZX241" s="3297"/>
      <c r="ZY241" s="3297"/>
      <c r="ZZ241" s="3297"/>
      <c r="AAA241" s="3297"/>
      <c r="AAB241" s="3297"/>
      <c r="AAC241" s="3297"/>
      <c r="AAD241" s="3297"/>
      <c r="AAE241" s="3297"/>
      <c r="AAF241" s="3297"/>
      <c r="AAG241" s="3297"/>
      <c r="AAH241" s="3297"/>
      <c r="AAI241" s="3297"/>
      <c r="AAJ241" s="3297"/>
      <c r="AAK241" s="3297"/>
      <c r="AAL241" s="3297"/>
      <c r="AAM241" s="3297"/>
      <c r="AAN241" s="3297"/>
      <c r="AAO241" s="3297"/>
      <c r="AAP241" s="3297"/>
      <c r="AAQ241" s="3297"/>
      <c r="AAR241" s="3297"/>
      <c r="AAS241" s="3297"/>
      <c r="AAT241" s="3297"/>
      <c r="AAU241" s="3297"/>
      <c r="AAV241" s="3297"/>
      <c r="AAW241" s="3297"/>
      <c r="AAX241" s="3297"/>
      <c r="AAY241" s="3297"/>
      <c r="AAZ241" s="3297"/>
      <c r="ABA241" s="3297"/>
      <c r="ABB241" s="3297"/>
      <c r="ABC241" s="3297"/>
      <c r="ABD241" s="3297"/>
      <c r="ABE241" s="3297"/>
      <c r="ABF241" s="3297"/>
      <c r="ABG241" s="3297"/>
      <c r="ABH241" s="3297"/>
      <c r="ABI241" s="3297"/>
      <c r="ABJ241" s="3297"/>
      <c r="ABK241" s="3297"/>
      <c r="ABL241" s="3297"/>
      <c r="ABM241" s="3297"/>
      <c r="ABN241" s="3297"/>
      <c r="ABO241" s="3297"/>
      <c r="ABP241" s="3297"/>
      <c r="ABQ241" s="3297"/>
      <c r="ABR241" s="3297"/>
      <c r="ABS241" s="3297"/>
      <c r="ABT241" s="3297"/>
      <c r="ABU241" s="3297"/>
      <c r="ABV241" s="3297"/>
      <c r="ABW241" s="3297"/>
      <c r="ABX241" s="3297"/>
      <c r="ABY241" s="3297"/>
      <c r="ABZ241" s="3297"/>
      <c r="ACA241" s="3297"/>
      <c r="ACB241" s="3297"/>
      <c r="ACC241" s="3297"/>
      <c r="ACD241" s="3297"/>
      <c r="ACE241" s="3297"/>
      <c r="ACF241" s="3297"/>
      <c r="ACG241" s="3297"/>
      <c r="ACH241" s="3297"/>
      <c r="ACI241" s="3297"/>
      <c r="ACJ241" s="3297"/>
      <c r="ACK241" s="3297"/>
      <c r="ACL241" s="3297"/>
      <c r="ACM241" s="3297"/>
      <c r="ACN241" s="3297"/>
      <c r="ACO241" s="3297"/>
      <c r="ACP241" s="3297"/>
      <c r="ACQ241" s="3297"/>
      <c r="ACR241" s="3297"/>
      <c r="ACS241" s="3297"/>
      <c r="ACT241" s="3297"/>
      <c r="ACU241" s="3297"/>
      <c r="ACV241" s="3297"/>
      <c r="ACW241" s="3297"/>
      <c r="ACX241" s="3297"/>
      <c r="ACY241" s="3297"/>
      <c r="ACZ241" s="3297"/>
      <c r="ADA241" s="3297"/>
      <c r="ADB241" s="3297"/>
      <c r="ADC241" s="3297"/>
      <c r="ADD241" s="3297"/>
      <c r="ADE241" s="3297"/>
      <c r="ADF241" s="3297"/>
      <c r="ADG241" s="3297"/>
      <c r="ADH241" s="3297"/>
      <c r="ADI241" s="3297"/>
      <c r="ADJ241" s="3297"/>
      <c r="ADK241" s="3297"/>
      <c r="ADL241" s="3297"/>
      <c r="ADM241" s="3297"/>
      <c r="ADN241" s="3297"/>
      <c r="ADO241" s="3297"/>
      <c r="ADP241" s="3297"/>
      <c r="ADQ241" s="3297"/>
      <c r="ADR241" s="3297"/>
      <c r="ADS241" s="3297"/>
      <c r="ADT241" s="3297"/>
      <c r="ADU241" s="3297"/>
      <c r="ADV241" s="3297"/>
      <c r="ADW241" s="3297"/>
      <c r="ADX241" s="3297"/>
      <c r="ADY241" s="3297"/>
      <c r="ADZ241" s="3297"/>
      <c r="AEA241" s="3297"/>
      <c r="AEB241" s="3297"/>
      <c r="AEC241" s="3297"/>
      <c r="AED241" s="3297"/>
      <c r="AEE241" s="3297"/>
      <c r="AEF241" s="3297"/>
      <c r="AEG241" s="3297"/>
      <c r="AEH241" s="3297"/>
      <c r="AEI241" s="3297"/>
      <c r="AEJ241" s="3297"/>
      <c r="AEK241" s="3297"/>
      <c r="AEL241" s="3297"/>
      <c r="AEM241" s="3297"/>
      <c r="AEN241" s="3297"/>
      <c r="AEO241" s="3297"/>
      <c r="AEP241" s="3297"/>
      <c r="AEQ241" s="3297"/>
      <c r="AER241" s="3297"/>
      <c r="AES241" s="3297"/>
      <c r="AET241" s="3297"/>
      <c r="AEU241" s="3297"/>
      <c r="AEV241" s="3297"/>
      <c r="AEW241" s="3297"/>
      <c r="AEX241" s="3297"/>
      <c r="AEY241" s="3297"/>
      <c r="AEZ241" s="3297"/>
      <c r="AFA241" s="3297"/>
      <c r="AFB241" s="3297"/>
      <c r="AFC241" s="3297"/>
      <c r="AFD241" s="3297"/>
      <c r="AFE241" s="3297"/>
      <c r="AFF241" s="3297"/>
      <c r="AFG241" s="3297"/>
      <c r="AFH241" s="3297"/>
      <c r="AFI241" s="3297"/>
      <c r="AFJ241" s="3297"/>
      <c r="AFK241" s="3297"/>
      <c r="AFL241" s="3297"/>
      <c r="AFM241" s="3297"/>
      <c r="AFN241" s="3297"/>
      <c r="AFO241" s="3297"/>
      <c r="AFP241" s="3297"/>
      <c r="AFQ241" s="3297"/>
      <c r="AFR241" s="3297"/>
      <c r="AFS241" s="3297"/>
      <c r="AFT241" s="3297"/>
      <c r="AFU241" s="3297"/>
      <c r="AFV241" s="3297"/>
      <c r="AFW241" s="3297"/>
      <c r="AFX241" s="3297"/>
      <c r="AFY241" s="3297"/>
      <c r="AFZ241" s="3297"/>
      <c r="AGA241" s="3297"/>
      <c r="AGB241" s="3297"/>
      <c r="AGC241" s="3297"/>
      <c r="AGD241" s="3297"/>
      <c r="AGE241" s="3297"/>
      <c r="AGF241" s="3297"/>
      <c r="AGG241" s="3297"/>
      <c r="AGH241" s="3297"/>
      <c r="AGI241" s="3297"/>
      <c r="AGJ241" s="3297"/>
      <c r="AGK241" s="3297"/>
      <c r="AGL241" s="3297"/>
      <c r="AGM241" s="3297"/>
      <c r="AGN241" s="3297"/>
      <c r="AGO241" s="3297"/>
      <c r="AGP241" s="3297"/>
      <c r="AGQ241" s="3297"/>
      <c r="AGR241" s="3297"/>
      <c r="AGS241" s="3297"/>
      <c r="AGT241" s="3297"/>
      <c r="AGU241" s="3297"/>
      <c r="AGV241" s="3297"/>
      <c r="AGW241" s="3297"/>
      <c r="AGX241" s="3297"/>
      <c r="AGY241" s="3297"/>
      <c r="AGZ241" s="3297"/>
      <c r="AHA241" s="3297"/>
      <c r="AHB241" s="3297"/>
      <c r="AHC241" s="3297"/>
      <c r="AHD241" s="3297"/>
      <c r="AHE241" s="3297"/>
      <c r="AHF241" s="3297"/>
      <c r="AHG241" s="3297"/>
      <c r="AHH241" s="3297"/>
      <c r="AHI241" s="3297"/>
      <c r="AHJ241" s="3297"/>
      <c r="AHK241" s="3297"/>
      <c r="AHL241" s="3297"/>
      <c r="AHM241" s="3297"/>
      <c r="AHN241" s="3297"/>
      <c r="AHO241" s="3297"/>
      <c r="AHP241" s="3297"/>
      <c r="AHQ241" s="3297"/>
      <c r="AHR241" s="3297"/>
      <c r="AHS241" s="3297"/>
      <c r="AHT241" s="3297"/>
      <c r="AHU241" s="3297"/>
      <c r="AHV241" s="3297"/>
      <c r="AHW241" s="3297"/>
      <c r="AHX241" s="3297"/>
      <c r="AHY241" s="3297"/>
      <c r="AHZ241" s="3297"/>
      <c r="AIA241" s="3297"/>
      <c r="AIB241" s="3297"/>
      <c r="AIC241" s="3297"/>
      <c r="AID241" s="3297"/>
      <c r="AIE241" s="3297"/>
      <c r="AIF241" s="3297"/>
      <c r="AIG241" s="3297"/>
      <c r="AIH241" s="3297"/>
      <c r="AII241" s="3297"/>
      <c r="AIJ241" s="3297"/>
      <c r="AIK241" s="3297"/>
      <c r="AIL241" s="3297"/>
      <c r="AIM241" s="3297"/>
      <c r="AIN241" s="3297"/>
      <c r="AIO241" s="3297"/>
      <c r="AIP241" s="3297"/>
      <c r="AIQ241" s="3297"/>
      <c r="AIR241" s="3297"/>
      <c r="AIS241" s="3297"/>
      <c r="AIT241" s="3297"/>
      <c r="AIU241" s="3297"/>
      <c r="AIV241" s="3297"/>
      <c r="AIW241" s="3297"/>
      <c r="AIX241" s="3297"/>
      <c r="AIY241" s="3297"/>
      <c r="AIZ241" s="3297"/>
      <c r="AJA241" s="3297"/>
      <c r="AJB241" s="3297"/>
      <c r="AJC241" s="3297"/>
      <c r="AJD241" s="3297"/>
      <c r="AJE241" s="3297"/>
      <c r="AJF241" s="3297"/>
      <c r="AJG241" s="3297"/>
      <c r="AJH241" s="3297"/>
      <c r="AJI241" s="3297"/>
      <c r="AJJ241" s="3297"/>
      <c r="AJK241" s="3297"/>
      <c r="AJL241" s="3297"/>
      <c r="AJM241" s="3297"/>
      <c r="AJN241" s="3297"/>
      <c r="AJO241" s="3297"/>
      <c r="AJP241" s="3297"/>
      <c r="AJQ241" s="3297"/>
      <c r="AJR241" s="3297"/>
      <c r="AJS241" s="3297"/>
      <c r="AJT241" s="3297"/>
      <c r="AJU241" s="3297"/>
      <c r="AJV241" s="3297"/>
      <c r="AJW241" s="3297"/>
      <c r="AJX241" s="3297"/>
      <c r="AJY241" s="3297"/>
      <c r="AJZ241" s="3297"/>
      <c r="AKA241" s="3297"/>
      <c r="AKB241" s="3297"/>
      <c r="AKC241" s="3297"/>
      <c r="AKD241" s="3297"/>
      <c r="AKE241" s="3297"/>
      <c r="AKF241" s="3297"/>
      <c r="AKG241" s="3297"/>
      <c r="AKH241" s="3297"/>
      <c r="AKI241" s="3297"/>
      <c r="AKJ241" s="3297"/>
      <c r="AKK241" s="3297"/>
      <c r="AKL241" s="3297"/>
      <c r="AKM241" s="3297"/>
      <c r="AKN241" s="3297"/>
      <c r="AKO241" s="3297"/>
      <c r="AKP241" s="3297"/>
      <c r="AKQ241" s="3297"/>
      <c r="AKR241" s="3297"/>
      <c r="AKS241" s="3297"/>
      <c r="AKT241" s="3297"/>
      <c r="AKU241" s="3297"/>
      <c r="AKV241" s="3297"/>
      <c r="AKW241" s="3297"/>
      <c r="AKX241" s="3297"/>
      <c r="AKY241" s="3297"/>
      <c r="AKZ241" s="3297"/>
      <c r="ALA241" s="3297"/>
      <c r="ALB241" s="3297"/>
      <c r="ALC241" s="3297"/>
      <c r="ALD241" s="3297"/>
      <c r="ALE241" s="3297"/>
      <c r="ALF241" s="3297"/>
      <c r="ALG241" s="3297"/>
      <c r="ALH241" s="3297"/>
      <c r="ALI241" s="3297"/>
      <c r="ALJ241" s="3297"/>
      <c r="ALK241" s="3297"/>
      <c r="ALL241" s="3297"/>
      <c r="ALM241" s="3297"/>
      <c r="ALN241" s="3297"/>
      <c r="ALO241" s="3297"/>
      <c r="ALP241" s="3297"/>
      <c r="ALQ241" s="3297"/>
      <c r="ALR241" s="3297"/>
      <c r="ALS241" s="3297"/>
      <c r="ALT241" s="3297"/>
      <c r="ALU241" s="3297"/>
      <c r="ALV241" s="3297"/>
      <c r="ALW241" s="3297"/>
      <c r="ALX241" s="3297"/>
      <c r="ALY241" s="3297"/>
      <c r="ALZ241" s="3297"/>
      <c r="AMA241" s="3297"/>
      <c r="AMB241" s="3297"/>
      <c r="AMC241" s="3297"/>
      <c r="AMD241" s="3297"/>
      <c r="AME241" s="3297"/>
      <c r="AMF241" s="3297"/>
      <c r="AMG241" s="3297"/>
      <c r="AMH241" s="3297"/>
      <c r="AMI241" s="3297"/>
      <c r="AMJ241" s="3297"/>
      <c r="AMK241" s="3297"/>
      <c r="AML241" s="3297"/>
      <c r="AMM241" s="3297"/>
      <c r="AMN241" s="3297"/>
      <c r="AMO241" s="3297"/>
      <c r="AMP241" s="3297"/>
      <c r="AMQ241" s="3297"/>
      <c r="AMR241" s="3297"/>
      <c r="AMS241" s="3297"/>
      <c r="AMT241" s="3297"/>
      <c r="AMU241" s="3297"/>
      <c r="AMV241" s="3297"/>
      <c r="AMW241" s="3297"/>
      <c r="AMX241" s="3297"/>
      <c r="AMY241" s="3297"/>
      <c r="AMZ241" s="3297"/>
      <c r="ANA241" s="3297"/>
      <c r="ANB241" s="3297"/>
      <c r="ANC241" s="3297"/>
      <c r="AND241" s="3297"/>
      <c r="ANE241" s="3297"/>
      <c r="ANF241" s="3297"/>
      <c r="ANG241" s="3297"/>
      <c r="ANH241" s="3297"/>
      <c r="ANI241" s="3297"/>
      <c r="ANJ241" s="3297"/>
      <c r="ANK241" s="3297"/>
      <c r="ANL241" s="3297"/>
      <c r="ANM241" s="3297"/>
      <c r="ANN241" s="3297"/>
      <c r="ANO241" s="3297"/>
      <c r="ANP241" s="3297"/>
      <c r="ANQ241" s="3297"/>
      <c r="ANR241" s="3297"/>
      <c r="ANS241" s="3297"/>
      <c r="ANT241" s="3297"/>
      <c r="ANU241" s="3297"/>
      <c r="ANV241" s="3297"/>
      <c r="ANW241" s="3297"/>
      <c r="ANX241" s="3297"/>
      <c r="ANY241" s="3297"/>
      <c r="ANZ241" s="3297"/>
      <c r="AOA241" s="3297"/>
      <c r="AOB241" s="3297"/>
      <c r="AOC241" s="3297"/>
      <c r="AOD241" s="3297"/>
      <c r="AOE241" s="3297"/>
      <c r="AOF241" s="3297"/>
      <c r="AOG241" s="3297"/>
      <c r="AOH241" s="3297"/>
      <c r="AOI241" s="3297"/>
      <c r="AOJ241" s="3297"/>
      <c r="AOK241" s="3297"/>
      <c r="AOL241" s="3297"/>
      <c r="AOM241" s="3297"/>
      <c r="AON241" s="3297"/>
      <c r="AOO241" s="3297"/>
      <c r="AOP241" s="3297"/>
      <c r="AOQ241" s="3297"/>
      <c r="AOR241" s="3297"/>
      <c r="AOS241" s="3297"/>
      <c r="AOT241" s="3297"/>
      <c r="AOU241" s="3297"/>
      <c r="AOV241" s="3297"/>
      <c r="AOW241" s="3297"/>
      <c r="AOX241" s="3297"/>
      <c r="AOY241" s="3297"/>
      <c r="AOZ241" s="3297"/>
      <c r="APA241" s="3297"/>
      <c r="APB241" s="3297"/>
      <c r="APC241" s="3297"/>
      <c r="APD241" s="3297"/>
      <c r="APE241" s="3297"/>
      <c r="APF241" s="3297"/>
      <c r="APG241" s="3297"/>
      <c r="APH241" s="3297"/>
      <c r="API241" s="3297"/>
      <c r="APJ241" s="3297"/>
      <c r="APK241" s="3297"/>
      <c r="APL241" s="3297"/>
      <c r="APM241" s="3297"/>
      <c r="APN241" s="3297"/>
      <c r="APO241" s="3297"/>
      <c r="APP241" s="3297"/>
      <c r="APQ241" s="3297"/>
      <c r="APR241" s="3297"/>
      <c r="APS241" s="3297"/>
      <c r="APT241" s="3297"/>
      <c r="APU241" s="3297"/>
      <c r="APV241" s="3297"/>
      <c r="APW241" s="3297"/>
      <c r="APX241" s="3297"/>
      <c r="APY241" s="3297"/>
      <c r="APZ241" s="3297"/>
      <c r="AQA241" s="3297"/>
      <c r="AQB241" s="3297"/>
      <c r="AQC241" s="3297"/>
      <c r="AQD241" s="3297"/>
      <c r="AQE241" s="3297"/>
      <c r="AQF241" s="3297"/>
      <c r="AQG241" s="3297"/>
      <c r="AQH241" s="3297"/>
      <c r="AQI241" s="3297"/>
      <c r="AQJ241" s="3297"/>
      <c r="AQK241" s="3297"/>
      <c r="AQL241" s="3297"/>
      <c r="AQM241" s="3297"/>
      <c r="AQN241" s="3297"/>
      <c r="AQO241" s="3297"/>
      <c r="AQP241" s="3297"/>
      <c r="AQQ241" s="3297"/>
      <c r="AQR241" s="3297"/>
      <c r="AQS241" s="3297"/>
      <c r="AQT241" s="3297"/>
      <c r="AQU241" s="3297"/>
      <c r="AQV241" s="3297"/>
      <c r="AQW241" s="3297"/>
      <c r="AQX241" s="3297"/>
      <c r="AQY241" s="3297"/>
      <c r="AQZ241" s="3297"/>
      <c r="ARA241" s="3297"/>
      <c r="ARB241" s="3297"/>
      <c r="ARC241" s="3297"/>
      <c r="ARD241" s="3297"/>
      <c r="ARE241" s="3297"/>
      <c r="ARF241" s="3297"/>
      <c r="ARG241" s="3297"/>
      <c r="ARH241" s="3297"/>
      <c r="ARI241" s="3297"/>
      <c r="ARJ241" s="3297"/>
      <c r="ARK241" s="3297"/>
      <c r="ARL241" s="3297"/>
      <c r="ARM241" s="3297"/>
      <c r="ARN241" s="3297"/>
      <c r="ARO241" s="3297"/>
      <c r="ARP241" s="3297"/>
      <c r="ARQ241" s="3297"/>
      <c r="ARR241" s="3297"/>
      <c r="ARS241" s="3297"/>
      <c r="ART241" s="3297"/>
      <c r="ARU241" s="3297"/>
      <c r="ARV241" s="3297"/>
      <c r="ARW241" s="3297"/>
      <c r="ARX241" s="3297"/>
      <c r="ARY241" s="3297"/>
      <c r="ARZ241" s="3297"/>
      <c r="ASA241" s="3297"/>
      <c r="ASB241" s="3297"/>
      <c r="ASC241" s="3297"/>
      <c r="ASD241" s="3297"/>
      <c r="ASE241" s="3297"/>
      <c r="ASF241" s="3297"/>
      <c r="ASG241" s="3297"/>
      <c r="ASH241" s="3297"/>
      <c r="ASI241" s="3297"/>
      <c r="ASJ241" s="3297"/>
      <c r="ASK241" s="3297"/>
      <c r="ASL241" s="3297"/>
      <c r="ASM241" s="3297"/>
      <c r="ASN241" s="3297"/>
      <c r="ASO241" s="3297"/>
      <c r="ASP241" s="3297"/>
      <c r="ASQ241" s="3297"/>
      <c r="ASR241" s="3297"/>
      <c r="ASS241" s="3297"/>
      <c r="AST241" s="3297"/>
      <c r="ASU241" s="3297"/>
      <c r="ASV241" s="3297"/>
      <c r="ASW241" s="3297"/>
      <c r="ASX241" s="3297"/>
      <c r="ASY241" s="3297"/>
      <c r="ASZ241" s="3297"/>
      <c r="ATA241" s="3297"/>
      <c r="ATB241" s="3297"/>
      <c r="ATC241" s="3297"/>
      <c r="ATD241" s="3297"/>
      <c r="ATE241" s="3297"/>
      <c r="ATF241" s="3297"/>
      <c r="ATG241" s="3297"/>
      <c r="ATH241" s="3297"/>
      <c r="ATI241" s="3297"/>
      <c r="ATJ241" s="3297"/>
      <c r="ATK241" s="3297"/>
      <c r="ATL241" s="3297"/>
      <c r="ATM241" s="3297"/>
      <c r="ATN241" s="3297"/>
      <c r="ATO241" s="3297"/>
      <c r="ATP241" s="3297"/>
      <c r="ATQ241" s="3297"/>
      <c r="ATR241" s="3297"/>
      <c r="ATS241" s="3297"/>
      <c r="ATT241" s="3297"/>
      <c r="ATU241" s="3297"/>
      <c r="ATV241" s="3297"/>
      <c r="ATW241" s="3297"/>
      <c r="ATX241" s="3297"/>
      <c r="ATY241" s="3297"/>
      <c r="ATZ241" s="3297"/>
      <c r="AUA241" s="3297"/>
      <c r="AUB241" s="3297"/>
      <c r="AUC241" s="3297"/>
      <c r="AUD241" s="3297"/>
      <c r="AUE241" s="3297"/>
      <c r="AUF241" s="3297"/>
      <c r="AUG241" s="3297"/>
      <c r="AUH241" s="3297"/>
      <c r="AUI241" s="3297"/>
      <c r="AUJ241" s="3297"/>
      <c r="AUK241" s="3297"/>
      <c r="AUL241" s="3297"/>
      <c r="AUM241" s="3297"/>
      <c r="AUN241" s="3297"/>
      <c r="AUO241" s="3297"/>
      <c r="AUP241" s="3297"/>
      <c r="AUQ241" s="3297"/>
      <c r="AUR241" s="3297"/>
      <c r="AUS241" s="3297"/>
      <c r="AUT241" s="3297"/>
      <c r="AUU241" s="3297"/>
      <c r="AUV241" s="3297"/>
      <c r="AUW241" s="3297"/>
      <c r="AUX241" s="3297"/>
      <c r="AUY241" s="3297"/>
      <c r="AUZ241" s="3297"/>
      <c r="AVA241" s="3297"/>
      <c r="AVB241" s="3297"/>
      <c r="AVC241" s="3297"/>
      <c r="AVD241" s="3297"/>
      <c r="AVE241" s="3297"/>
      <c r="AVF241" s="3297"/>
      <c r="AVG241" s="3297"/>
      <c r="AVH241" s="3297"/>
      <c r="AVI241" s="3297"/>
      <c r="AVJ241" s="3297"/>
      <c r="AVK241" s="3297"/>
      <c r="AVL241" s="3297"/>
      <c r="AVM241" s="3297"/>
      <c r="AVN241" s="3297"/>
      <c r="AVO241" s="3297"/>
      <c r="AVP241" s="3297"/>
      <c r="AVQ241" s="3297"/>
      <c r="AVR241" s="3297"/>
      <c r="AVS241" s="3297"/>
      <c r="AVT241" s="3297"/>
      <c r="AVU241" s="3297"/>
      <c r="AVV241" s="3297"/>
      <c r="AVW241" s="3297"/>
      <c r="AVX241" s="3297"/>
      <c r="AVY241" s="3297"/>
      <c r="AVZ241" s="3297"/>
      <c r="AWA241" s="3297"/>
      <c r="AWB241" s="3297"/>
      <c r="AWC241" s="3297"/>
      <c r="AWD241" s="3297"/>
      <c r="AWE241" s="3297"/>
      <c r="AWF241" s="3297"/>
      <c r="AWG241" s="3297"/>
      <c r="AWH241" s="3297"/>
      <c r="AWI241" s="3297"/>
      <c r="AWJ241" s="3297"/>
      <c r="AWK241" s="3297"/>
      <c r="AWL241" s="3297"/>
      <c r="AWM241" s="3297"/>
      <c r="AWN241" s="3297"/>
      <c r="AWO241" s="3297"/>
      <c r="AWP241" s="3297"/>
      <c r="AWQ241" s="3297"/>
      <c r="AWR241" s="3297"/>
      <c r="AWS241" s="3297"/>
      <c r="AWT241" s="3297"/>
      <c r="AWU241" s="3297"/>
      <c r="AWV241" s="3297"/>
      <c r="AWW241" s="3297"/>
      <c r="AWX241" s="3297"/>
      <c r="AWY241" s="3297"/>
      <c r="AWZ241" s="3297"/>
      <c r="AXA241" s="3297"/>
      <c r="AXB241" s="3297"/>
      <c r="AXC241" s="3297"/>
      <c r="AXD241" s="3297"/>
      <c r="AXE241" s="3297"/>
      <c r="AXF241" s="3297"/>
      <c r="AXG241" s="3297"/>
      <c r="AXH241" s="3297"/>
      <c r="AXI241" s="3297"/>
      <c r="AXJ241" s="3297"/>
    </row>
    <row r="242" spans="1:1310" ht="20.100000000000001" customHeight="1" thickBot="1">
      <c r="B242" s="3193"/>
      <c r="C242" s="3193"/>
      <c r="D242" s="3193"/>
      <c r="E242" s="356"/>
      <c r="F242" s="356"/>
      <c r="G242" s="3193"/>
      <c r="H242" s="3193"/>
      <c r="I242" s="3193"/>
      <c r="J242" s="3193"/>
      <c r="K242" s="3193"/>
      <c r="L242" s="3193"/>
      <c r="M242" s="3193"/>
      <c r="N242" s="3193"/>
      <c r="O242" s="3193"/>
      <c r="P242" s="3193"/>
      <c r="Q242" s="3193"/>
    </row>
    <row r="243" spans="1:1310" ht="20.100000000000001" customHeight="1">
      <c r="A243" s="3315" t="s">
        <v>70</v>
      </c>
      <c r="B243" s="6653" t="s">
        <v>545</v>
      </c>
      <c r="C243" s="6654"/>
      <c r="D243" s="6654"/>
      <c r="E243" s="6654"/>
      <c r="F243" s="6654"/>
      <c r="G243" s="6655"/>
      <c r="H243" s="3193"/>
      <c r="I243" s="6659" t="s">
        <v>546</v>
      </c>
      <c r="J243" s="6660"/>
      <c r="K243" s="6660"/>
      <c r="L243" s="6660"/>
      <c r="M243" s="6660"/>
      <c r="N243" s="6660"/>
      <c r="O243" s="6661"/>
      <c r="P243" s="3193"/>
      <c r="Q243" s="3193"/>
    </row>
    <row r="244" spans="1:1310" ht="20.100000000000001" customHeight="1">
      <c r="A244" s="5461" t="s">
        <v>545</v>
      </c>
      <c r="B244" s="6656"/>
      <c r="C244" s="6657"/>
      <c r="D244" s="6657"/>
      <c r="E244" s="6657"/>
      <c r="F244" s="6657"/>
      <c r="G244" s="6658"/>
      <c r="H244" s="3193"/>
      <c r="I244" s="3316" t="s">
        <v>544</v>
      </c>
      <c r="J244" s="386"/>
      <c r="K244" s="386"/>
      <c r="L244" s="3317" t="s">
        <v>543</v>
      </c>
      <c r="M244" s="386"/>
      <c r="N244" s="386"/>
      <c r="O244" s="385"/>
      <c r="P244" s="3193"/>
      <c r="Q244" s="3193"/>
    </row>
    <row r="245" spans="1:1310" ht="20.100000000000001" customHeight="1">
      <c r="A245" s="5461"/>
      <c r="B245" s="3318"/>
      <c r="C245" s="443"/>
      <c r="D245" s="3319"/>
      <c r="E245" s="443"/>
      <c r="F245" s="3319"/>
      <c r="G245" s="3320"/>
      <c r="H245" s="3193"/>
      <c r="I245" s="3316" t="s">
        <v>542</v>
      </c>
      <c r="J245" s="386"/>
      <c r="K245" s="386"/>
      <c r="L245" s="3317" t="s">
        <v>541</v>
      </c>
      <c r="M245" s="386"/>
      <c r="N245" s="386"/>
      <c r="O245" s="385"/>
      <c r="P245" s="3193"/>
      <c r="Q245" s="3193"/>
    </row>
    <row r="246" spans="1:1310" ht="20.100000000000001" customHeight="1">
      <c r="A246" s="5461"/>
      <c r="B246" s="3321" t="s">
        <v>55</v>
      </c>
      <c r="C246" s="496" t="s">
        <v>540</v>
      </c>
      <c r="D246" s="386"/>
      <c r="E246" s="386"/>
      <c r="F246" s="386"/>
      <c r="G246" s="385"/>
      <c r="H246" s="3193"/>
      <c r="I246" s="3316" t="s">
        <v>539</v>
      </c>
      <c r="J246" s="386"/>
      <c r="K246" s="386"/>
      <c r="L246" s="3193"/>
      <c r="M246" s="386"/>
      <c r="N246" s="386"/>
      <c r="O246" s="385"/>
      <c r="P246" s="3193"/>
      <c r="Q246" s="3193"/>
    </row>
    <row r="247" spans="1:1310" ht="20.100000000000001" customHeight="1">
      <c r="A247" s="5461"/>
      <c r="B247" s="3322" t="s">
        <v>44</v>
      </c>
      <c r="C247" s="496" t="s">
        <v>538</v>
      </c>
      <c r="D247" s="386"/>
      <c r="E247" s="386"/>
      <c r="F247" s="386"/>
      <c r="G247" s="385"/>
      <c r="H247" s="3193"/>
      <c r="I247" s="3316" t="s">
        <v>537</v>
      </c>
      <c r="J247" s="386"/>
      <c r="K247" s="386"/>
      <c r="L247" s="3317" t="s">
        <v>536</v>
      </c>
      <c r="M247" s="386"/>
      <c r="N247" s="386"/>
      <c r="O247" s="385"/>
      <c r="P247" s="3193"/>
      <c r="Q247" s="3193"/>
    </row>
    <row r="248" spans="1:1310" ht="20.100000000000001" customHeight="1">
      <c r="A248" s="5461"/>
      <c r="B248" s="460" t="s">
        <v>46</v>
      </c>
      <c r="C248" s="496" t="s">
        <v>535</v>
      </c>
      <c r="D248" s="386"/>
      <c r="E248" s="386"/>
      <c r="F248" s="386"/>
      <c r="G248" s="385"/>
      <c r="H248" s="3193"/>
      <c r="I248" s="3316" t="s">
        <v>534</v>
      </c>
      <c r="J248" s="386"/>
      <c r="K248" s="386"/>
      <c r="L248" s="3317" t="s">
        <v>533</v>
      </c>
      <c r="M248" s="386"/>
      <c r="N248" s="386"/>
      <c r="O248" s="385"/>
      <c r="P248" s="3193"/>
      <c r="Q248" s="3193"/>
    </row>
    <row r="249" spans="1:1310" ht="20.100000000000001" customHeight="1" thickBot="1">
      <c r="A249" s="5461"/>
      <c r="B249" s="459"/>
      <c r="C249" s="386"/>
      <c r="D249" s="386"/>
      <c r="E249" s="386"/>
      <c r="F249" s="386"/>
      <c r="G249" s="385"/>
      <c r="H249" s="3193"/>
      <c r="I249" s="3316"/>
      <c r="J249" s="386"/>
      <c r="K249" s="386"/>
      <c r="L249" s="3317" t="s">
        <v>532</v>
      </c>
      <c r="M249" s="386"/>
      <c r="N249" s="386"/>
      <c r="O249" s="385"/>
      <c r="P249" s="3193"/>
      <c r="Q249" s="3193"/>
    </row>
    <row r="250" spans="1:1310" ht="20.100000000000001" customHeight="1">
      <c r="A250" s="5461"/>
      <c r="B250" s="3323"/>
      <c r="C250" s="3324"/>
      <c r="D250" s="3325"/>
      <c r="E250" s="3324"/>
      <c r="F250" s="3325"/>
      <c r="G250" s="3326"/>
      <c r="H250" s="3193"/>
      <c r="I250" s="459"/>
      <c r="J250" s="386"/>
      <c r="K250" s="386"/>
      <c r="L250" s="386"/>
      <c r="M250" s="386"/>
      <c r="N250" s="386"/>
      <c r="O250" s="385"/>
      <c r="P250" s="3193"/>
      <c r="Q250" s="3193"/>
    </row>
    <row r="251" spans="1:1310" ht="20.100000000000001" customHeight="1">
      <c r="A251" s="5461"/>
      <c r="B251" s="6664" t="s">
        <v>3119</v>
      </c>
      <c r="C251" s="6665"/>
      <c r="D251" s="6665"/>
      <c r="E251" s="6665"/>
      <c r="F251" s="6665"/>
      <c r="G251" s="6666"/>
      <c r="H251" s="3193"/>
      <c r="I251" s="3316" t="s">
        <v>531</v>
      </c>
      <c r="J251" s="386"/>
      <c r="K251" s="386"/>
      <c r="L251" s="3293" t="s">
        <v>3120</v>
      </c>
      <c r="M251" s="386"/>
      <c r="N251" s="386"/>
      <c r="O251" s="385"/>
      <c r="P251" s="3193"/>
      <c r="Q251" s="3193"/>
    </row>
    <row r="252" spans="1:1310" ht="20.100000000000001" customHeight="1">
      <c r="A252" s="5461"/>
      <c r="B252" s="3327"/>
      <c r="C252" s="386"/>
      <c r="D252" s="3328"/>
      <c r="E252" s="386"/>
      <c r="F252" s="3328"/>
      <c r="G252" s="3329"/>
      <c r="H252" s="3193"/>
      <c r="I252" s="3316" t="s">
        <v>530</v>
      </c>
      <c r="J252" s="386"/>
      <c r="K252" s="386"/>
      <c r="L252" s="463">
        <v>0</v>
      </c>
      <c r="M252" s="462">
        <v>0</v>
      </c>
      <c r="N252" s="3330">
        <v>0</v>
      </c>
      <c r="O252" s="3331">
        <v>0</v>
      </c>
      <c r="P252" s="3193"/>
      <c r="Q252" s="3193"/>
    </row>
    <row r="253" spans="1:1310" ht="20.100000000000001" customHeight="1" thickBot="1">
      <c r="A253" s="5461"/>
      <c r="B253" s="3321" t="s">
        <v>55</v>
      </c>
      <c r="C253" s="496" t="s">
        <v>529</v>
      </c>
      <c r="D253" s="386"/>
      <c r="E253" s="386"/>
      <c r="F253" s="386"/>
      <c r="G253" s="385"/>
      <c r="H253" s="3193"/>
      <c r="I253" s="3256"/>
      <c r="J253" s="3257"/>
      <c r="K253" s="3257"/>
      <c r="L253" s="3257"/>
      <c r="M253" s="3257"/>
      <c r="N253" s="3257"/>
      <c r="O253" s="3258"/>
      <c r="P253" s="3193"/>
      <c r="Q253" s="3193"/>
    </row>
    <row r="254" spans="1:1310" ht="20.100000000000001" customHeight="1" thickBot="1">
      <c r="A254" s="5461"/>
      <c r="B254" s="3322" t="s">
        <v>44</v>
      </c>
      <c r="C254" s="496" t="s">
        <v>528</v>
      </c>
      <c r="D254" s="386"/>
      <c r="E254" s="386"/>
      <c r="F254" s="386"/>
      <c r="G254" s="385"/>
      <c r="H254" s="3193"/>
      <c r="I254" s="443"/>
      <c r="J254" s="443"/>
      <c r="K254" s="443"/>
      <c r="L254" s="443"/>
      <c r="M254" s="443"/>
      <c r="N254" s="443"/>
      <c r="O254" s="443"/>
      <c r="P254" s="3193"/>
      <c r="Q254" s="3193"/>
    </row>
    <row r="255" spans="1:1310" ht="20.100000000000001" customHeight="1">
      <c r="A255" s="5461"/>
      <c r="B255" s="460" t="s">
        <v>46</v>
      </c>
      <c r="C255" s="496" t="s">
        <v>527</v>
      </c>
      <c r="D255" s="386"/>
      <c r="E255" s="386"/>
      <c r="F255" s="386"/>
      <c r="G255" s="385"/>
      <c r="H255" s="3193"/>
      <c r="I255" s="6667" t="s">
        <v>526</v>
      </c>
      <c r="J255" s="6668"/>
      <c r="K255" s="6668"/>
      <c r="L255" s="6668"/>
      <c r="M255" s="6668"/>
      <c r="N255" s="6668"/>
      <c r="O255" s="6669"/>
      <c r="P255" s="3193"/>
      <c r="Q255" s="3193"/>
    </row>
    <row r="256" spans="1:1310" ht="20.100000000000001" customHeight="1">
      <c r="A256" s="5461"/>
      <c r="B256" s="459"/>
      <c r="C256" s="386"/>
      <c r="D256" s="386"/>
      <c r="E256" s="386"/>
      <c r="F256" s="386"/>
      <c r="G256" s="385"/>
      <c r="H256" s="3193"/>
      <c r="I256" s="6670" t="s">
        <v>525</v>
      </c>
      <c r="J256" s="6671">
        <v>8.35</v>
      </c>
      <c r="K256" s="6672" t="s">
        <v>524</v>
      </c>
      <c r="L256" s="6672"/>
      <c r="M256" s="6671">
        <v>0.25</v>
      </c>
      <c r="N256" s="6673">
        <f>IF(ISBLANK(M257),I260,M257)</f>
        <v>33.4</v>
      </c>
      <c r="O256" s="6674" t="s">
        <v>124</v>
      </c>
      <c r="P256" s="3193"/>
      <c r="Q256" s="3193"/>
    </row>
    <row r="257" spans="1:17" ht="20.100000000000001" customHeight="1">
      <c r="A257" s="5461"/>
      <c r="B257" s="3332" t="s">
        <v>3121</v>
      </c>
      <c r="C257" s="3333"/>
      <c r="D257" s="3334"/>
      <c r="E257" s="3333"/>
      <c r="F257" s="6675">
        <f>3.14*(11*11)</f>
        <v>379.94</v>
      </c>
      <c r="G257" s="6676"/>
      <c r="H257" s="3193"/>
      <c r="I257" s="6670"/>
      <c r="J257" s="6671"/>
      <c r="K257" s="6672"/>
      <c r="L257" s="6672"/>
      <c r="M257" s="6671"/>
      <c r="N257" s="6673"/>
      <c r="O257" s="6674"/>
      <c r="P257" s="3193"/>
      <c r="Q257" s="3193"/>
    </row>
    <row r="258" spans="1:17" ht="20.100000000000001" customHeight="1">
      <c r="A258" s="5461"/>
      <c r="B258" s="3335" t="s">
        <v>3122</v>
      </c>
      <c r="C258" s="2823"/>
      <c r="D258" s="3336"/>
      <c r="E258" s="2823"/>
      <c r="F258" s="6697" t="s">
        <v>3123</v>
      </c>
      <c r="G258" s="6698"/>
      <c r="H258" s="3193"/>
      <c r="I258" s="6670"/>
      <c r="J258" s="6671"/>
      <c r="K258" s="6699" t="s">
        <v>504</v>
      </c>
      <c r="L258" s="6699"/>
      <c r="M258" s="6700">
        <v>70</v>
      </c>
      <c r="N258" s="6701">
        <f>J256/M258</f>
        <v>0.11928571428571429</v>
      </c>
      <c r="O258" s="6674" t="s">
        <v>523</v>
      </c>
      <c r="P258" s="3193"/>
      <c r="Q258" s="3193"/>
    </row>
    <row r="259" spans="1:17" ht="20.100000000000001" customHeight="1">
      <c r="A259" s="5461"/>
      <c r="B259" s="3337" t="s">
        <v>501</v>
      </c>
      <c r="C259" s="3338" t="s">
        <v>500</v>
      </c>
      <c r="E259" s="3338" t="s">
        <v>509</v>
      </c>
      <c r="F259" s="3339" t="s">
        <v>522</v>
      </c>
      <c r="G259" s="3340"/>
      <c r="H259" s="3193"/>
      <c r="I259" s="6670"/>
      <c r="J259" s="6671"/>
      <c r="K259" s="6699"/>
      <c r="L259" s="6699"/>
      <c r="M259" s="6700"/>
      <c r="N259" s="6701"/>
      <c r="O259" s="6674"/>
      <c r="P259" s="3193"/>
      <c r="Q259" s="3193"/>
    </row>
    <row r="260" spans="1:17" ht="20.100000000000001" customHeight="1">
      <c r="A260" s="5461"/>
      <c r="B260" s="5467">
        <v>1</v>
      </c>
      <c r="C260" s="5468">
        <v>22</v>
      </c>
      <c r="D260" s="3193"/>
      <c r="E260" s="5409">
        <f>C260/2</f>
        <v>11</v>
      </c>
      <c r="F260" s="6686">
        <f>PI()*(E260^2)</f>
        <v>380.13271108436498</v>
      </c>
      <c r="G260" s="3341"/>
      <c r="H260" s="3193"/>
      <c r="I260" s="3342">
        <f>IF(ISBLANK(M256),0,J256/M256)</f>
        <v>33.4</v>
      </c>
      <c r="J260" s="3343"/>
      <c r="K260" s="3343"/>
      <c r="L260" s="3343"/>
      <c r="M260" s="3343"/>
      <c r="N260" s="3343"/>
      <c r="O260" s="3344"/>
      <c r="P260" s="3193"/>
      <c r="Q260" s="3193"/>
    </row>
    <row r="261" spans="1:17" ht="20.100000000000001" customHeight="1" thickBot="1">
      <c r="A261" s="5461"/>
      <c r="B261" s="5467"/>
      <c r="C261" s="5468"/>
      <c r="D261" s="3193"/>
      <c r="E261" s="5409"/>
      <c r="F261" s="6686"/>
      <c r="G261" s="3341"/>
      <c r="H261" s="3193"/>
      <c r="I261" s="6702" t="s">
        <v>521</v>
      </c>
      <c r="J261" s="6703"/>
      <c r="K261" s="6703"/>
      <c r="L261" s="6703"/>
      <c r="M261" s="6703"/>
      <c r="N261" s="6703"/>
      <c r="O261" s="6704"/>
      <c r="P261" s="3193"/>
      <c r="Q261" s="3193"/>
    </row>
    <row r="262" spans="1:17" ht="20.100000000000001" customHeight="1">
      <c r="A262" s="5461"/>
      <c r="B262" s="3345"/>
      <c r="C262" s="3346"/>
      <c r="D262" s="3193"/>
      <c r="E262" s="593"/>
      <c r="F262" s="3347"/>
      <c r="G262" s="3341"/>
      <c r="H262" s="3193"/>
      <c r="I262" s="6677" t="s">
        <v>34</v>
      </c>
      <c r="J262" s="6678"/>
      <c r="K262" s="6678"/>
      <c r="L262" s="6678"/>
      <c r="M262" s="6678"/>
      <c r="N262" s="6678"/>
      <c r="O262" s="6679"/>
      <c r="P262" s="3193"/>
      <c r="Q262" s="3193"/>
    </row>
    <row r="263" spans="1:17" ht="20.100000000000001" customHeight="1" thickBot="1">
      <c r="A263" s="5461"/>
      <c r="B263" s="5467">
        <v>1</v>
      </c>
      <c r="C263" s="5468">
        <v>22</v>
      </c>
      <c r="D263" s="3193"/>
      <c r="E263" s="5409">
        <f>C263/2</f>
        <v>11</v>
      </c>
      <c r="F263" s="6686">
        <f>PI()*(E263^2)</f>
        <v>380.13271108436498</v>
      </c>
      <c r="G263" s="3341"/>
      <c r="H263" s="3193"/>
      <c r="I263" s="6680"/>
      <c r="J263" s="6681"/>
      <c r="K263" s="6681"/>
      <c r="L263" s="6681"/>
      <c r="M263" s="6681"/>
      <c r="N263" s="6681"/>
      <c r="O263" s="6682"/>
      <c r="P263" s="3193"/>
      <c r="Q263" s="3193"/>
    </row>
    <row r="264" spans="1:17" ht="20.100000000000001" customHeight="1" thickBot="1">
      <c r="A264" s="5461"/>
      <c r="B264" s="6683"/>
      <c r="C264" s="6684"/>
      <c r="D264" s="3193"/>
      <c r="E264" s="6685"/>
      <c r="F264" s="6687"/>
      <c r="G264" s="3341"/>
      <c r="H264" s="3193"/>
      <c r="P264" s="3193"/>
      <c r="Q264" s="3193"/>
    </row>
    <row r="265" spans="1:17" ht="20.100000000000001" customHeight="1">
      <c r="A265" s="5461"/>
      <c r="B265" s="6688" t="s">
        <v>3124</v>
      </c>
      <c r="C265" s="6689"/>
      <c r="D265" s="6689"/>
      <c r="E265" s="6689"/>
      <c r="F265" s="6689"/>
      <c r="G265" s="6690"/>
      <c r="H265" s="3193"/>
      <c r="I265" s="6691" t="s">
        <v>520</v>
      </c>
      <c r="J265" s="6692"/>
      <c r="K265" s="6692"/>
      <c r="L265" s="6692"/>
      <c r="M265" s="6692"/>
      <c r="N265" s="6693"/>
      <c r="O265" s="3193"/>
      <c r="P265" s="3193"/>
      <c r="Q265" s="3193"/>
    </row>
    <row r="266" spans="1:17" ht="20.100000000000001" customHeight="1">
      <c r="A266" s="5461"/>
      <c r="B266" s="456" t="s">
        <v>3125</v>
      </c>
      <c r="C266" s="443"/>
      <c r="D266" s="3348"/>
      <c r="E266" s="443"/>
      <c r="F266" s="523"/>
      <c r="G266" s="453"/>
      <c r="H266" s="3193"/>
      <c r="I266" s="6694"/>
      <c r="J266" s="6695"/>
      <c r="K266" s="6695"/>
      <c r="L266" s="6695"/>
      <c r="M266" s="6695"/>
      <c r="N266" s="6696"/>
      <c r="O266" s="3193"/>
      <c r="P266" s="3193"/>
      <c r="Q266" s="3193"/>
    </row>
    <row r="267" spans="1:17" ht="20.100000000000001" customHeight="1">
      <c r="A267" s="5461"/>
      <c r="B267" s="6705" t="s">
        <v>34</v>
      </c>
      <c r="C267" s="6706"/>
      <c r="D267" s="6706"/>
      <c r="E267" s="6706"/>
      <c r="F267" s="6706"/>
      <c r="G267" s="6707"/>
      <c r="H267" s="3193"/>
      <c r="I267" s="6711" t="s">
        <v>519</v>
      </c>
      <c r="J267" s="6712"/>
      <c r="K267" s="6712"/>
      <c r="L267" s="6712"/>
      <c r="M267" s="6712"/>
      <c r="N267" s="6713"/>
      <c r="O267" s="3193"/>
      <c r="P267" s="3193"/>
      <c r="Q267" s="3193"/>
    </row>
    <row r="268" spans="1:17" ht="20.100000000000001" customHeight="1" thickBot="1">
      <c r="A268" s="5461"/>
      <c r="B268" s="6708"/>
      <c r="C268" s="6709"/>
      <c r="D268" s="6709"/>
      <c r="E268" s="6709"/>
      <c r="F268" s="6709"/>
      <c r="G268" s="6710"/>
      <c r="H268" s="3193"/>
      <c r="I268" s="6711"/>
      <c r="J268" s="6712"/>
      <c r="K268" s="6712"/>
      <c r="L268" s="6712"/>
      <c r="M268" s="6712"/>
      <c r="N268" s="6713"/>
      <c r="O268" s="3193"/>
      <c r="P268" s="3193"/>
      <c r="Q268" s="3193"/>
    </row>
    <row r="269" spans="1:17" ht="20.100000000000001" customHeight="1" thickBot="1">
      <c r="B269" s="3193"/>
      <c r="C269" s="3193"/>
      <c r="D269" s="3193"/>
      <c r="E269" s="356"/>
      <c r="F269" s="356"/>
      <c r="G269" s="3193"/>
      <c r="H269" s="3193"/>
      <c r="I269" s="6714" t="s">
        <v>501</v>
      </c>
      <c r="J269" s="6715" t="s">
        <v>500</v>
      </c>
      <c r="K269" s="6715" t="s">
        <v>509</v>
      </c>
      <c r="L269" s="5418" t="s">
        <v>514</v>
      </c>
      <c r="M269" s="5419" t="s">
        <v>409</v>
      </c>
      <c r="N269" s="6716" t="s">
        <v>513</v>
      </c>
      <c r="O269" s="3193"/>
      <c r="P269" s="3193"/>
      <c r="Q269" s="3193"/>
    </row>
    <row r="270" spans="1:17" ht="20.100000000000001" customHeight="1">
      <c r="A270" s="3315" t="s">
        <v>70</v>
      </c>
      <c r="B270" s="6717" t="s">
        <v>518</v>
      </c>
      <c r="C270" s="6718"/>
      <c r="D270" s="6718"/>
      <c r="E270" s="6718"/>
      <c r="F270" s="6718"/>
      <c r="G270" s="6719"/>
      <c r="H270" s="3193"/>
      <c r="I270" s="6714"/>
      <c r="J270" s="6715"/>
      <c r="K270" s="6715"/>
      <c r="L270" s="5418"/>
      <c r="M270" s="5419"/>
      <c r="N270" s="6716"/>
      <c r="O270" s="3193"/>
      <c r="P270" s="3193"/>
      <c r="Q270" s="3193"/>
    </row>
    <row r="271" spans="1:17" ht="20.100000000000001" customHeight="1">
      <c r="A271" s="4717" t="s">
        <v>518</v>
      </c>
      <c r="B271" s="5311" t="s">
        <v>517</v>
      </c>
      <c r="C271" s="5312"/>
      <c r="D271" s="5312"/>
      <c r="E271" s="5312"/>
      <c r="F271" s="5312"/>
      <c r="G271" s="5313"/>
      <c r="H271" s="3193"/>
      <c r="I271" s="5403">
        <v>1</v>
      </c>
      <c r="J271" s="5383">
        <v>22</v>
      </c>
      <c r="K271" s="5409">
        <f>J271/2</f>
        <v>11</v>
      </c>
      <c r="L271" s="6720">
        <v>0.15</v>
      </c>
      <c r="M271" s="5415">
        <f>(PI()*(K271^2)*I271)</f>
        <v>380.13271108436498</v>
      </c>
      <c r="N271" s="5416">
        <f>N275</f>
        <v>1.5783961298369786</v>
      </c>
      <c r="O271" s="3193"/>
      <c r="P271" s="3193"/>
      <c r="Q271" s="3193"/>
    </row>
    <row r="272" spans="1:17" ht="20.100000000000001" customHeight="1">
      <c r="A272" s="4717"/>
      <c r="B272" s="5311"/>
      <c r="C272" s="5312"/>
      <c r="D272" s="5312"/>
      <c r="E272" s="5312"/>
      <c r="F272" s="5312"/>
      <c r="G272" s="5313"/>
      <c r="H272" s="3193"/>
      <c r="I272" s="5403"/>
      <c r="J272" s="5383"/>
      <c r="K272" s="5409"/>
      <c r="L272" s="6720"/>
      <c r="M272" s="5415"/>
      <c r="N272" s="5416"/>
      <c r="O272" s="3193"/>
      <c r="P272" s="3193"/>
      <c r="Q272" s="3193"/>
    </row>
    <row r="273" spans="1:17" ht="20.100000000000001" customHeight="1">
      <c r="A273" s="4717"/>
      <c r="B273" s="5311" t="s">
        <v>516</v>
      </c>
      <c r="C273" s="5312"/>
      <c r="D273" s="5312"/>
      <c r="E273" s="5312"/>
      <c r="F273" s="5312"/>
      <c r="G273" s="5313"/>
      <c r="H273" s="3193"/>
      <c r="I273" s="6711" t="s">
        <v>515</v>
      </c>
      <c r="J273" s="6712"/>
      <c r="K273" s="6712"/>
      <c r="L273" s="6712"/>
      <c r="M273" s="6712"/>
      <c r="N273" s="6713"/>
      <c r="O273" s="3193"/>
      <c r="P273" s="3193"/>
      <c r="Q273" s="3193"/>
    </row>
    <row r="274" spans="1:17" ht="20.100000000000001" customHeight="1">
      <c r="A274" s="4717"/>
      <c r="B274" s="5311"/>
      <c r="C274" s="5312"/>
      <c r="D274" s="5312"/>
      <c r="E274" s="5312"/>
      <c r="F274" s="5312"/>
      <c r="G274" s="5313"/>
      <c r="H274" s="3193"/>
      <c r="I274" s="6711"/>
      <c r="J274" s="6712"/>
      <c r="K274" s="6712"/>
      <c r="L274" s="6712"/>
      <c r="M274" s="6712"/>
      <c r="N274" s="6713"/>
      <c r="O274" s="3193"/>
      <c r="P274" s="3193"/>
      <c r="Q274" s="3193"/>
    </row>
    <row r="275" spans="1:17" ht="20.100000000000001" customHeight="1">
      <c r="A275" s="4717"/>
      <c r="B275" s="5311"/>
      <c r="C275" s="5312"/>
      <c r="D275" s="5312"/>
      <c r="E275" s="5312"/>
      <c r="F275" s="5312"/>
      <c r="G275" s="5313"/>
      <c r="H275" s="3193"/>
      <c r="I275" s="5403">
        <v>1</v>
      </c>
      <c r="J275" s="5383">
        <v>30</v>
      </c>
      <c r="K275" s="5383">
        <v>20</v>
      </c>
      <c r="L275" s="6723">
        <f>(L271*N271)*I271</f>
        <v>0.2367594194755468</v>
      </c>
      <c r="M275" s="5415">
        <f>(J275*K275)*I275</f>
        <v>600</v>
      </c>
      <c r="N275" s="5416">
        <f>M275/M271</f>
        <v>1.5783961298369786</v>
      </c>
      <c r="O275" s="3193"/>
      <c r="P275" s="3193"/>
      <c r="Q275" s="3193"/>
    </row>
    <row r="276" spans="1:17" ht="20.100000000000001" customHeight="1">
      <c r="A276" s="4717"/>
      <c r="B276" s="446"/>
      <c r="C276" s="526"/>
      <c r="D276" s="526"/>
      <c r="E276" s="526"/>
      <c r="F276" s="526"/>
      <c r="G276" s="3341"/>
      <c r="H276" s="3193"/>
      <c r="I276" s="5403"/>
      <c r="J276" s="5383"/>
      <c r="K276" s="5383"/>
      <c r="L276" s="6723"/>
      <c r="M276" s="5415"/>
      <c r="N276" s="5416"/>
      <c r="O276" s="3193"/>
      <c r="P276" s="3193"/>
      <c r="Q276" s="3193"/>
    </row>
    <row r="277" spans="1:17" ht="20.100000000000001" customHeight="1">
      <c r="A277" s="4717"/>
      <c r="B277" s="446"/>
      <c r="C277" s="526"/>
      <c r="D277" s="526"/>
      <c r="E277" s="526"/>
      <c r="F277" s="526"/>
      <c r="G277" s="3341"/>
      <c r="H277" s="3193"/>
      <c r="I277" s="6721" t="s">
        <v>507</v>
      </c>
      <c r="J277" s="6722" t="s">
        <v>506</v>
      </c>
      <c r="K277" s="6722" t="s">
        <v>505</v>
      </c>
      <c r="L277" s="5400" t="s">
        <v>514</v>
      </c>
      <c r="M277" s="6724" t="s">
        <v>409</v>
      </c>
      <c r="N277" s="6725" t="s">
        <v>513</v>
      </c>
      <c r="O277" s="3193"/>
      <c r="P277" s="3193"/>
      <c r="Q277" s="3193"/>
    </row>
    <row r="278" spans="1:17" ht="20.100000000000001" customHeight="1">
      <c r="A278" s="4717"/>
      <c r="B278" s="446"/>
      <c r="C278" s="526"/>
      <c r="D278" s="526"/>
      <c r="E278" s="526"/>
      <c r="F278" s="526"/>
      <c r="G278" s="3341"/>
      <c r="H278" s="3193"/>
      <c r="I278" s="6721"/>
      <c r="J278" s="6722"/>
      <c r="K278" s="6722"/>
      <c r="L278" s="5400"/>
      <c r="M278" s="6724"/>
      <c r="N278" s="6725"/>
      <c r="O278" s="3193"/>
      <c r="P278" s="3193"/>
      <c r="Q278" s="3193"/>
    </row>
    <row r="279" spans="1:17" ht="20.100000000000001" customHeight="1" thickBot="1">
      <c r="A279" s="4717"/>
      <c r="B279" s="446"/>
      <c r="C279" s="526"/>
      <c r="D279" s="526"/>
      <c r="E279" s="526"/>
      <c r="F279" s="526"/>
      <c r="G279" s="3341"/>
      <c r="H279" s="3193"/>
      <c r="I279" s="3349" t="s">
        <v>503</v>
      </c>
      <c r="J279" s="3350"/>
      <c r="K279" s="3350"/>
      <c r="L279" s="3350"/>
      <c r="M279" s="3350"/>
      <c r="N279" s="3351"/>
      <c r="O279" s="3193"/>
      <c r="P279" s="3193"/>
      <c r="Q279" s="3193"/>
    </row>
    <row r="280" spans="1:17" ht="20.100000000000001" customHeight="1">
      <c r="A280" s="4717"/>
      <c r="B280" s="446"/>
      <c r="C280" s="526"/>
      <c r="D280" s="526"/>
      <c r="E280" s="526"/>
      <c r="F280" s="526"/>
      <c r="G280" s="3341"/>
      <c r="H280" s="3193"/>
      <c r="I280" s="3352" t="s">
        <v>512</v>
      </c>
      <c r="J280" s="3353" t="s">
        <v>511</v>
      </c>
      <c r="K280" s="448"/>
      <c r="L280" s="448"/>
      <c r="M280" s="448"/>
      <c r="N280" s="447"/>
      <c r="O280" s="3193"/>
      <c r="P280" s="3193"/>
      <c r="Q280" s="3193"/>
    </row>
    <row r="281" spans="1:17" ht="20.100000000000001" customHeight="1">
      <c r="A281" s="4717"/>
      <c r="B281" s="446"/>
      <c r="C281" s="526"/>
      <c r="D281" s="526"/>
      <c r="E281" s="526"/>
      <c r="F281" s="526"/>
      <c r="G281" s="3341"/>
      <c r="H281" s="3193"/>
      <c r="I281" s="6726" t="s">
        <v>34</v>
      </c>
      <c r="J281" s="6727"/>
      <c r="K281" s="6727"/>
      <c r="L281" s="6727"/>
      <c r="M281" s="6727"/>
      <c r="N281" s="6728"/>
      <c r="O281" s="3193"/>
      <c r="P281" s="3193"/>
      <c r="Q281" s="3193"/>
    </row>
    <row r="282" spans="1:17" ht="20.100000000000001" customHeight="1" thickBot="1">
      <c r="A282" s="4717"/>
      <c r="B282" s="446"/>
      <c r="C282" s="526"/>
      <c r="D282" s="526"/>
      <c r="E282" s="526"/>
      <c r="F282" s="526"/>
      <c r="G282" s="3341"/>
      <c r="H282" s="3193"/>
      <c r="I282" s="6729"/>
      <c r="J282" s="6730"/>
      <c r="K282" s="6730"/>
      <c r="L282" s="6730"/>
      <c r="M282" s="6730"/>
      <c r="N282" s="6731"/>
      <c r="O282" s="3193"/>
      <c r="P282" s="3193"/>
      <c r="Q282" s="3193"/>
    </row>
    <row r="283" spans="1:17" ht="20.100000000000001" customHeight="1" thickBot="1">
      <c r="A283" s="4717"/>
      <c r="B283" s="446"/>
      <c r="C283" s="526"/>
      <c r="D283" s="526"/>
      <c r="E283" s="526"/>
      <c r="F283" s="526"/>
      <c r="G283" s="3341"/>
      <c r="H283" s="3193"/>
      <c r="I283" s="3193"/>
      <c r="J283" s="3193"/>
      <c r="K283" s="3193"/>
      <c r="L283" s="3193"/>
      <c r="M283" s="3193"/>
      <c r="N283" s="3193"/>
      <c r="O283" s="3193"/>
      <c r="P283" s="3193"/>
      <c r="Q283" s="3193"/>
    </row>
    <row r="284" spans="1:17" ht="20.100000000000001" customHeight="1">
      <c r="A284" s="4717"/>
      <c r="B284" s="446"/>
      <c r="C284" s="526"/>
      <c r="D284" s="526"/>
      <c r="E284" s="526"/>
      <c r="F284" s="526"/>
      <c r="G284" s="3341"/>
      <c r="H284" s="3193"/>
      <c r="I284" s="6653" t="s">
        <v>3126</v>
      </c>
      <c r="J284" s="6654"/>
      <c r="K284" s="6654"/>
      <c r="L284" s="6654"/>
      <c r="M284" s="6655"/>
      <c r="O284" s="3193"/>
      <c r="P284" s="3193"/>
      <c r="Q284" s="3193"/>
    </row>
    <row r="285" spans="1:17" ht="20.100000000000001" customHeight="1">
      <c r="A285" s="4717"/>
      <c r="B285" s="446"/>
      <c r="C285" s="526"/>
      <c r="D285" s="526"/>
      <c r="E285" s="526"/>
      <c r="F285" s="526"/>
      <c r="G285" s="3341"/>
      <c r="H285" s="3193"/>
      <c r="I285" s="6656"/>
      <c r="J285" s="6657"/>
      <c r="K285" s="6657"/>
      <c r="L285" s="6657"/>
      <c r="M285" s="6658"/>
    </row>
    <row r="286" spans="1:17" ht="20.100000000000001" customHeight="1">
      <c r="A286" s="4717"/>
      <c r="B286" s="446"/>
      <c r="C286" s="526"/>
      <c r="D286" s="526"/>
      <c r="E286" s="526"/>
      <c r="F286" s="526"/>
      <c r="G286" s="3341"/>
      <c r="H286" s="3193"/>
      <c r="I286" s="6656"/>
      <c r="J286" s="6657"/>
      <c r="K286" s="6657"/>
      <c r="L286" s="6657"/>
      <c r="M286" s="6658"/>
    </row>
    <row r="287" spans="1:17" ht="20.100000000000001" customHeight="1">
      <c r="A287" s="4717"/>
      <c r="B287" s="5272" t="s">
        <v>510</v>
      </c>
      <c r="C287" s="5273"/>
      <c r="D287" s="5273"/>
      <c r="E287" s="5273"/>
      <c r="F287" s="5273"/>
      <c r="G287" s="3341"/>
      <c r="H287" s="3193"/>
      <c r="I287" s="6714" t="s">
        <v>501</v>
      </c>
      <c r="J287" s="6715" t="s">
        <v>500</v>
      </c>
      <c r="K287" s="6715" t="s">
        <v>509</v>
      </c>
      <c r="L287" s="6715" t="s">
        <v>499</v>
      </c>
      <c r="M287" s="6716" t="s">
        <v>409</v>
      </c>
    </row>
    <row r="288" spans="1:17" ht="20.100000000000001" customHeight="1">
      <c r="A288" s="4717"/>
      <c r="B288" s="5272"/>
      <c r="C288" s="5273"/>
      <c r="D288" s="5273"/>
      <c r="E288" s="5273"/>
      <c r="F288" s="5273"/>
      <c r="G288" s="3341"/>
      <c r="H288" s="3193"/>
      <c r="I288" s="6714"/>
      <c r="J288" s="6715"/>
      <c r="K288" s="6715"/>
      <c r="L288" s="6715"/>
      <c r="M288" s="6716"/>
    </row>
    <row r="289" spans="1:17" ht="20.100000000000001" customHeight="1" thickBot="1">
      <c r="A289" s="4717"/>
      <c r="B289" s="6732"/>
      <c r="C289" s="6733"/>
      <c r="D289" s="6733"/>
      <c r="E289" s="6733"/>
      <c r="F289" s="6733"/>
      <c r="G289" s="3354"/>
      <c r="H289" s="3193"/>
      <c r="I289" s="5403">
        <v>1</v>
      </c>
      <c r="J289" s="5332">
        <v>22</v>
      </c>
      <c r="K289" s="6734">
        <f>J289/2</f>
        <v>11</v>
      </c>
      <c r="L289" s="5332">
        <v>1</v>
      </c>
      <c r="M289" s="5374">
        <f>((PI()*(K289^2)*L289))*I289</f>
        <v>380.13271108436498</v>
      </c>
    </row>
    <row r="290" spans="1:17" ht="20.100000000000001" customHeight="1">
      <c r="B290" s="3193"/>
      <c r="C290" s="3193"/>
      <c r="D290" s="3193"/>
      <c r="E290" s="356"/>
      <c r="F290" s="356"/>
      <c r="G290" s="3193"/>
      <c r="H290" s="3193"/>
      <c r="I290" s="5403"/>
      <c r="J290" s="5332"/>
      <c r="K290" s="6734"/>
      <c r="L290" s="5332"/>
      <c r="M290" s="5374"/>
    </row>
    <row r="291" spans="1:17" ht="20.100000000000001" customHeight="1">
      <c r="B291" s="6735" t="s">
        <v>508</v>
      </c>
      <c r="C291" s="6736"/>
      <c r="D291" s="6736"/>
      <c r="E291" s="6736"/>
      <c r="F291" s="6736"/>
      <c r="G291" s="6737"/>
      <c r="H291" s="3193"/>
      <c r="I291" s="6714" t="s">
        <v>501</v>
      </c>
      <c r="J291" s="6715" t="s">
        <v>500</v>
      </c>
      <c r="K291" s="6715" t="s">
        <v>499</v>
      </c>
      <c r="L291" s="6715"/>
      <c r="M291" s="6716" t="s">
        <v>409</v>
      </c>
    </row>
    <row r="292" spans="1:17" ht="20.100000000000001" customHeight="1">
      <c r="B292" s="6735"/>
      <c r="C292" s="6736"/>
      <c r="D292" s="6736"/>
      <c r="E292" s="6736"/>
      <c r="F292" s="6736"/>
      <c r="G292" s="6737"/>
      <c r="H292" s="3193"/>
      <c r="I292" s="6714"/>
      <c r="J292" s="6715"/>
      <c r="K292" s="6715"/>
      <c r="L292" s="6715"/>
      <c r="M292" s="6716"/>
    </row>
    <row r="293" spans="1:17" ht="20.100000000000001" customHeight="1">
      <c r="B293" s="6738" t="s">
        <v>507</v>
      </c>
      <c r="C293" s="6739" t="s">
        <v>506</v>
      </c>
      <c r="D293" s="6739" t="s">
        <v>505</v>
      </c>
      <c r="E293" s="6739" t="s">
        <v>499</v>
      </c>
      <c r="F293" s="6739" t="s">
        <v>409</v>
      </c>
      <c r="G293" s="6740"/>
      <c r="H293" s="3193"/>
      <c r="I293" s="5403">
        <v>1</v>
      </c>
      <c r="J293" s="5383">
        <v>22</v>
      </c>
      <c r="K293" s="5383">
        <v>1</v>
      </c>
      <c r="L293" s="6741"/>
      <c r="M293" s="5374">
        <f>(((J293/2)*(J293/2)*3.1416)*K293)*I293</f>
        <v>380.1336</v>
      </c>
    </row>
    <row r="294" spans="1:17" ht="20.100000000000001" customHeight="1">
      <c r="B294" s="6738"/>
      <c r="C294" s="6739"/>
      <c r="D294" s="6739"/>
      <c r="E294" s="6739"/>
      <c r="F294" s="6739"/>
      <c r="G294" s="6740"/>
      <c r="H294" s="3193"/>
      <c r="I294" s="5403"/>
      <c r="J294" s="5383"/>
      <c r="K294" s="5383"/>
      <c r="L294" s="6741"/>
      <c r="M294" s="5374"/>
    </row>
    <row r="295" spans="1:17" ht="20.100000000000001" customHeight="1">
      <c r="B295" s="5403">
        <v>1</v>
      </c>
      <c r="C295" s="5383">
        <v>30</v>
      </c>
      <c r="D295" s="5383">
        <v>20</v>
      </c>
      <c r="E295" s="5332">
        <v>1</v>
      </c>
      <c r="F295" s="5453">
        <f>((C295*D295)*E295)*B295</f>
        <v>600</v>
      </c>
      <c r="G295" s="5454"/>
      <c r="H295" s="3193"/>
      <c r="I295" s="6714" t="s">
        <v>501</v>
      </c>
      <c r="J295" s="6715" t="s">
        <v>500</v>
      </c>
      <c r="K295" s="6715" t="s">
        <v>499</v>
      </c>
      <c r="L295" s="6715" t="s">
        <v>504</v>
      </c>
      <c r="M295" s="6716" t="s">
        <v>409</v>
      </c>
    </row>
    <row r="296" spans="1:17" ht="20.100000000000001" customHeight="1">
      <c r="B296" s="5403"/>
      <c r="C296" s="5383"/>
      <c r="D296" s="5383"/>
      <c r="E296" s="5332"/>
      <c r="F296" s="5453"/>
      <c r="G296" s="5454"/>
      <c r="H296" s="3193"/>
      <c r="I296" s="6714"/>
      <c r="J296" s="6715"/>
      <c r="K296" s="6715"/>
      <c r="L296" s="6715"/>
      <c r="M296" s="6716"/>
    </row>
    <row r="297" spans="1:17" ht="20.100000000000001" customHeight="1">
      <c r="B297" s="6742" t="s">
        <v>503</v>
      </c>
      <c r="C297" s="6743"/>
      <c r="D297" s="6743"/>
      <c r="E297" s="6743"/>
      <c r="F297" s="6743"/>
      <c r="G297" s="6744"/>
      <c r="H297" s="3193"/>
      <c r="I297" s="5403">
        <v>1</v>
      </c>
      <c r="J297" s="5383">
        <v>22</v>
      </c>
      <c r="K297" s="5383">
        <v>1</v>
      </c>
      <c r="L297" s="6745">
        <v>3</v>
      </c>
      <c r="M297" s="5374">
        <f>(((J297/2)*(J297/2)*PI()*K297)*I297)/L297</f>
        <v>126.71090369478833</v>
      </c>
    </row>
    <row r="298" spans="1:17" ht="20.100000000000001" customHeight="1">
      <c r="B298" s="3355" t="s">
        <v>34</v>
      </c>
      <c r="C298" s="3356"/>
      <c r="D298" s="3356"/>
      <c r="E298" s="3356"/>
      <c r="F298" s="3356"/>
      <c r="G298" s="3357"/>
      <c r="H298" s="3193"/>
      <c r="I298" s="5403"/>
      <c r="J298" s="5383"/>
      <c r="K298" s="5383"/>
      <c r="L298" s="6745"/>
      <c r="M298" s="5374"/>
    </row>
    <row r="299" spans="1:17" ht="20.100000000000001" customHeight="1" thickBot="1">
      <c r="B299" s="3358"/>
      <c r="C299" s="3359"/>
      <c r="D299" s="3359"/>
      <c r="E299" s="3359"/>
      <c r="F299" s="3359"/>
      <c r="G299" s="3360"/>
      <c r="H299" s="3193"/>
      <c r="I299" s="6742" t="s">
        <v>503</v>
      </c>
      <c r="J299" s="6743"/>
      <c r="K299" s="6743"/>
      <c r="L299" s="6743"/>
      <c r="M299" s="6744"/>
    </row>
    <row r="300" spans="1:17" ht="20.100000000000001" customHeight="1">
      <c r="B300" s="3193"/>
      <c r="C300" s="3193"/>
      <c r="D300" s="3193"/>
      <c r="E300" s="356"/>
      <c r="F300" s="356"/>
      <c r="G300" s="3193"/>
      <c r="H300" s="3193"/>
      <c r="I300" s="6747" t="s">
        <v>34</v>
      </c>
      <c r="J300" s="6748"/>
      <c r="K300" s="6748"/>
      <c r="L300" s="6748"/>
      <c r="M300" s="6749"/>
    </row>
    <row r="301" spans="1:17" ht="20.100000000000001" customHeight="1" thickBot="1">
      <c r="B301" s="3193"/>
      <c r="C301" s="3193"/>
      <c r="D301" s="3193"/>
      <c r="E301" s="356"/>
      <c r="F301" s="356"/>
      <c r="G301" s="3193"/>
      <c r="H301" s="3193"/>
      <c r="I301" s="6750"/>
      <c r="J301" s="6751"/>
      <c r="K301" s="6751"/>
      <c r="L301" s="6751"/>
      <c r="M301" s="6752"/>
      <c r="N301" s="3193"/>
    </row>
    <row r="302" spans="1:17" ht="20.100000000000001" customHeight="1">
      <c r="A302" s="3193"/>
      <c r="B302" s="3193"/>
      <c r="C302" s="3193"/>
      <c r="D302" s="3193"/>
      <c r="E302" s="356"/>
      <c r="F302" s="356"/>
      <c r="G302" s="3193"/>
      <c r="H302" s="3193"/>
      <c r="I302" s="3193"/>
      <c r="J302" s="3193"/>
      <c r="K302" s="3193"/>
      <c r="L302" s="3193"/>
      <c r="M302" s="3193"/>
      <c r="N302" s="3193"/>
    </row>
    <row r="303" spans="1:17" ht="20.100000000000001" customHeight="1">
      <c r="B303" s="6753" t="s">
        <v>502</v>
      </c>
      <c r="C303" s="6754"/>
      <c r="D303" s="6754"/>
      <c r="E303" s="6754"/>
      <c r="F303" s="6754"/>
      <c r="G303" s="6754"/>
      <c r="H303" s="6754"/>
      <c r="I303" s="6754"/>
      <c r="J303" s="6754"/>
      <c r="K303" s="6754"/>
      <c r="L303" s="3193"/>
      <c r="M303" s="3193"/>
      <c r="N303" s="3193"/>
      <c r="O303" s="3193"/>
      <c r="P303" s="3193"/>
      <c r="Q303" s="3193"/>
    </row>
    <row r="304" spans="1:17" ht="20.100000000000001" customHeight="1">
      <c r="B304" s="6753"/>
      <c r="C304" s="6754"/>
      <c r="D304" s="6754"/>
      <c r="E304" s="6754"/>
      <c r="F304" s="6754"/>
      <c r="G304" s="6754"/>
      <c r="H304" s="6754"/>
      <c r="I304" s="6754"/>
      <c r="J304" s="6754"/>
      <c r="K304" s="6754"/>
      <c r="L304" s="3193"/>
      <c r="M304" s="3193"/>
      <c r="N304" s="3193"/>
      <c r="O304" s="3193"/>
      <c r="P304" s="3193"/>
      <c r="Q304" s="3193"/>
    </row>
    <row r="305" spans="2:17" ht="20.100000000000001" customHeight="1">
      <c r="B305" s="5350" t="s">
        <v>486</v>
      </c>
      <c r="C305" s="5351"/>
      <c r="D305" s="5351"/>
      <c r="E305" s="5351"/>
      <c r="F305" s="5351"/>
      <c r="G305" s="5351"/>
      <c r="H305" s="5351"/>
      <c r="I305" s="5351"/>
      <c r="J305" s="5351"/>
      <c r="K305" s="5352"/>
      <c r="L305" s="3193"/>
      <c r="M305" s="3193"/>
      <c r="N305" s="3193"/>
      <c r="O305" s="3193"/>
      <c r="P305" s="3193"/>
      <c r="Q305" s="3193"/>
    </row>
    <row r="306" spans="2:17" ht="20.100000000000001" customHeight="1">
      <c r="B306" s="3361"/>
      <c r="C306" s="6755" t="s">
        <v>501</v>
      </c>
      <c r="D306" s="6755"/>
      <c r="E306" s="6755" t="s">
        <v>500</v>
      </c>
      <c r="F306" s="6755"/>
      <c r="G306" s="6755" t="s">
        <v>499</v>
      </c>
      <c r="H306" s="6755"/>
      <c r="I306" s="5354" t="s">
        <v>498</v>
      </c>
      <c r="J306" s="5354"/>
      <c r="K306" s="3362" t="s">
        <v>409</v>
      </c>
      <c r="L306" s="3193"/>
      <c r="M306" s="3193"/>
      <c r="N306" s="3193"/>
      <c r="O306" s="3193"/>
      <c r="P306" s="3193"/>
      <c r="Q306" s="3193"/>
    </row>
    <row r="307" spans="2:17" ht="20.100000000000001" customHeight="1">
      <c r="B307" s="5382" t="s">
        <v>55</v>
      </c>
      <c r="C307" s="5330">
        <v>1</v>
      </c>
      <c r="D307" s="5330"/>
      <c r="E307" s="5383">
        <v>26</v>
      </c>
      <c r="F307" s="5383"/>
      <c r="G307" s="5383">
        <v>4</v>
      </c>
      <c r="H307" s="5383"/>
      <c r="I307" s="6746">
        <f>(I311/K311)*K307</f>
        <v>0.47499999999999998</v>
      </c>
      <c r="J307" s="6746"/>
      <c r="K307" s="5374">
        <f>(((E307/2)*(E307/2)*PI())*G307)*C307</f>
        <v>2123.7166338267002</v>
      </c>
      <c r="L307" s="3193"/>
      <c r="M307" s="3193"/>
      <c r="N307" s="3193"/>
      <c r="O307" s="3193"/>
      <c r="P307" s="3193"/>
      <c r="Q307" s="3193"/>
    </row>
    <row r="308" spans="2:17" ht="20.100000000000001" customHeight="1">
      <c r="B308" s="5382"/>
      <c r="C308" s="5330"/>
      <c r="D308" s="5330"/>
      <c r="E308" s="5383"/>
      <c r="F308" s="5383"/>
      <c r="G308" s="5383"/>
      <c r="H308" s="5383"/>
      <c r="I308" s="6746"/>
      <c r="J308" s="6746"/>
      <c r="K308" s="5374"/>
      <c r="L308" s="3193"/>
      <c r="M308" s="3193"/>
      <c r="N308" s="3193"/>
      <c r="O308" s="3193"/>
      <c r="P308" s="3193"/>
      <c r="Q308" s="3193"/>
    </row>
    <row r="309" spans="2:17" ht="20.100000000000001" customHeight="1" thickBot="1">
      <c r="B309" s="3361"/>
      <c r="C309" s="3363"/>
      <c r="D309" s="443"/>
      <c r="E309" s="3364"/>
      <c r="F309" s="443"/>
      <c r="G309" s="3364"/>
      <c r="H309" s="443"/>
      <c r="I309" s="444"/>
      <c r="J309" s="443"/>
      <c r="K309" s="3362"/>
      <c r="L309" s="3193"/>
      <c r="M309" s="3193"/>
      <c r="N309" s="3193"/>
      <c r="O309" s="3193"/>
      <c r="P309" s="3193"/>
      <c r="Q309" s="3193"/>
    </row>
    <row r="310" spans="2:17" ht="20.100000000000001" customHeight="1">
      <c r="B310" s="5375" t="s">
        <v>475</v>
      </c>
      <c r="C310" s="5347"/>
      <c r="D310" s="5347"/>
      <c r="E310" s="5347"/>
      <c r="F310" s="5347"/>
      <c r="G310" s="5347"/>
      <c r="H310" s="5347"/>
      <c r="I310" s="5347"/>
      <c r="J310" s="5347"/>
      <c r="K310" s="5376"/>
      <c r="L310" s="3193"/>
      <c r="M310" s="3193"/>
      <c r="N310" s="3193"/>
      <c r="O310" s="3193"/>
      <c r="P310" s="3193"/>
      <c r="Q310" s="3193"/>
    </row>
    <row r="311" spans="2:17" ht="20.100000000000001" customHeight="1">
      <c r="B311" s="5377" t="s">
        <v>44</v>
      </c>
      <c r="C311" s="5378">
        <v>1</v>
      </c>
      <c r="D311" s="5378"/>
      <c r="E311" s="5379">
        <v>26</v>
      </c>
      <c r="F311" s="5379"/>
      <c r="G311" s="5379">
        <v>4</v>
      </c>
      <c r="H311" s="5379"/>
      <c r="I311" s="6761">
        <v>0.47499999999999998</v>
      </c>
      <c r="J311" s="6761"/>
      <c r="K311" s="5381">
        <f>(((E311/2)*(E311/2)*PI())*G311)*C311</f>
        <v>2123.7166338267002</v>
      </c>
      <c r="L311" s="3193"/>
      <c r="M311" s="3193"/>
      <c r="N311" s="3193"/>
      <c r="O311" s="3193"/>
      <c r="P311" s="3193"/>
      <c r="Q311" s="3193"/>
    </row>
    <row r="312" spans="2:17" ht="20.100000000000001" customHeight="1">
      <c r="B312" s="5377"/>
      <c r="C312" s="5378"/>
      <c r="D312" s="5378"/>
      <c r="E312" s="5379"/>
      <c r="F312" s="5379"/>
      <c r="G312" s="5379"/>
      <c r="H312" s="5379"/>
      <c r="I312" s="6761"/>
      <c r="J312" s="6761"/>
      <c r="K312" s="5381"/>
      <c r="L312" s="3193"/>
      <c r="M312" s="3193"/>
      <c r="N312" s="3193"/>
      <c r="O312" s="3193"/>
      <c r="P312" s="3193"/>
      <c r="Q312" s="3193"/>
    </row>
    <row r="313" spans="2:17" ht="20.100000000000001" customHeight="1">
      <c r="B313" s="5360" t="s">
        <v>497</v>
      </c>
      <c r="C313" s="5361"/>
      <c r="D313" s="5361"/>
      <c r="E313" s="5361"/>
      <c r="F313" s="5361"/>
      <c r="G313" s="5361"/>
      <c r="H313" s="5361"/>
      <c r="I313" s="5361"/>
      <c r="J313" s="5361"/>
      <c r="K313" s="5362"/>
      <c r="L313" s="3193"/>
      <c r="M313" s="3193"/>
      <c r="N313" s="3193"/>
      <c r="O313" s="3193"/>
      <c r="P313" s="3193"/>
      <c r="Q313" s="3193"/>
    </row>
    <row r="314" spans="2:17" ht="20.100000000000001" customHeight="1">
      <c r="B314" s="441" t="s">
        <v>55</v>
      </c>
      <c r="C314" s="5363" t="s">
        <v>496</v>
      </c>
      <c r="D314" s="5363"/>
      <c r="E314" s="5363"/>
      <c r="F314" s="5363"/>
      <c r="G314" s="5363"/>
      <c r="H314" s="5363"/>
      <c r="I314" s="5363"/>
      <c r="J314" s="5363"/>
      <c r="K314" s="5364"/>
      <c r="L314" s="3193"/>
      <c r="M314" s="3193"/>
      <c r="N314" s="3193"/>
      <c r="O314" s="3193"/>
      <c r="P314" s="3193"/>
      <c r="Q314" s="3193"/>
    </row>
    <row r="315" spans="2:17" ht="20.100000000000001" customHeight="1">
      <c r="B315" s="5365" t="s">
        <v>44</v>
      </c>
      <c r="C315" s="5366" t="s">
        <v>495</v>
      </c>
      <c r="D315" s="5366"/>
      <c r="E315" s="5366"/>
      <c r="F315" s="5366"/>
      <c r="G315" s="5366"/>
      <c r="H315" s="5366"/>
      <c r="I315" s="5366"/>
      <c r="J315" s="5366"/>
      <c r="K315" s="5367"/>
      <c r="L315" s="3193"/>
      <c r="M315" s="3193"/>
      <c r="N315" s="3193"/>
      <c r="O315" s="3193"/>
      <c r="P315" s="3193"/>
      <c r="Q315" s="3193"/>
    </row>
    <row r="316" spans="2:17" ht="20.100000000000001" customHeight="1">
      <c r="B316" s="5365"/>
      <c r="C316" s="5366"/>
      <c r="D316" s="5366"/>
      <c r="E316" s="5366"/>
      <c r="F316" s="5366"/>
      <c r="G316" s="5366"/>
      <c r="H316" s="5366"/>
      <c r="I316" s="5366"/>
      <c r="J316" s="5366"/>
      <c r="K316" s="5367"/>
      <c r="L316" s="3193"/>
      <c r="M316" s="3193"/>
      <c r="N316" s="3193"/>
      <c r="O316" s="3193"/>
      <c r="P316" s="3193"/>
      <c r="Q316" s="3193"/>
    </row>
    <row r="317" spans="2:17" ht="20.100000000000001" customHeight="1">
      <c r="B317" s="6756"/>
      <c r="C317" s="6757"/>
      <c r="D317" s="6757"/>
      <c r="E317" s="6757"/>
      <c r="F317" s="6757"/>
      <c r="G317" s="6757"/>
      <c r="H317" s="6757"/>
      <c r="I317" s="6757"/>
      <c r="J317" s="6757"/>
      <c r="K317" s="6758"/>
      <c r="L317" s="3193"/>
      <c r="M317" s="3193"/>
      <c r="N317" s="3193"/>
      <c r="O317" s="3193"/>
      <c r="P317" s="3193"/>
      <c r="Q317" s="3193"/>
    </row>
    <row r="318" spans="2:17" ht="20.100000000000001" customHeight="1">
      <c r="B318" s="6759" t="s">
        <v>494</v>
      </c>
      <c r="C318" s="6760"/>
      <c r="D318" s="6760"/>
      <c r="E318" s="6760"/>
      <c r="F318" s="440"/>
      <c r="G318" s="440"/>
      <c r="H318" s="440"/>
      <c r="I318" s="3365" t="s">
        <v>281</v>
      </c>
      <c r="J318" s="3366">
        <f>SUM(D319:D320,G319:G320,J319:J320)</f>
        <v>0.47500000000000003</v>
      </c>
      <c r="K318" s="438"/>
      <c r="L318" s="3193"/>
      <c r="M318" s="3193"/>
      <c r="N318" s="3193"/>
      <c r="O318" s="3193"/>
      <c r="P318" s="3193"/>
      <c r="Q318" s="3193"/>
    </row>
    <row r="319" spans="2:17" ht="20.100000000000001" customHeight="1">
      <c r="B319" s="6770" t="s">
        <v>450</v>
      </c>
      <c r="C319" s="6771"/>
      <c r="D319" s="3367">
        <v>0.25</v>
      </c>
      <c r="E319" s="6771" t="s">
        <v>493</v>
      </c>
      <c r="F319" s="6771"/>
      <c r="G319" s="3367">
        <v>5.0000000000000001E-3</v>
      </c>
      <c r="H319" s="6771" t="s">
        <v>492</v>
      </c>
      <c r="I319" s="6771"/>
      <c r="J319" s="3367">
        <v>2.5000000000000001E-2</v>
      </c>
      <c r="K319" s="436"/>
      <c r="L319" s="3193"/>
      <c r="M319" s="3193"/>
      <c r="N319" s="3193"/>
      <c r="O319" s="3193"/>
      <c r="P319" s="3193"/>
      <c r="Q319" s="3193"/>
    </row>
    <row r="320" spans="2:17" ht="20.100000000000001" customHeight="1">
      <c r="B320" s="6772" t="s">
        <v>448</v>
      </c>
      <c r="C320" s="6773"/>
      <c r="D320" s="3368">
        <v>0.125</v>
      </c>
      <c r="E320" s="6773" t="s">
        <v>491</v>
      </c>
      <c r="F320" s="6773"/>
      <c r="G320" s="3368">
        <v>0.02</v>
      </c>
      <c r="H320" s="6773" t="s">
        <v>278</v>
      </c>
      <c r="I320" s="6773"/>
      <c r="J320" s="3368">
        <v>0.05</v>
      </c>
      <c r="K320" s="434"/>
      <c r="L320" s="3193"/>
      <c r="M320" s="3193"/>
      <c r="N320" s="3193"/>
      <c r="O320" s="3193"/>
      <c r="P320" s="3193"/>
      <c r="Q320" s="3193"/>
    </row>
    <row r="321" spans="2:17" ht="20.100000000000001" customHeight="1">
      <c r="B321" s="6705" t="s">
        <v>34</v>
      </c>
      <c r="C321" s="6706"/>
      <c r="D321" s="6706"/>
      <c r="E321" s="6706"/>
      <c r="F321" s="6706"/>
      <c r="G321" s="6706"/>
      <c r="H321" s="6706"/>
      <c r="I321" s="6706"/>
      <c r="J321" s="6706"/>
      <c r="K321" s="6707"/>
      <c r="L321" s="3193"/>
      <c r="M321" s="3193"/>
      <c r="N321" s="3193"/>
      <c r="O321" s="3193"/>
      <c r="P321" s="3193"/>
      <c r="Q321" s="3193"/>
    </row>
    <row r="322" spans="2:17" ht="20.100000000000001" customHeight="1" thickBot="1">
      <c r="B322" s="6708"/>
      <c r="C322" s="6709"/>
      <c r="D322" s="6709"/>
      <c r="E322" s="6709"/>
      <c r="F322" s="6709"/>
      <c r="G322" s="6709"/>
      <c r="H322" s="6709"/>
      <c r="I322" s="6709"/>
      <c r="J322" s="6709"/>
      <c r="K322" s="6710"/>
      <c r="L322" s="3193"/>
      <c r="M322" s="3193"/>
      <c r="N322" s="3193"/>
      <c r="O322" s="3193"/>
      <c r="P322" s="3193"/>
      <c r="Q322" s="3193"/>
    </row>
    <row r="323" spans="2:17" ht="20.100000000000001" customHeight="1" thickBot="1">
      <c r="B323" s="3193"/>
      <c r="C323" s="3193"/>
      <c r="D323" s="3193"/>
      <c r="E323" s="356"/>
      <c r="F323" s="356"/>
      <c r="G323" s="3193"/>
      <c r="H323" s="3193"/>
      <c r="I323" s="3193"/>
      <c r="J323" s="3193"/>
      <c r="K323" s="3193"/>
      <c r="L323" s="3193"/>
      <c r="M323" s="3193"/>
      <c r="N323" s="3193"/>
      <c r="O323" s="3193"/>
      <c r="P323" s="3193"/>
      <c r="Q323" s="3193"/>
    </row>
    <row r="324" spans="2:17" ht="20.100000000000001" customHeight="1">
      <c r="B324" s="6762" t="s">
        <v>490</v>
      </c>
      <c r="C324" s="6762"/>
      <c r="D324" s="6762"/>
      <c r="E324" s="6762"/>
      <c r="F324" s="6762"/>
      <c r="G324" s="6762"/>
      <c r="H324" s="6762"/>
      <c r="I324" s="6762"/>
      <c r="J324" s="6762"/>
      <c r="K324" s="6762"/>
      <c r="L324" s="6762"/>
      <c r="M324" s="6762"/>
      <c r="N324" s="6763"/>
      <c r="O324" s="3193"/>
      <c r="P324" s="3193"/>
      <c r="Q324" s="3193"/>
    </row>
    <row r="325" spans="2:17" ht="20.100000000000001" customHeight="1">
      <c r="B325" s="6764"/>
      <c r="C325" s="6764"/>
      <c r="D325" s="6764"/>
      <c r="E325" s="6764"/>
      <c r="F325" s="6764"/>
      <c r="G325" s="6764"/>
      <c r="H325" s="6764"/>
      <c r="I325" s="6764"/>
      <c r="J325" s="6764"/>
      <c r="K325" s="6764"/>
      <c r="L325" s="6764"/>
      <c r="M325" s="6764"/>
      <c r="N325" s="6765"/>
      <c r="O325" s="3193"/>
      <c r="P325" s="3193"/>
      <c r="Q325" s="3193"/>
    </row>
    <row r="326" spans="2:17" ht="20.100000000000001" customHeight="1">
      <c r="B326" s="6764"/>
      <c r="C326" s="6764"/>
      <c r="D326" s="6764"/>
      <c r="E326" s="6764"/>
      <c r="F326" s="6764"/>
      <c r="G326" s="6764"/>
      <c r="H326" s="6764"/>
      <c r="I326" s="6764"/>
      <c r="J326" s="6764"/>
      <c r="K326" s="6764"/>
      <c r="L326" s="6764"/>
      <c r="M326" s="6764"/>
      <c r="N326" s="6765"/>
      <c r="O326" s="3193"/>
      <c r="P326" s="3193"/>
      <c r="Q326" s="3193"/>
    </row>
    <row r="327" spans="2:17" ht="20.100000000000001" customHeight="1">
      <c r="B327" s="3369"/>
      <c r="C327" s="6766" t="s">
        <v>489</v>
      </c>
      <c r="D327" s="6766"/>
      <c r="E327" s="6766"/>
      <c r="F327" s="6766"/>
      <c r="G327" s="6766"/>
      <c r="H327" s="6766"/>
      <c r="I327" s="6766"/>
      <c r="J327" s="6766"/>
      <c r="K327" s="6766"/>
      <c r="L327" s="6766"/>
      <c r="M327" s="6766"/>
      <c r="N327" s="385"/>
      <c r="O327" s="3193"/>
      <c r="P327" s="3193"/>
      <c r="Q327" s="3193"/>
    </row>
    <row r="328" spans="2:17" ht="20.100000000000001" customHeight="1">
      <c r="B328" s="3369"/>
      <c r="C328" s="6767" t="s">
        <v>488</v>
      </c>
      <c r="D328" s="6767"/>
      <c r="E328" s="6767"/>
      <c r="F328" s="6767"/>
      <c r="G328" s="6767"/>
      <c r="H328" s="6767"/>
      <c r="I328" s="6767"/>
      <c r="J328" s="6767"/>
      <c r="K328" s="6767"/>
      <c r="L328" s="6767"/>
      <c r="M328" s="6767"/>
      <c r="N328" s="385"/>
      <c r="O328" s="3193"/>
      <c r="P328" s="3193"/>
      <c r="Q328" s="3193"/>
    </row>
    <row r="329" spans="2:17" ht="20.100000000000001" customHeight="1">
      <c r="B329" s="3369"/>
      <c r="C329" s="6768" t="s">
        <v>487</v>
      </c>
      <c r="D329" s="6768"/>
      <c r="E329" s="6768"/>
      <c r="F329" s="6768"/>
      <c r="G329" s="6768"/>
      <c r="H329" s="6768"/>
      <c r="I329" s="6768"/>
      <c r="J329" s="6768"/>
      <c r="K329" s="6768"/>
      <c r="L329" s="6768"/>
      <c r="M329" s="6768"/>
      <c r="N329" s="385"/>
      <c r="O329" s="3193"/>
      <c r="P329" s="3193"/>
      <c r="Q329" s="3193"/>
    </row>
    <row r="330" spans="2:17" ht="20.100000000000001" customHeight="1" thickBot="1">
      <c r="B330" s="3369"/>
      <c r="C330" s="6769"/>
      <c r="D330" s="6769"/>
      <c r="E330" s="6769"/>
      <c r="F330" s="6769"/>
      <c r="G330" s="6769"/>
      <c r="H330" s="6769"/>
      <c r="I330" s="6769"/>
      <c r="J330" s="6769"/>
      <c r="K330" s="6769"/>
      <c r="L330" s="6769"/>
      <c r="M330" s="6769"/>
      <c r="N330" s="385"/>
      <c r="O330" s="3193"/>
      <c r="P330" s="3193"/>
      <c r="Q330" s="3193"/>
    </row>
    <row r="331" spans="2:17" ht="20.100000000000001" customHeight="1">
      <c r="B331" s="3369"/>
      <c r="C331" s="403"/>
      <c r="D331" s="5347" t="s">
        <v>486</v>
      </c>
      <c r="E331" s="5347"/>
      <c r="F331" s="5347"/>
      <c r="G331" s="5347"/>
      <c r="H331" s="5347"/>
      <c r="I331" s="5347"/>
      <c r="J331" s="5347"/>
      <c r="K331" s="5347"/>
      <c r="L331" s="5347"/>
      <c r="M331" s="5347"/>
      <c r="N331" s="385"/>
      <c r="O331" s="3193"/>
      <c r="P331" s="3193"/>
      <c r="Q331" s="3193"/>
    </row>
    <row r="332" spans="2:17" ht="20.100000000000001" customHeight="1">
      <c r="B332" s="3369"/>
      <c r="C332" s="6776" t="s">
        <v>485</v>
      </c>
      <c r="D332" s="6777" t="s">
        <v>484</v>
      </c>
      <c r="E332" s="6777" t="s">
        <v>483</v>
      </c>
      <c r="F332" s="6774" t="s">
        <v>482</v>
      </c>
      <c r="G332" s="6774" t="s">
        <v>481</v>
      </c>
      <c r="H332" s="5335" t="s">
        <v>480</v>
      </c>
      <c r="I332" s="5335" t="s">
        <v>479</v>
      </c>
      <c r="J332" s="1541"/>
      <c r="K332" s="1541"/>
      <c r="L332" s="6715" t="s">
        <v>478</v>
      </c>
      <c r="M332" s="6774" t="s">
        <v>477</v>
      </c>
      <c r="N332" s="385"/>
      <c r="O332" s="3193"/>
      <c r="P332" s="3193"/>
      <c r="Q332" s="3193"/>
    </row>
    <row r="333" spans="2:17" ht="20.100000000000001" customHeight="1">
      <c r="B333" s="3369"/>
      <c r="C333" s="6776"/>
      <c r="D333" s="6777"/>
      <c r="E333" s="6777"/>
      <c r="F333" s="6774"/>
      <c r="G333" s="6774"/>
      <c r="H333" s="5335"/>
      <c r="I333" s="5335"/>
      <c r="J333" s="1541"/>
      <c r="K333" s="1541"/>
      <c r="L333" s="6715"/>
      <c r="M333" s="6774"/>
      <c r="N333" s="385"/>
      <c r="O333" s="3193"/>
      <c r="P333" s="3193"/>
      <c r="Q333" s="3193"/>
    </row>
    <row r="334" spans="2:17" ht="20.100000000000001" customHeight="1">
      <c r="B334" s="3369"/>
      <c r="C334" s="6776"/>
      <c r="D334" s="6777"/>
      <c r="E334" s="6777"/>
      <c r="F334" s="6774"/>
      <c r="G334" s="6774"/>
      <c r="H334" s="5335"/>
      <c r="I334" s="5335"/>
      <c r="J334" s="1541"/>
      <c r="K334" s="1541"/>
      <c r="L334" s="6715"/>
      <c r="M334" s="6774"/>
      <c r="N334" s="385"/>
      <c r="O334" s="3193"/>
      <c r="P334" s="3193"/>
      <c r="Q334" s="3193"/>
    </row>
    <row r="335" spans="2:17" ht="20.100000000000001" customHeight="1">
      <c r="B335" s="3369"/>
      <c r="C335" s="433" t="s">
        <v>473</v>
      </c>
      <c r="D335" s="433" t="s">
        <v>473</v>
      </c>
      <c r="E335" s="433" t="s">
        <v>473</v>
      </c>
      <c r="F335" s="433" t="s">
        <v>473</v>
      </c>
      <c r="G335" s="433" t="s">
        <v>473</v>
      </c>
      <c r="H335" s="433" t="s">
        <v>473</v>
      </c>
      <c r="I335" s="433" t="s">
        <v>473</v>
      </c>
      <c r="J335" s="433"/>
      <c r="K335" s="433"/>
      <c r="L335" s="3363"/>
      <c r="M335" s="3370"/>
      <c r="N335" s="385"/>
      <c r="O335" s="3193"/>
      <c r="P335" s="3193"/>
      <c r="Q335" s="3193"/>
    </row>
    <row r="336" spans="2:17" ht="20.100000000000001" customHeight="1">
      <c r="B336" s="3369"/>
      <c r="C336" s="5330">
        <v>1</v>
      </c>
      <c r="D336" s="6775">
        <v>32.5</v>
      </c>
      <c r="E336" s="6775">
        <v>53</v>
      </c>
      <c r="F336" s="5332">
        <v>2.5</v>
      </c>
      <c r="G336" s="5333">
        <v>2.5</v>
      </c>
      <c r="H336" s="5333">
        <v>5</v>
      </c>
      <c r="I336" s="5333">
        <v>5</v>
      </c>
      <c r="J336" s="430"/>
      <c r="K336" s="430"/>
      <c r="L336" s="5355">
        <f>(L343/M348)*M340</f>
        <v>1.7392499999999997</v>
      </c>
      <c r="M336" s="5324">
        <f>(M345/M348)*M340</f>
        <v>1.75</v>
      </c>
      <c r="N336" s="385"/>
      <c r="O336" s="3193"/>
      <c r="P336" s="3193"/>
      <c r="Q336" s="3193"/>
    </row>
    <row r="337" spans="2:17" ht="20.100000000000001" customHeight="1">
      <c r="B337" s="3369"/>
      <c r="C337" s="5330"/>
      <c r="D337" s="6775"/>
      <c r="E337" s="6775"/>
      <c r="F337" s="5332"/>
      <c r="G337" s="5333"/>
      <c r="H337" s="5333"/>
      <c r="I337" s="5333"/>
      <c r="J337" s="430"/>
      <c r="K337" s="430"/>
      <c r="L337" s="5355"/>
      <c r="M337" s="5324"/>
      <c r="N337" s="385"/>
      <c r="O337" s="3193"/>
      <c r="P337" s="3193"/>
      <c r="Q337" s="3193"/>
    </row>
    <row r="338" spans="2:17" ht="20.100000000000001" customHeight="1">
      <c r="B338" s="3369"/>
      <c r="C338" s="429" t="s">
        <v>55</v>
      </c>
      <c r="D338" s="429" t="s">
        <v>44</v>
      </c>
      <c r="E338" s="429" t="s">
        <v>46</v>
      </c>
      <c r="F338" s="429" t="s">
        <v>461</v>
      </c>
      <c r="G338" s="429" t="s">
        <v>457</v>
      </c>
      <c r="H338" s="429" t="s">
        <v>469</v>
      </c>
      <c r="I338" s="429" t="s">
        <v>464</v>
      </c>
      <c r="J338" s="429"/>
      <c r="K338" s="429"/>
      <c r="L338" s="429" t="s">
        <v>455</v>
      </c>
      <c r="M338" s="429" t="s">
        <v>467</v>
      </c>
      <c r="N338" s="385"/>
      <c r="O338" s="3193"/>
      <c r="P338" s="3193"/>
      <c r="Q338" s="3193"/>
    </row>
    <row r="339" spans="2:17" ht="20.100000000000001" customHeight="1">
      <c r="B339" s="3369"/>
      <c r="C339" s="419">
        <f>(D336*E336)*C336</f>
        <v>1722.5</v>
      </c>
      <c r="D339" s="419">
        <f>((D336*F336)*2)*C336+((E336*F336)*2)*C336</f>
        <v>427.5</v>
      </c>
      <c r="E339" s="419">
        <f>((D336*H339)*2)*C336+((E336*H339)*2)*C336</f>
        <v>85.5</v>
      </c>
      <c r="F339" s="419">
        <f>((D336*I339)*2)*C336+((E336*I339)*2)*C336</f>
        <v>85.5</v>
      </c>
      <c r="G339" s="420">
        <f>G336/10</f>
        <v>0.25</v>
      </c>
      <c r="H339" s="420">
        <f>H336/10</f>
        <v>0.5</v>
      </c>
      <c r="I339" s="420">
        <f>I336/10</f>
        <v>0.5</v>
      </c>
      <c r="J339" s="420"/>
      <c r="K339" s="420"/>
      <c r="L339" s="419">
        <f>SUM(C339:F339)</f>
        <v>2321</v>
      </c>
      <c r="M339" s="418">
        <f>(C339*F336)/1000</f>
        <v>4.3062500000000004</v>
      </c>
      <c r="N339" s="385"/>
      <c r="O339" s="3193"/>
      <c r="P339" s="3193"/>
      <c r="Q339" s="3193"/>
    </row>
    <row r="340" spans="2:17" ht="20.100000000000001" customHeight="1" thickBot="1">
      <c r="B340" s="3369"/>
      <c r="C340" s="428"/>
      <c r="D340" s="428"/>
      <c r="E340" s="428"/>
      <c r="F340" s="428"/>
      <c r="G340" s="427"/>
      <c r="H340" s="427"/>
      <c r="I340" s="426" t="s">
        <v>476</v>
      </c>
      <c r="J340" s="426"/>
      <c r="K340" s="426"/>
      <c r="L340" s="425" t="s">
        <v>459</v>
      </c>
      <c r="M340" s="424">
        <f>L339*G339</f>
        <v>580.25</v>
      </c>
      <c r="N340" s="385"/>
      <c r="O340" s="3193"/>
      <c r="P340" s="3193"/>
      <c r="Q340" s="3193"/>
    </row>
    <row r="341" spans="2:17" ht="20.100000000000001" customHeight="1">
      <c r="B341" s="3369"/>
      <c r="C341" s="403"/>
      <c r="D341" s="5325" t="s">
        <v>475</v>
      </c>
      <c r="E341" s="5325"/>
      <c r="F341" s="5325"/>
      <c r="G341" s="5325"/>
      <c r="H341" s="5325"/>
      <c r="I341" s="5325"/>
      <c r="J341" s="5325"/>
      <c r="K341" s="5325"/>
      <c r="L341" s="5325"/>
      <c r="M341" s="5325"/>
      <c r="N341" s="385"/>
      <c r="O341" s="3193"/>
      <c r="P341" s="3193"/>
      <c r="Q341" s="3193"/>
    </row>
    <row r="342" spans="2:17" ht="20.100000000000001" customHeight="1">
      <c r="B342" s="3369"/>
      <c r="C342" s="5326" t="s">
        <v>474</v>
      </c>
      <c r="D342" s="5326"/>
      <c r="E342" s="5326"/>
      <c r="F342" s="5326"/>
      <c r="G342" s="5326"/>
      <c r="H342" s="5326"/>
      <c r="I342" s="5326"/>
      <c r="J342" s="5326"/>
      <c r="K342" s="5326"/>
      <c r="L342" s="5326"/>
      <c r="M342" s="423" t="s">
        <v>473</v>
      </c>
      <c r="N342" s="385"/>
      <c r="O342" s="3193"/>
      <c r="P342" s="3193"/>
      <c r="Q342" s="3193"/>
    </row>
    <row r="343" spans="2:17" ht="20.100000000000001" customHeight="1">
      <c r="B343" s="3369"/>
      <c r="C343" s="5327">
        <v>4</v>
      </c>
      <c r="D343" s="6778">
        <v>32.5</v>
      </c>
      <c r="E343" s="6778">
        <v>53</v>
      </c>
      <c r="F343" s="5329">
        <v>2.5</v>
      </c>
      <c r="G343" s="5319">
        <v>2.5</v>
      </c>
      <c r="H343" s="5319">
        <v>5</v>
      </c>
      <c r="I343" s="5319">
        <v>5</v>
      </c>
      <c r="J343" s="1542"/>
      <c r="K343" s="1542"/>
      <c r="L343" s="5320">
        <f>E359</f>
        <v>6.956999999999999</v>
      </c>
      <c r="M343" s="5321">
        <v>7</v>
      </c>
      <c r="N343" s="385"/>
      <c r="O343" s="3193"/>
      <c r="P343" s="3193"/>
      <c r="Q343" s="3193"/>
    </row>
    <row r="344" spans="2:17" ht="20.100000000000001" customHeight="1">
      <c r="B344" s="3369"/>
      <c r="C344" s="5327"/>
      <c r="D344" s="6778"/>
      <c r="E344" s="6778"/>
      <c r="F344" s="5329"/>
      <c r="G344" s="5319"/>
      <c r="H344" s="5319"/>
      <c r="I344" s="5319"/>
      <c r="J344" s="1542"/>
      <c r="K344" s="1542"/>
      <c r="L344" s="5320"/>
      <c r="M344" s="5321"/>
      <c r="N344" s="385"/>
      <c r="O344" s="3193"/>
      <c r="P344" s="3193"/>
      <c r="Q344" s="3193"/>
    </row>
    <row r="345" spans="2:17" ht="20.100000000000001" customHeight="1">
      <c r="B345" s="3369"/>
      <c r="C345" s="3371">
        <f>ROW()-2</f>
        <v>343</v>
      </c>
      <c r="D345" s="5322" t="s">
        <v>472</v>
      </c>
      <c r="E345" s="5322"/>
      <c r="F345" s="5322"/>
      <c r="G345" s="5322"/>
      <c r="H345" s="5322"/>
      <c r="I345" s="5322"/>
      <c r="J345" s="1543"/>
      <c r="K345" s="1543"/>
      <c r="L345" s="3372"/>
      <c r="M345" s="421">
        <f>IF(ISBLANK(M343),L343,M343)</f>
        <v>7</v>
      </c>
      <c r="N345" s="385"/>
      <c r="O345" s="3193"/>
      <c r="P345" s="3193"/>
      <c r="Q345" s="3193"/>
    </row>
    <row r="346" spans="2:17" ht="20.100000000000001" customHeight="1">
      <c r="B346" s="3369"/>
      <c r="C346" s="415" t="s">
        <v>55</v>
      </c>
      <c r="D346" s="415" t="s">
        <v>44</v>
      </c>
      <c r="E346" s="415" t="s">
        <v>46</v>
      </c>
      <c r="F346" s="415" t="s">
        <v>461</v>
      </c>
      <c r="G346" s="415" t="s">
        <v>457</v>
      </c>
      <c r="H346" s="415" t="s">
        <v>469</v>
      </c>
      <c r="I346" s="415" t="s">
        <v>464</v>
      </c>
      <c r="J346" s="415"/>
      <c r="K346" s="415"/>
      <c r="L346" s="415" t="s">
        <v>455</v>
      </c>
      <c r="M346" s="415" t="s">
        <v>467</v>
      </c>
      <c r="N346" s="385"/>
      <c r="O346" s="3193"/>
      <c r="P346" s="3193"/>
      <c r="Q346" s="3193"/>
    </row>
    <row r="347" spans="2:17" ht="20.100000000000001" customHeight="1">
      <c r="B347" s="3369"/>
      <c r="C347" s="419">
        <f>(D343*E343)*C343</f>
        <v>6890</v>
      </c>
      <c r="D347" s="419">
        <f>((D343*F343)*2)*C343+((E343*F343)*2)*C343</f>
        <v>1710</v>
      </c>
      <c r="E347" s="419">
        <f>((D343*H347)*2)*C343+((E343*H347)*2)*C343</f>
        <v>342</v>
      </c>
      <c r="F347" s="419">
        <f>((D343*I347)*2)*C343+((E343*I347)*2)*C343</f>
        <v>342</v>
      </c>
      <c r="G347" s="420">
        <f>G343/10</f>
        <v>0.25</v>
      </c>
      <c r="H347" s="420">
        <f>H343/10</f>
        <v>0.5</v>
      </c>
      <c r="I347" s="420">
        <f>I343/10</f>
        <v>0.5</v>
      </c>
      <c r="J347" s="420"/>
      <c r="K347" s="420"/>
      <c r="L347" s="419">
        <f>SUM(C347:F347)</f>
        <v>9284</v>
      </c>
      <c r="M347" s="418">
        <f>(C347*F343)/1000</f>
        <v>17.225000000000001</v>
      </c>
      <c r="N347" s="385"/>
      <c r="O347" s="3193"/>
      <c r="P347" s="3193"/>
      <c r="Q347" s="3193"/>
    </row>
    <row r="348" spans="2:17" ht="20.100000000000001" customHeight="1" thickBot="1">
      <c r="B348" s="3369"/>
      <c r="C348" s="3372"/>
      <c r="D348" s="3372"/>
      <c r="E348" s="3372"/>
      <c r="F348" s="3372"/>
      <c r="G348" s="3372"/>
      <c r="H348" s="3372"/>
      <c r="I348" s="416" t="s">
        <v>471</v>
      </c>
      <c r="J348" s="416"/>
      <c r="K348" s="416"/>
      <c r="L348" s="415" t="s">
        <v>459</v>
      </c>
      <c r="M348" s="414">
        <f>L347*G347</f>
        <v>2321</v>
      </c>
      <c r="N348" s="385"/>
      <c r="O348" s="3193"/>
      <c r="P348" s="3193"/>
      <c r="Q348" s="3193"/>
    </row>
    <row r="349" spans="2:17" ht="20.100000000000001" customHeight="1">
      <c r="B349" s="3369"/>
      <c r="C349" s="3373"/>
      <c r="D349" s="3373"/>
      <c r="E349" s="3373"/>
      <c r="F349" s="3373"/>
      <c r="G349" s="3373"/>
      <c r="H349" s="3373"/>
      <c r="I349" s="412"/>
      <c r="J349" s="412"/>
      <c r="K349" s="412"/>
      <c r="L349" s="411"/>
      <c r="M349" s="410"/>
      <c r="N349" s="385"/>
      <c r="O349" s="3193"/>
      <c r="P349" s="3193"/>
      <c r="Q349" s="3193"/>
    </row>
    <row r="350" spans="2:17" ht="20.100000000000001" customHeight="1">
      <c r="B350" s="3369"/>
      <c r="C350" s="407" t="s">
        <v>55</v>
      </c>
      <c r="D350" s="406" t="s">
        <v>470</v>
      </c>
      <c r="E350" s="406"/>
      <c r="F350" s="407" t="s">
        <v>469</v>
      </c>
      <c r="G350" s="3374" t="s">
        <v>468</v>
      </c>
      <c r="H350" s="388"/>
      <c r="I350" s="407" t="s">
        <v>467</v>
      </c>
      <c r="J350" s="5323" t="s">
        <v>466</v>
      </c>
      <c r="K350" s="5323"/>
      <c r="L350" s="5323"/>
      <c r="M350" s="5323"/>
      <c r="N350" s="385"/>
      <c r="O350" s="3193"/>
      <c r="P350" s="3193"/>
      <c r="Q350" s="3193"/>
    </row>
    <row r="351" spans="2:17" ht="20.100000000000001" customHeight="1">
      <c r="B351" s="3369"/>
      <c r="C351" s="407" t="s">
        <v>44</v>
      </c>
      <c r="D351" s="406" t="s">
        <v>465</v>
      </c>
      <c r="E351" s="406"/>
      <c r="F351" s="407" t="s">
        <v>464</v>
      </c>
      <c r="G351" s="406" t="s">
        <v>463</v>
      </c>
      <c r="H351" s="388"/>
      <c r="I351" s="409"/>
      <c r="J351" s="5323"/>
      <c r="K351" s="5323"/>
      <c r="L351" s="5323"/>
      <c r="M351" s="5323"/>
      <c r="N351" s="385"/>
      <c r="O351" s="3193"/>
      <c r="P351" s="3193"/>
      <c r="Q351" s="3193"/>
    </row>
    <row r="352" spans="2:17" ht="20.100000000000001" customHeight="1">
      <c r="B352" s="3369"/>
      <c r="C352" s="407" t="s">
        <v>46</v>
      </c>
      <c r="D352" s="406" t="s">
        <v>462</v>
      </c>
      <c r="E352" s="406"/>
      <c r="F352" s="407" t="s">
        <v>461</v>
      </c>
      <c r="G352" s="406" t="s">
        <v>460</v>
      </c>
      <c r="H352" s="388"/>
      <c r="I352" s="407" t="s">
        <v>459</v>
      </c>
      <c r="J352" s="406" t="s">
        <v>458</v>
      </c>
      <c r="K352" s="404"/>
      <c r="L352" s="406"/>
      <c r="M352" s="404"/>
      <c r="N352" s="385"/>
      <c r="O352" s="3193"/>
      <c r="P352" s="3193"/>
      <c r="Q352" s="3193"/>
    </row>
    <row r="353" spans="2:17" ht="20.100000000000001" customHeight="1">
      <c r="B353" s="3369"/>
      <c r="C353" s="407" t="s">
        <v>457</v>
      </c>
      <c r="D353" s="406" t="s">
        <v>456</v>
      </c>
      <c r="E353" s="3374"/>
      <c r="F353" s="407" t="s">
        <v>455</v>
      </c>
      <c r="G353" s="406" t="s">
        <v>454</v>
      </c>
      <c r="H353" s="388"/>
      <c r="I353" s="388"/>
      <c r="J353" s="388"/>
      <c r="K353" s="388"/>
      <c r="L353" s="405"/>
      <c r="M353" s="404"/>
      <c r="N353" s="385"/>
      <c r="O353" s="3193"/>
      <c r="P353" s="3193"/>
      <c r="Q353" s="3193"/>
    </row>
    <row r="354" spans="2:17" ht="20.100000000000001" customHeight="1" thickBot="1">
      <c r="B354" s="3369"/>
      <c r="C354" s="407"/>
      <c r="D354" s="406"/>
      <c r="E354" s="3374"/>
      <c r="F354" s="407"/>
      <c r="G354" s="406"/>
      <c r="H354" s="388"/>
      <c r="I354" s="388"/>
      <c r="J354" s="388"/>
      <c r="K354" s="388"/>
      <c r="L354" s="405"/>
      <c r="M354" s="404"/>
      <c r="N354" s="385"/>
      <c r="O354" s="3193"/>
      <c r="P354" s="3193"/>
      <c r="Q354" s="3193"/>
    </row>
    <row r="355" spans="2:17" ht="20.100000000000001" customHeight="1">
      <c r="B355" s="3369"/>
      <c r="C355" s="403"/>
      <c r="D355" s="5314" t="s">
        <v>453</v>
      </c>
      <c r="E355" s="5314"/>
      <c r="F355" s="5314"/>
      <c r="G355" s="5314"/>
      <c r="H355" s="5314"/>
      <c r="I355" s="5314"/>
      <c r="J355" s="5314"/>
      <c r="K355" s="5314"/>
      <c r="L355" s="5314"/>
      <c r="M355" s="5314"/>
      <c r="N355" s="385"/>
      <c r="O355" s="3193"/>
      <c r="P355" s="3193"/>
      <c r="Q355" s="3193"/>
    </row>
    <row r="356" spans="2:17" ht="20.100000000000001" customHeight="1">
      <c r="B356" s="3369"/>
      <c r="C356" s="5315" t="s">
        <v>452</v>
      </c>
      <c r="D356" s="5315"/>
      <c r="E356" s="5315"/>
      <c r="F356" s="5315"/>
      <c r="G356" s="5315"/>
      <c r="H356" s="5315"/>
      <c r="I356" s="5315"/>
      <c r="J356" s="5315"/>
      <c r="K356" s="5315"/>
      <c r="L356" s="5315"/>
      <c r="M356" s="5315"/>
      <c r="N356" s="385"/>
      <c r="O356" s="3193"/>
      <c r="P356" s="3193"/>
      <c r="Q356" s="3193"/>
    </row>
    <row r="357" spans="2:17" ht="20.100000000000001" customHeight="1">
      <c r="B357" s="3369"/>
      <c r="C357" s="5315"/>
      <c r="D357" s="5315"/>
      <c r="E357" s="5315"/>
      <c r="F357" s="5315"/>
      <c r="G357" s="5315"/>
      <c r="H357" s="5315"/>
      <c r="I357" s="5315"/>
      <c r="J357" s="5315"/>
      <c r="K357" s="5315"/>
      <c r="L357" s="5315"/>
      <c r="M357" s="5315"/>
      <c r="N357" s="385"/>
      <c r="O357" s="3193"/>
      <c r="P357" s="3193"/>
      <c r="Q357" s="3193"/>
    </row>
    <row r="358" spans="2:17" ht="20.100000000000001" customHeight="1">
      <c r="B358" s="3369"/>
      <c r="C358" s="6779"/>
      <c r="D358" s="6779"/>
      <c r="E358" s="6779"/>
      <c r="F358" s="6779"/>
      <c r="G358" s="6779"/>
      <c r="H358" s="6779"/>
      <c r="I358" s="6779"/>
      <c r="J358" s="6779"/>
      <c r="K358" s="6779"/>
      <c r="L358" s="6779"/>
      <c r="M358" s="6779"/>
      <c r="N358" s="385"/>
      <c r="O358" s="3193"/>
      <c r="P358" s="3193"/>
      <c r="Q358" s="3193"/>
    </row>
    <row r="359" spans="2:17" ht="20.100000000000001" customHeight="1">
      <c r="B359" s="3369"/>
      <c r="C359" s="1544"/>
      <c r="D359" s="402" t="s">
        <v>451</v>
      </c>
      <c r="E359" s="401">
        <f>SUM(E360:E362,I360:I362)</f>
        <v>6.956999999999999</v>
      </c>
      <c r="F359" s="1544"/>
      <c r="G359" s="1544"/>
      <c r="H359" s="1544"/>
      <c r="I359" s="1544"/>
      <c r="J359" s="1544"/>
      <c r="K359" s="1544"/>
      <c r="L359" s="1544"/>
      <c r="M359" s="1544"/>
      <c r="N359" s="385"/>
      <c r="O359" s="3193"/>
      <c r="P359" s="3193"/>
      <c r="Q359" s="3193"/>
    </row>
    <row r="360" spans="2:17" ht="20.100000000000001" customHeight="1">
      <c r="B360" s="3369"/>
      <c r="C360" s="399"/>
      <c r="D360" s="400" t="s">
        <v>450</v>
      </c>
      <c r="E360" s="397">
        <v>3.5</v>
      </c>
      <c r="F360" s="396"/>
      <c r="G360" s="399"/>
      <c r="H360" s="400" t="s">
        <v>449</v>
      </c>
      <c r="I360" s="397">
        <v>0.55000000000000004</v>
      </c>
      <c r="J360" s="397"/>
      <c r="K360" s="397"/>
      <c r="L360" s="396"/>
      <c r="M360" s="1544"/>
      <c r="N360" s="385"/>
      <c r="O360" s="3193"/>
      <c r="P360" s="3193"/>
      <c r="Q360" s="3193"/>
    </row>
    <row r="361" spans="2:17" ht="20.100000000000001" customHeight="1">
      <c r="B361" s="3369"/>
      <c r="C361" s="399"/>
      <c r="D361" s="400" t="s">
        <v>448</v>
      </c>
      <c r="E361" s="397">
        <v>1.6</v>
      </c>
      <c r="F361" s="396"/>
      <c r="G361" s="399"/>
      <c r="H361" s="400" t="s">
        <v>447</v>
      </c>
      <c r="I361" s="397">
        <v>4.4999999999999998E-2</v>
      </c>
      <c r="J361" s="397"/>
      <c r="K361" s="397"/>
      <c r="L361" s="396"/>
      <c r="M361" s="1544"/>
      <c r="N361" s="385"/>
      <c r="O361" s="3193"/>
      <c r="P361" s="3193"/>
      <c r="Q361" s="3193"/>
    </row>
    <row r="362" spans="2:17" ht="20.100000000000001" customHeight="1">
      <c r="B362" s="3369"/>
      <c r="C362" s="399"/>
      <c r="D362" s="400" t="s">
        <v>446</v>
      </c>
      <c r="E362" s="397">
        <v>1.25</v>
      </c>
      <c r="F362" s="396"/>
      <c r="G362" s="399"/>
      <c r="H362" s="398" t="s">
        <v>445</v>
      </c>
      <c r="I362" s="397">
        <v>1.2E-2</v>
      </c>
      <c r="J362" s="397"/>
      <c r="K362" s="397"/>
      <c r="L362" s="396"/>
      <c r="M362" s="1544"/>
      <c r="N362" s="385"/>
      <c r="O362" s="3193"/>
      <c r="P362" s="3193"/>
      <c r="Q362" s="3193"/>
    </row>
    <row r="363" spans="2:17" ht="20.100000000000001" customHeight="1">
      <c r="B363" s="3369"/>
      <c r="C363" s="3375" t="s">
        <v>444</v>
      </c>
      <c r="D363" s="1544"/>
      <c r="E363" s="1544"/>
      <c r="F363" s="1544"/>
      <c r="G363" s="1544"/>
      <c r="H363" s="1544"/>
      <c r="I363" s="1544"/>
      <c r="J363" s="1544"/>
      <c r="K363" s="1544"/>
      <c r="L363" s="1544"/>
      <c r="M363" s="1544"/>
      <c r="N363" s="385"/>
      <c r="O363" s="3193"/>
      <c r="P363" s="3193"/>
      <c r="Q363" s="3193"/>
    </row>
    <row r="364" spans="2:17" ht="20.100000000000001" customHeight="1">
      <c r="B364" s="3369"/>
      <c r="C364" s="6780" t="s">
        <v>443</v>
      </c>
      <c r="D364" s="6780"/>
      <c r="E364" s="6780"/>
      <c r="F364" s="6780"/>
      <c r="G364" s="6780"/>
      <c r="H364" s="6780"/>
      <c r="I364" s="6780"/>
      <c r="J364" s="6780"/>
      <c r="K364" s="6780"/>
      <c r="L364" s="6780"/>
      <c r="M364" s="6780"/>
      <c r="N364" s="385"/>
      <c r="O364" s="3193"/>
      <c r="P364" s="3193"/>
      <c r="Q364" s="3193"/>
    </row>
    <row r="365" spans="2:17" ht="20.100000000000001" customHeight="1">
      <c r="B365" s="3369"/>
      <c r="C365" s="6780"/>
      <c r="D365" s="6780"/>
      <c r="E365" s="6780"/>
      <c r="F365" s="6780"/>
      <c r="G365" s="6780"/>
      <c r="H365" s="6780"/>
      <c r="I365" s="6780"/>
      <c r="J365" s="6780"/>
      <c r="K365" s="6780"/>
      <c r="L365" s="6780"/>
      <c r="M365" s="6780"/>
      <c r="N365" s="385"/>
      <c r="O365" s="3193"/>
      <c r="P365" s="3193"/>
      <c r="Q365" s="3193"/>
    </row>
    <row r="366" spans="2:17" ht="20.100000000000001" customHeight="1">
      <c r="B366" s="3369"/>
      <c r="C366" s="3375" t="s">
        <v>442</v>
      </c>
      <c r="D366" s="1544"/>
      <c r="E366" s="1544"/>
      <c r="F366" s="1544"/>
      <c r="G366" s="1544"/>
      <c r="H366" s="1544"/>
      <c r="I366" s="1544"/>
      <c r="J366" s="1544"/>
      <c r="K366" s="1544"/>
      <c r="L366" s="1544"/>
      <c r="M366" s="1544"/>
      <c r="N366" s="385"/>
      <c r="O366" s="3193"/>
      <c r="P366" s="3193"/>
      <c r="Q366" s="3193"/>
    </row>
    <row r="367" spans="2:17" ht="20.100000000000001" customHeight="1">
      <c r="B367" s="3369"/>
      <c r="C367" s="3376" t="s">
        <v>441</v>
      </c>
      <c r="D367" s="1544"/>
      <c r="E367" s="1544"/>
      <c r="F367" s="1544"/>
      <c r="G367" s="1544"/>
      <c r="H367" s="1544"/>
      <c r="I367" s="1544"/>
      <c r="J367" s="1544"/>
      <c r="K367" s="1544"/>
      <c r="L367" s="1544"/>
      <c r="M367" s="1544"/>
      <c r="N367" s="385"/>
      <c r="O367" s="3193"/>
      <c r="P367" s="3193"/>
      <c r="Q367" s="3193"/>
    </row>
    <row r="368" spans="2:17" ht="20.100000000000001" customHeight="1">
      <c r="B368" s="3369"/>
      <c r="C368" s="3377" t="s">
        <v>440</v>
      </c>
      <c r="D368" s="1544"/>
      <c r="E368" s="1544"/>
      <c r="F368" s="3377" t="s">
        <v>439</v>
      </c>
      <c r="G368" s="1544"/>
      <c r="H368" s="3377" t="s">
        <v>438</v>
      </c>
      <c r="I368" s="1544"/>
      <c r="J368" s="1544"/>
      <c r="K368" s="1544"/>
      <c r="L368" s="1544"/>
      <c r="M368" s="1544"/>
      <c r="N368" s="385"/>
      <c r="O368" s="3193"/>
      <c r="P368" s="3193"/>
      <c r="Q368" s="3193"/>
    </row>
    <row r="369" spans="2:17" ht="20.100000000000001" customHeight="1">
      <c r="B369" s="3369"/>
      <c r="C369" s="3377" t="s">
        <v>437</v>
      </c>
      <c r="D369" s="3378" t="s">
        <v>436</v>
      </c>
      <c r="E369" s="1544"/>
      <c r="F369" s="1544"/>
      <c r="G369" s="1544"/>
      <c r="H369" s="1544"/>
      <c r="I369" s="1544"/>
      <c r="J369" s="1544"/>
      <c r="K369" s="1544"/>
      <c r="L369" s="1544"/>
      <c r="M369" s="1544"/>
      <c r="N369" s="385"/>
      <c r="O369" s="3193"/>
      <c r="P369" s="3193"/>
      <c r="Q369" s="3193"/>
    </row>
    <row r="370" spans="2:17" ht="20.100000000000001" customHeight="1">
      <c r="B370" s="3369"/>
      <c r="C370" s="1544"/>
      <c r="D370" s="1544"/>
      <c r="E370" s="1544"/>
      <c r="F370" s="1544"/>
      <c r="G370" s="1544"/>
      <c r="H370" s="1544"/>
      <c r="I370" s="1544"/>
      <c r="J370" s="1544"/>
      <c r="K370" s="1544"/>
      <c r="L370" s="1544"/>
      <c r="M370" s="1544"/>
      <c r="N370" s="385"/>
      <c r="O370" s="3193"/>
      <c r="P370" s="3193"/>
      <c r="Q370" s="3193"/>
    </row>
    <row r="371" spans="2:17" ht="20.100000000000001" customHeight="1">
      <c r="B371" s="3369"/>
      <c r="C371" s="6781" t="s">
        <v>34</v>
      </c>
      <c r="D371" s="6781"/>
      <c r="E371" s="6781"/>
      <c r="F371" s="6781"/>
      <c r="G371" s="6781"/>
      <c r="H371" s="6781"/>
      <c r="I371" s="6781"/>
      <c r="J371" s="6781"/>
      <c r="K371" s="6781"/>
      <c r="L371" s="6781"/>
      <c r="M371" s="6781"/>
      <c r="N371" s="385"/>
      <c r="O371" s="3193"/>
      <c r="P371" s="3193"/>
      <c r="Q371" s="3193"/>
    </row>
    <row r="372" spans="2:17" ht="20.100000000000001" customHeight="1" thickBot="1">
      <c r="B372" s="3379"/>
      <c r="C372" s="6709"/>
      <c r="D372" s="6709"/>
      <c r="E372" s="6709"/>
      <c r="F372" s="6709"/>
      <c r="G372" s="6709"/>
      <c r="H372" s="6709"/>
      <c r="I372" s="6709"/>
      <c r="J372" s="6709"/>
      <c r="K372" s="6709"/>
      <c r="L372" s="6709"/>
      <c r="M372" s="6709"/>
      <c r="N372" s="3258"/>
      <c r="O372" s="3193"/>
      <c r="P372" s="3193"/>
      <c r="Q372" s="3193"/>
    </row>
    <row r="373" spans="2:17" ht="20.100000000000001" customHeight="1" thickBot="1">
      <c r="B373" s="3193"/>
      <c r="C373" s="3193"/>
      <c r="D373" s="3193"/>
      <c r="E373" s="356"/>
      <c r="F373" s="356"/>
      <c r="G373" s="3193"/>
      <c r="H373" s="3193"/>
      <c r="I373" s="3193"/>
      <c r="J373" s="3193"/>
      <c r="K373" s="3193"/>
      <c r="L373" s="3193"/>
      <c r="M373" s="3193"/>
      <c r="N373" s="3193"/>
      <c r="O373" s="3193"/>
      <c r="P373" s="3193"/>
      <c r="Q373" s="3193"/>
    </row>
    <row r="374" spans="2:17" ht="20.100000000000001" customHeight="1">
      <c r="B374" s="6782" t="s">
        <v>435</v>
      </c>
      <c r="C374" s="6783"/>
      <c r="D374" s="6783"/>
      <c r="E374" s="6783"/>
      <c r="F374" s="6783"/>
      <c r="G374" s="6783"/>
      <c r="H374" s="6783"/>
      <c r="I374" s="6783"/>
      <c r="J374" s="6784"/>
      <c r="K374" s="3193"/>
      <c r="L374" s="3193"/>
      <c r="M374" s="3193"/>
      <c r="N374" s="3193"/>
      <c r="O374" s="3193"/>
      <c r="P374" s="3193"/>
      <c r="Q374" s="3193"/>
    </row>
    <row r="375" spans="2:17" ht="20.100000000000001" customHeight="1">
      <c r="B375" s="6785" t="s">
        <v>434</v>
      </c>
      <c r="C375" s="6786"/>
      <c r="D375" s="6786"/>
      <c r="E375" s="6786"/>
      <c r="F375" s="6786"/>
      <c r="G375" s="6786"/>
      <c r="H375" s="6786"/>
      <c r="I375" s="6786"/>
      <c r="J375" s="6787"/>
      <c r="K375" s="3193"/>
      <c r="L375" s="3193"/>
      <c r="M375" s="3193"/>
      <c r="N375" s="3193"/>
      <c r="O375" s="3193"/>
      <c r="P375" s="3193"/>
      <c r="Q375" s="3193"/>
    </row>
    <row r="376" spans="2:17" ht="20.100000000000001" customHeight="1">
      <c r="B376" s="6788" t="s">
        <v>433</v>
      </c>
      <c r="C376" s="6789"/>
      <c r="D376" s="6789"/>
      <c r="E376" s="6789"/>
      <c r="F376" s="6789"/>
      <c r="G376" s="6789"/>
      <c r="H376" s="6789"/>
      <c r="I376" s="6789"/>
      <c r="J376" s="6790"/>
      <c r="K376" s="3193"/>
      <c r="L376" s="3193"/>
      <c r="M376" s="3193"/>
      <c r="N376" s="3193"/>
      <c r="O376" s="3193"/>
      <c r="P376" s="3193"/>
      <c r="Q376" s="3193"/>
    </row>
    <row r="377" spans="2:17" ht="20.100000000000001" customHeight="1">
      <c r="B377" s="6788"/>
      <c r="C377" s="6789"/>
      <c r="D377" s="6789"/>
      <c r="E377" s="6789"/>
      <c r="F377" s="6789"/>
      <c r="G377" s="6789"/>
      <c r="H377" s="6789"/>
      <c r="I377" s="6789"/>
      <c r="J377" s="6790"/>
      <c r="K377" s="3193"/>
      <c r="L377" s="3193"/>
      <c r="M377" s="3193"/>
      <c r="N377" s="3193"/>
      <c r="O377" s="3193"/>
      <c r="P377" s="3193"/>
      <c r="Q377" s="3193"/>
    </row>
    <row r="378" spans="2:17" ht="20.100000000000001" customHeight="1">
      <c r="B378" s="3380" t="s">
        <v>432</v>
      </c>
      <c r="C378" s="3381"/>
      <c r="D378" s="3381"/>
      <c r="E378" s="3381"/>
      <c r="F378" s="3381"/>
      <c r="G378" s="3381"/>
      <c r="H378" s="3381"/>
      <c r="I378" s="3381"/>
      <c r="J378" s="389"/>
      <c r="K378" s="3193"/>
      <c r="L378" s="3193"/>
      <c r="M378" s="3193"/>
      <c r="N378" s="3193"/>
      <c r="O378" s="3193"/>
      <c r="P378" s="3193"/>
      <c r="Q378" s="3193"/>
    </row>
    <row r="379" spans="2:17" ht="20.100000000000001" customHeight="1">
      <c r="B379" s="3380" t="s">
        <v>431</v>
      </c>
      <c r="C379" s="3381"/>
      <c r="D379" s="3381"/>
      <c r="E379" s="3381"/>
      <c r="F379" s="3381"/>
      <c r="G379" s="3382" t="s">
        <v>430</v>
      </c>
      <c r="H379" s="3381"/>
      <c r="I379" s="3381"/>
      <c r="J379" s="389"/>
      <c r="K379" s="3193"/>
      <c r="L379" s="3193"/>
      <c r="M379" s="3193"/>
      <c r="N379" s="3193"/>
      <c r="O379" s="3193"/>
      <c r="P379" s="3193"/>
      <c r="Q379" s="3193"/>
    </row>
    <row r="380" spans="2:17" ht="20.100000000000001" customHeight="1">
      <c r="B380" s="6791" t="s">
        <v>429</v>
      </c>
      <c r="C380" s="6792"/>
      <c r="D380" s="6792"/>
      <c r="E380" s="6792"/>
      <c r="F380" s="6792"/>
      <c r="G380" s="6792"/>
      <c r="H380" s="6792"/>
      <c r="I380" s="6792"/>
      <c r="J380" s="6793"/>
      <c r="K380" s="3193"/>
      <c r="L380" s="3193"/>
      <c r="M380" s="3193"/>
      <c r="N380" s="3193"/>
      <c r="O380" s="3193"/>
      <c r="P380" s="3193"/>
      <c r="Q380" s="3193"/>
    </row>
    <row r="381" spans="2:17" ht="20.100000000000001" customHeight="1">
      <c r="B381" s="6791"/>
      <c r="C381" s="6792"/>
      <c r="D381" s="6792"/>
      <c r="E381" s="6792"/>
      <c r="F381" s="6792"/>
      <c r="G381" s="6792"/>
      <c r="H381" s="6792"/>
      <c r="I381" s="6792"/>
      <c r="J381" s="6793"/>
      <c r="K381" s="3193"/>
      <c r="L381" s="3193"/>
      <c r="M381" s="3193"/>
      <c r="N381" s="3193"/>
      <c r="O381" s="3193"/>
      <c r="P381" s="3193"/>
      <c r="Q381" s="3193"/>
    </row>
    <row r="382" spans="2:17" ht="20.100000000000001" customHeight="1">
      <c r="B382" s="6794" t="s">
        <v>428</v>
      </c>
      <c r="C382" s="6795"/>
      <c r="D382" s="6795"/>
      <c r="E382" s="6795"/>
      <c r="F382" s="6795"/>
      <c r="G382" s="6795"/>
      <c r="H382" s="6795"/>
      <c r="I382" s="6795"/>
      <c r="J382" s="6796"/>
      <c r="K382" s="3193"/>
      <c r="L382" s="3193"/>
      <c r="M382" s="3193"/>
      <c r="N382" s="3193"/>
      <c r="O382" s="3193"/>
      <c r="P382" s="3193"/>
      <c r="Q382" s="3193"/>
    </row>
    <row r="383" spans="2:17" ht="20.100000000000001" customHeight="1">
      <c r="B383" s="6794"/>
      <c r="C383" s="6795"/>
      <c r="D383" s="6795"/>
      <c r="E383" s="6795"/>
      <c r="F383" s="6795"/>
      <c r="G383" s="6795"/>
      <c r="H383" s="6795"/>
      <c r="I383" s="6795"/>
      <c r="J383" s="6796"/>
      <c r="K383" s="3193"/>
      <c r="L383" s="3193"/>
      <c r="M383" s="3193"/>
      <c r="N383" s="3193"/>
      <c r="O383" s="3193"/>
      <c r="P383" s="3193"/>
      <c r="Q383" s="3193"/>
    </row>
    <row r="384" spans="2:17" ht="20.100000000000001" customHeight="1">
      <c r="B384" s="6797" t="s">
        <v>427</v>
      </c>
      <c r="C384" s="6798"/>
      <c r="D384" s="6799">
        <v>9.86</v>
      </c>
      <c r="E384" s="6800" t="s">
        <v>426</v>
      </c>
      <c r="F384" s="6799">
        <v>5.694</v>
      </c>
      <c r="G384" s="6801" t="s">
        <v>425</v>
      </c>
      <c r="H384" s="6802">
        <f>D384*F384</f>
        <v>56.14284</v>
      </c>
      <c r="I384" s="6802" t="s">
        <v>424</v>
      </c>
      <c r="J384" s="6810">
        <f>H384</f>
        <v>56.14284</v>
      </c>
      <c r="K384" s="3193"/>
      <c r="L384" s="3193"/>
      <c r="M384" s="3193"/>
      <c r="N384" s="3193"/>
      <c r="O384" s="3193"/>
      <c r="P384" s="3193"/>
      <c r="Q384" s="3193"/>
    </row>
    <row r="385" spans="2:17" ht="20.100000000000001" customHeight="1">
      <c r="B385" s="6797"/>
      <c r="C385" s="6798"/>
      <c r="D385" s="6799"/>
      <c r="E385" s="6800"/>
      <c r="F385" s="6799"/>
      <c r="G385" s="6801"/>
      <c r="H385" s="6802"/>
      <c r="I385" s="6802"/>
      <c r="J385" s="6810"/>
      <c r="K385" s="3193"/>
      <c r="L385" s="3193"/>
      <c r="M385" s="3193"/>
      <c r="N385" s="3193"/>
      <c r="O385" s="3193"/>
      <c r="P385" s="3193"/>
      <c r="Q385" s="3193"/>
    </row>
    <row r="386" spans="2:17" ht="20.100000000000001" customHeight="1">
      <c r="B386" s="3383"/>
      <c r="C386" s="3384" t="s">
        <v>423</v>
      </c>
      <c r="D386" s="388"/>
      <c r="E386" s="388"/>
      <c r="F386" s="388"/>
      <c r="G386" s="388"/>
      <c r="H386" s="388"/>
      <c r="I386" s="388"/>
      <c r="J386" s="387"/>
      <c r="K386" s="3193"/>
      <c r="L386" s="3193"/>
      <c r="M386" s="3193"/>
      <c r="N386" s="3193"/>
      <c r="O386" s="3193"/>
      <c r="P386" s="3193"/>
      <c r="Q386" s="3193"/>
    </row>
    <row r="387" spans="2:17" ht="20.100000000000001" customHeight="1">
      <c r="B387" s="3383"/>
      <c r="C387" s="3384" t="s">
        <v>422</v>
      </c>
      <c r="D387" s="388"/>
      <c r="E387" s="388"/>
      <c r="F387" s="388"/>
      <c r="G387" s="388"/>
      <c r="H387" s="388"/>
      <c r="I387" s="388"/>
      <c r="J387" s="387"/>
      <c r="K387" s="3193"/>
      <c r="L387" s="3193"/>
      <c r="M387" s="3193"/>
      <c r="N387" s="3193"/>
      <c r="O387" s="3193"/>
      <c r="P387" s="3193"/>
      <c r="Q387" s="3193"/>
    </row>
    <row r="388" spans="2:17" ht="20.100000000000001" customHeight="1">
      <c r="B388" s="3383"/>
      <c r="C388" s="3384" t="s">
        <v>421</v>
      </c>
      <c r="D388" s="388"/>
      <c r="E388" s="388"/>
      <c r="F388" s="388"/>
      <c r="G388" s="388"/>
      <c r="H388" s="388"/>
      <c r="I388" s="388"/>
      <c r="J388" s="387"/>
      <c r="K388" s="3193"/>
      <c r="L388" s="3193"/>
      <c r="M388" s="3193"/>
      <c r="N388" s="3193"/>
      <c r="O388" s="3193"/>
      <c r="P388" s="3193"/>
      <c r="Q388" s="3193"/>
    </row>
    <row r="389" spans="2:17" ht="20.100000000000001" customHeight="1">
      <c r="B389" s="3383"/>
      <c r="C389" s="3384" t="s">
        <v>420</v>
      </c>
      <c r="D389" s="388"/>
      <c r="E389" s="388"/>
      <c r="F389" s="388"/>
      <c r="G389" s="388"/>
      <c r="H389" s="388"/>
      <c r="I389" s="388"/>
      <c r="J389" s="387"/>
      <c r="K389" s="3193"/>
      <c r="L389" s="3193"/>
      <c r="M389" s="3193"/>
      <c r="N389" s="3193"/>
      <c r="O389" s="3193"/>
      <c r="P389" s="3193"/>
      <c r="Q389" s="3193"/>
    </row>
    <row r="390" spans="2:17" ht="20.100000000000001" customHeight="1">
      <c r="B390" s="6811" t="s">
        <v>419</v>
      </c>
      <c r="C390" s="6812"/>
      <c r="D390" s="6812"/>
      <c r="E390" s="6812"/>
      <c r="F390" s="6812"/>
      <c r="G390" s="6812"/>
      <c r="H390" s="6812"/>
      <c r="I390" s="6812"/>
      <c r="J390" s="6813"/>
      <c r="K390" s="3193"/>
      <c r="L390" s="3193"/>
      <c r="M390" s="3193"/>
      <c r="N390" s="3193"/>
      <c r="O390" s="3193"/>
      <c r="P390" s="3193"/>
      <c r="Q390" s="3193"/>
    </row>
    <row r="391" spans="2:17" ht="20.100000000000001" customHeight="1">
      <c r="B391" s="6811"/>
      <c r="C391" s="6812"/>
      <c r="D391" s="6812"/>
      <c r="E391" s="6812"/>
      <c r="F391" s="6812"/>
      <c r="G391" s="6812"/>
      <c r="H391" s="6812"/>
      <c r="I391" s="6812"/>
      <c r="J391" s="6813"/>
      <c r="K391" s="3193"/>
      <c r="L391" s="3193"/>
      <c r="M391" s="3193"/>
      <c r="N391" s="3193"/>
      <c r="O391" s="3193"/>
      <c r="P391" s="3193"/>
      <c r="Q391" s="3193"/>
    </row>
    <row r="392" spans="2:17" ht="20.100000000000001" customHeight="1">
      <c r="B392" s="6811"/>
      <c r="C392" s="6812"/>
      <c r="D392" s="6812"/>
      <c r="E392" s="6812"/>
      <c r="F392" s="6812"/>
      <c r="G392" s="6812"/>
      <c r="H392" s="6812"/>
      <c r="I392" s="6812"/>
      <c r="J392" s="6813"/>
      <c r="K392" s="3193"/>
      <c r="L392" s="3193"/>
      <c r="M392" s="3193"/>
      <c r="N392" s="3193"/>
      <c r="O392" s="3193"/>
      <c r="P392" s="3193"/>
      <c r="Q392" s="3193"/>
    </row>
    <row r="393" spans="2:17" ht="20.100000000000001" customHeight="1">
      <c r="B393" s="6811" t="s">
        <v>418</v>
      </c>
      <c r="C393" s="6812"/>
      <c r="D393" s="6812"/>
      <c r="E393" s="6812"/>
      <c r="F393" s="6812"/>
      <c r="G393" s="6812"/>
      <c r="H393" s="6812"/>
      <c r="I393" s="6812"/>
      <c r="J393" s="6813"/>
      <c r="K393" s="3193"/>
      <c r="L393" s="3193"/>
      <c r="M393" s="3193"/>
      <c r="N393" s="3193"/>
      <c r="O393" s="3193"/>
      <c r="P393" s="3193"/>
      <c r="Q393" s="3193"/>
    </row>
    <row r="394" spans="2:17" ht="20.100000000000001" customHeight="1">
      <c r="B394" s="6811"/>
      <c r="C394" s="6812"/>
      <c r="D394" s="6812"/>
      <c r="E394" s="6812"/>
      <c r="F394" s="6812"/>
      <c r="G394" s="6812"/>
      <c r="H394" s="6812"/>
      <c r="I394" s="6812"/>
      <c r="J394" s="6813"/>
      <c r="K394" s="3193"/>
      <c r="L394" s="3193"/>
      <c r="M394" s="3193"/>
      <c r="N394" s="3193"/>
      <c r="O394" s="3193"/>
      <c r="P394" s="3193"/>
      <c r="Q394" s="3193"/>
    </row>
    <row r="395" spans="2:17" ht="20.100000000000001" customHeight="1">
      <c r="B395" s="3383"/>
      <c r="C395" s="3384" t="s">
        <v>417</v>
      </c>
      <c r="D395" s="388"/>
      <c r="E395" s="388"/>
      <c r="F395" s="388"/>
      <c r="G395" s="388"/>
      <c r="H395" s="388"/>
      <c r="I395" s="388"/>
      <c r="J395" s="387"/>
      <c r="K395" s="3193"/>
      <c r="L395" s="3193"/>
      <c r="M395" s="3193"/>
      <c r="N395" s="3193"/>
      <c r="O395" s="3193"/>
      <c r="P395" s="3193"/>
      <c r="Q395" s="3193"/>
    </row>
    <row r="396" spans="2:17" ht="20.100000000000001" customHeight="1">
      <c r="B396" s="3383"/>
      <c r="C396" s="3384" t="s">
        <v>416</v>
      </c>
      <c r="D396" s="388"/>
      <c r="E396" s="388"/>
      <c r="F396" s="388"/>
      <c r="G396" s="388"/>
      <c r="H396" s="388"/>
      <c r="I396" s="388"/>
      <c r="J396" s="387"/>
      <c r="K396" s="3193"/>
      <c r="L396" s="3193"/>
      <c r="M396" s="3193"/>
      <c r="N396" s="3193"/>
      <c r="O396" s="3193"/>
      <c r="P396" s="3193"/>
      <c r="Q396" s="3193"/>
    </row>
    <row r="397" spans="2:17" ht="20.100000000000001" customHeight="1">
      <c r="B397" s="3385"/>
      <c r="C397" s="3386"/>
      <c r="D397" s="388"/>
      <c r="E397" s="388"/>
      <c r="F397" s="388"/>
      <c r="G397" s="388"/>
      <c r="H397" s="388"/>
      <c r="I397" s="388"/>
      <c r="J397" s="387"/>
      <c r="K397" s="3193"/>
      <c r="L397" s="3193"/>
      <c r="M397" s="3193"/>
      <c r="N397" s="3193"/>
      <c r="O397" s="3193"/>
      <c r="P397" s="3193"/>
      <c r="Q397" s="3193"/>
    </row>
    <row r="398" spans="2:17" ht="20.100000000000001" customHeight="1">
      <c r="B398" s="3383"/>
      <c r="C398" s="3384" t="s">
        <v>415</v>
      </c>
      <c r="D398" s="388"/>
      <c r="E398" s="388"/>
      <c r="F398" s="388"/>
      <c r="G398" s="388"/>
      <c r="H398" s="388"/>
      <c r="I398" s="388"/>
      <c r="J398" s="387"/>
      <c r="K398" s="3193"/>
      <c r="L398" s="3193"/>
      <c r="M398" s="3193"/>
      <c r="N398" s="3193"/>
      <c r="O398" s="3193"/>
      <c r="P398" s="3193"/>
      <c r="Q398" s="3193"/>
    </row>
    <row r="399" spans="2:17" ht="20.100000000000001" customHeight="1">
      <c r="B399" s="3383"/>
      <c r="C399" s="3384" t="s">
        <v>414</v>
      </c>
      <c r="D399" s="388"/>
      <c r="E399" s="388"/>
      <c r="F399" s="388"/>
      <c r="G399" s="388"/>
      <c r="H399" s="388"/>
      <c r="I399" s="388"/>
      <c r="J399" s="387"/>
      <c r="K399" s="3193"/>
      <c r="L399" s="3193"/>
      <c r="M399" s="3193"/>
      <c r="N399" s="3193"/>
      <c r="O399" s="3193"/>
      <c r="P399" s="3193"/>
      <c r="Q399" s="3193"/>
    </row>
    <row r="400" spans="2:17" ht="20.100000000000001" customHeight="1">
      <c r="B400" s="3383"/>
      <c r="C400" s="3384" t="s">
        <v>413</v>
      </c>
      <c r="D400" s="388"/>
      <c r="E400" s="388"/>
      <c r="F400" s="388"/>
      <c r="G400" s="388"/>
      <c r="H400" s="388"/>
      <c r="I400" s="388"/>
      <c r="J400" s="387"/>
      <c r="K400" s="3193"/>
      <c r="L400" s="3193"/>
      <c r="M400" s="3193"/>
      <c r="N400" s="3193"/>
      <c r="O400" s="3193"/>
      <c r="P400" s="3193"/>
      <c r="Q400" s="3193"/>
    </row>
    <row r="401" spans="1:17" ht="20.100000000000001" customHeight="1">
      <c r="B401" s="3383"/>
      <c r="C401" s="3384" t="s">
        <v>412</v>
      </c>
      <c r="D401" s="388"/>
      <c r="E401" s="388"/>
      <c r="F401" s="388"/>
      <c r="G401" s="388"/>
      <c r="H401" s="388"/>
      <c r="I401" s="388"/>
      <c r="J401" s="387"/>
      <c r="K401" s="3193"/>
      <c r="L401" s="3193"/>
      <c r="M401" s="3193"/>
      <c r="N401" s="3193"/>
      <c r="O401" s="3193"/>
      <c r="P401" s="3193"/>
      <c r="Q401" s="3193"/>
    </row>
    <row r="402" spans="1:17" ht="20.100000000000001" customHeight="1">
      <c r="B402" s="6811" t="s">
        <v>411</v>
      </c>
      <c r="C402" s="6812"/>
      <c r="D402" s="6812"/>
      <c r="E402" s="6812"/>
      <c r="F402" s="6812"/>
      <c r="G402" s="6812"/>
      <c r="H402" s="6812"/>
      <c r="I402" s="6812"/>
      <c r="J402" s="6813"/>
      <c r="K402" s="3193"/>
      <c r="L402" s="3193"/>
      <c r="M402" s="3193"/>
      <c r="N402" s="3193"/>
      <c r="O402" s="3193"/>
      <c r="P402" s="3193"/>
      <c r="Q402" s="3193"/>
    </row>
    <row r="403" spans="1:17" ht="20.100000000000001" customHeight="1">
      <c r="B403" s="6811"/>
      <c r="C403" s="6812"/>
      <c r="D403" s="6812"/>
      <c r="E403" s="6812"/>
      <c r="F403" s="6812"/>
      <c r="G403" s="6812"/>
      <c r="H403" s="6812"/>
      <c r="I403" s="6812"/>
      <c r="J403" s="6813"/>
      <c r="K403" s="3193"/>
      <c r="L403" s="3193"/>
      <c r="M403" s="3193"/>
      <c r="N403" s="3193"/>
      <c r="O403" s="3193"/>
      <c r="P403" s="3193"/>
      <c r="Q403" s="3193"/>
    </row>
    <row r="404" spans="1:17" ht="20.100000000000001" customHeight="1">
      <c r="B404" s="3387" t="s">
        <v>410</v>
      </c>
      <c r="C404" s="386"/>
      <c r="D404" s="386"/>
      <c r="E404" s="386"/>
      <c r="F404" s="386"/>
      <c r="G404" s="386"/>
      <c r="H404" s="386"/>
      <c r="I404" s="386"/>
      <c r="J404" s="385"/>
      <c r="K404" s="3193"/>
      <c r="L404" s="3193"/>
      <c r="M404" s="3193"/>
      <c r="N404" s="3193"/>
      <c r="O404" s="3193"/>
      <c r="P404" s="3193"/>
      <c r="Q404" s="3193"/>
    </row>
    <row r="405" spans="1:17" ht="20.100000000000001" customHeight="1" thickBot="1">
      <c r="B405" s="3256"/>
      <c r="C405" s="3257"/>
      <c r="D405" s="3257"/>
      <c r="E405" s="3257"/>
      <c r="F405" s="3257"/>
      <c r="G405" s="3257"/>
      <c r="H405" s="3257"/>
      <c r="I405" s="3257"/>
      <c r="J405" s="3258"/>
      <c r="K405" s="3193"/>
      <c r="L405" s="3193"/>
      <c r="M405" s="3193"/>
      <c r="N405" s="3193"/>
      <c r="O405" s="3193"/>
      <c r="P405" s="3193"/>
      <c r="Q405" s="3193"/>
    </row>
    <row r="406" spans="1:17" ht="20.100000000000001" customHeight="1">
      <c r="B406" s="3193"/>
      <c r="C406" s="3193"/>
      <c r="D406" s="3193"/>
      <c r="E406" s="356"/>
      <c r="F406" s="356"/>
      <c r="G406" s="3193"/>
      <c r="H406" s="3193"/>
      <c r="I406" s="3193"/>
      <c r="J406" s="3193"/>
      <c r="K406" s="3193"/>
      <c r="L406" s="3193"/>
      <c r="M406" s="3193"/>
      <c r="N406" s="3193"/>
      <c r="O406" s="3193"/>
      <c r="P406" s="3193"/>
      <c r="Q406" s="3193"/>
    </row>
    <row r="407" spans="1:17">
      <c r="A407" s="3228"/>
      <c r="B407" s="5"/>
      <c r="C407" s="6"/>
      <c r="D407" s="6"/>
      <c r="E407" s="6"/>
      <c r="F407" s="6"/>
      <c r="G407" s="6"/>
      <c r="H407" s="6"/>
      <c r="I407" s="6"/>
      <c r="J407" s="5"/>
      <c r="K407" s="5"/>
      <c r="L407" s="5"/>
      <c r="M407" s="3228"/>
      <c r="N407" s="3228"/>
      <c r="O407" s="3228"/>
      <c r="P407" s="3228"/>
      <c r="Q407" s="3228"/>
    </row>
    <row r="408" spans="1:17" ht="20.100000000000001" customHeight="1">
      <c r="B408" s="3193"/>
      <c r="C408" s="3193"/>
      <c r="D408" s="3193"/>
      <c r="E408" s="356"/>
      <c r="F408" s="356"/>
      <c r="G408" s="3193"/>
      <c r="H408" s="3193"/>
      <c r="I408" s="3193"/>
      <c r="J408" s="3193"/>
      <c r="K408" s="3193"/>
      <c r="L408" s="3193"/>
      <c r="M408" s="3193"/>
      <c r="N408" s="3193"/>
      <c r="O408" s="3193"/>
      <c r="P408" s="3193"/>
      <c r="Q408" s="3193"/>
    </row>
    <row r="409" spans="1:17" ht="15.75" thickBot="1">
      <c r="A409" s="3193"/>
      <c r="B409" s="3"/>
      <c r="C409" s="376"/>
      <c r="D409" s="376"/>
      <c r="E409" s="376"/>
      <c r="F409" s="376"/>
      <c r="G409" s="376"/>
      <c r="H409" s="376"/>
      <c r="I409" s="376"/>
      <c r="J409" s="3"/>
      <c r="K409" s="3"/>
      <c r="L409" s="3"/>
      <c r="M409" s="3193"/>
      <c r="N409" s="3193"/>
      <c r="O409" s="3193"/>
      <c r="P409" s="3193"/>
      <c r="Q409" s="3193"/>
    </row>
    <row r="410" spans="1:17" ht="15.75">
      <c r="A410" s="3193"/>
      <c r="B410" s="6814" t="s">
        <v>3127</v>
      </c>
      <c r="C410" s="6815"/>
      <c r="D410" s="6815"/>
      <c r="E410" s="6815"/>
      <c r="F410" s="6815"/>
      <c r="G410" s="6816"/>
      <c r="H410" s="376"/>
      <c r="I410" s="6814" t="s">
        <v>3127</v>
      </c>
      <c r="J410" s="6815"/>
      <c r="K410" s="6815"/>
      <c r="L410" s="6815"/>
      <c r="M410" s="6815"/>
      <c r="N410" s="6816"/>
      <c r="O410" s="3193"/>
      <c r="P410" s="3193"/>
      <c r="Q410" s="3193"/>
    </row>
    <row r="411" spans="1:17">
      <c r="A411" s="3193"/>
      <c r="B411" s="5536" t="s">
        <v>409</v>
      </c>
      <c r="C411" s="6803"/>
      <c r="D411" s="3388" t="s">
        <v>408</v>
      </c>
      <c r="E411" s="3389" t="s">
        <v>407</v>
      </c>
      <c r="F411" s="6804" t="s">
        <v>281</v>
      </c>
      <c r="G411" s="5539"/>
      <c r="H411" s="376"/>
      <c r="I411" s="5536" t="s">
        <v>409</v>
      </c>
      <c r="J411" s="6803"/>
      <c r="K411" s="3388" t="s">
        <v>408</v>
      </c>
      <c r="L411" s="3389" t="s">
        <v>407</v>
      </c>
      <c r="M411" s="6804" t="s">
        <v>281</v>
      </c>
      <c r="N411" s="5539"/>
      <c r="O411" s="3193"/>
      <c r="P411" s="3193"/>
      <c r="Q411" s="3193"/>
    </row>
    <row r="412" spans="1:17">
      <c r="A412" s="3193"/>
      <c r="B412" s="6805">
        <v>20</v>
      </c>
      <c r="C412" s="5541">
        <f>B412/100</f>
        <v>0.2</v>
      </c>
      <c r="D412" s="3390" t="s">
        <v>320</v>
      </c>
      <c r="E412" s="379">
        <v>1</v>
      </c>
      <c r="F412" s="378">
        <f>(B412*E412)*10</f>
        <v>200</v>
      </c>
      <c r="G412" s="3391">
        <f>F412/1000</f>
        <v>0.2</v>
      </c>
      <c r="H412" s="376"/>
      <c r="I412" s="6808">
        <v>10</v>
      </c>
      <c r="J412" s="5541">
        <f>I412/10</f>
        <v>1</v>
      </c>
      <c r="K412" s="3390" t="s">
        <v>320</v>
      </c>
      <c r="L412" s="379">
        <v>1</v>
      </c>
      <c r="M412" s="378">
        <f>(I412*L412)*100</f>
        <v>1000</v>
      </c>
      <c r="N412" s="3391">
        <f>M412/1000</f>
        <v>1</v>
      </c>
      <c r="O412" s="3193"/>
      <c r="P412" s="3193"/>
      <c r="Q412" s="3193"/>
    </row>
    <row r="413" spans="1:17">
      <c r="A413" s="3193"/>
      <c r="B413" s="6805"/>
      <c r="C413" s="5541"/>
      <c r="D413" s="3390" t="s">
        <v>406</v>
      </c>
      <c r="E413" s="379">
        <v>1.03</v>
      </c>
      <c r="F413" s="378">
        <f>(B412*E413)*10</f>
        <v>206</v>
      </c>
      <c r="G413" s="3391">
        <f>F413/1000</f>
        <v>0.20599999999999999</v>
      </c>
      <c r="H413" s="376"/>
      <c r="I413" s="6808"/>
      <c r="J413" s="5541"/>
      <c r="K413" s="3390" t="s">
        <v>406</v>
      </c>
      <c r="L413" s="379">
        <v>1.03</v>
      </c>
      <c r="M413" s="378">
        <f>(I412*L413)*100</f>
        <v>1030</v>
      </c>
      <c r="N413" s="3391">
        <f>M413/1000</f>
        <v>1.03</v>
      </c>
      <c r="O413" s="3193"/>
      <c r="P413" s="3193"/>
      <c r="Q413" s="3193"/>
    </row>
    <row r="414" spans="1:17">
      <c r="A414" s="3193"/>
      <c r="B414" s="6805"/>
      <c r="C414" s="5541"/>
      <c r="D414" s="3390" t="s">
        <v>405</v>
      </c>
      <c r="E414" s="379">
        <v>1.0149999999999999</v>
      </c>
      <c r="F414" s="378">
        <f>(E414*B412)*10</f>
        <v>202.99999999999997</v>
      </c>
      <c r="G414" s="3391">
        <f>F414/1000</f>
        <v>0.20299999999999996</v>
      </c>
      <c r="H414" s="376"/>
      <c r="I414" s="6808"/>
      <c r="J414" s="5541"/>
      <c r="K414" s="3390" t="s">
        <v>405</v>
      </c>
      <c r="L414" s="379">
        <v>1.0149999999999999</v>
      </c>
      <c r="M414" s="378">
        <f>(L414*I412)*100</f>
        <v>1014.9999999999999</v>
      </c>
      <c r="N414" s="3391">
        <f>M414/1000</f>
        <v>1.0149999999999999</v>
      </c>
      <c r="O414" s="3193"/>
      <c r="P414" s="3193"/>
      <c r="Q414" s="3193"/>
    </row>
    <row r="415" spans="1:17">
      <c r="A415" s="3193"/>
      <c r="B415" s="6805"/>
      <c r="C415" s="5541"/>
      <c r="D415" s="3390" t="s">
        <v>404</v>
      </c>
      <c r="E415" s="379">
        <v>0.92</v>
      </c>
      <c r="F415" s="378">
        <f>(E415*B412)*10</f>
        <v>184.00000000000003</v>
      </c>
      <c r="G415" s="3391">
        <f>F415/1000</f>
        <v>0.18400000000000002</v>
      </c>
      <c r="H415" s="376"/>
      <c r="I415" s="6808"/>
      <c r="J415" s="5541"/>
      <c r="K415" s="3390" t="s">
        <v>404</v>
      </c>
      <c r="L415" s="379">
        <v>0.92</v>
      </c>
      <c r="M415" s="378">
        <f>(L415*I412)*100</f>
        <v>920.00000000000011</v>
      </c>
      <c r="N415" s="3391">
        <f>M415/1000</f>
        <v>0.92000000000000015</v>
      </c>
      <c r="O415" s="3193"/>
      <c r="P415" s="3193"/>
      <c r="Q415" s="3193"/>
    </row>
    <row r="416" spans="1:17" ht="15.75" thickBot="1">
      <c r="A416" s="3193"/>
      <c r="B416" s="6806"/>
      <c r="C416" s="6807"/>
      <c r="D416" s="3392" t="s">
        <v>403</v>
      </c>
      <c r="E416" s="3393">
        <v>0.8</v>
      </c>
      <c r="F416" s="3394">
        <f>(E416*B412)*10</f>
        <v>160</v>
      </c>
      <c r="G416" s="3395">
        <f>F416/1000</f>
        <v>0.16</v>
      </c>
      <c r="H416" s="376"/>
      <c r="I416" s="6809"/>
      <c r="J416" s="6807"/>
      <c r="K416" s="3392" t="s">
        <v>403</v>
      </c>
      <c r="L416" s="3393">
        <v>0.8</v>
      </c>
      <c r="M416" s="3394">
        <f>(L416*I412)*100</f>
        <v>800</v>
      </c>
      <c r="N416" s="3395">
        <f>M416/1000</f>
        <v>0.8</v>
      </c>
      <c r="O416" s="3193"/>
      <c r="P416" s="3193"/>
      <c r="Q416" s="3193"/>
    </row>
    <row r="417" spans="1:17">
      <c r="A417" s="3193"/>
      <c r="B417" s="3"/>
      <c r="C417" s="376"/>
      <c r="D417" s="376"/>
      <c r="E417" s="376"/>
      <c r="F417" s="376"/>
      <c r="G417" s="376"/>
      <c r="H417" s="376"/>
      <c r="I417" s="376"/>
      <c r="J417" s="3"/>
      <c r="K417" s="3"/>
      <c r="L417" s="3"/>
      <c r="M417" s="3193"/>
      <c r="N417" s="3193"/>
      <c r="O417" s="3193"/>
      <c r="P417" s="3193"/>
      <c r="Q417" s="3193"/>
    </row>
    <row r="418" spans="1:17">
      <c r="A418" s="3193"/>
      <c r="B418" s="3"/>
      <c r="C418" s="376"/>
      <c r="D418" s="376"/>
      <c r="E418" s="376"/>
      <c r="F418" s="376"/>
      <c r="G418" s="376"/>
      <c r="H418" s="376"/>
      <c r="I418" s="376"/>
      <c r="J418" s="3"/>
      <c r="K418" s="3"/>
      <c r="L418" s="3"/>
      <c r="M418" s="3193"/>
      <c r="N418" s="3193"/>
      <c r="O418" s="3193"/>
      <c r="P418" s="3193"/>
      <c r="Q418" s="3193"/>
    </row>
    <row r="419" spans="1:17">
      <c r="A419" s="3193"/>
      <c r="B419" s="3"/>
      <c r="C419" s="376"/>
      <c r="D419" s="376"/>
      <c r="E419" s="376"/>
      <c r="F419" s="376"/>
      <c r="G419" s="376"/>
      <c r="H419" s="376"/>
      <c r="I419" s="376"/>
      <c r="J419" s="3"/>
      <c r="K419" s="3"/>
      <c r="L419" s="3"/>
      <c r="M419" s="3193"/>
      <c r="N419" s="3193"/>
      <c r="O419" s="3193"/>
      <c r="P419" s="3193"/>
      <c r="Q419" s="3193"/>
    </row>
    <row r="420" spans="1:17" ht="15.75" thickBot="1">
      <c r="A420" s="3193"/>
      <c r="B420" s="3"/>
      <c r="C420" s="376"/>
      <c r="D420" s="376"/>
      <c r="E420" s="376"/>
      <c r="F420" s="376"/>
      <c r="G420" s="376"/>
      <c r="H420" s="376"/>
      <c r="I420" s="376"/>
      <c r="J420" s="3"/>
      <c r="K420" s="3"/>
      <c r="L420" s="3"/>
      <c r="M420" s="3193"/>
      <c r="N420" s="3193"/>
      <c r="O420" s="3193"/>
      <c r="P420" s="3193"/>
      <c r="Q420" s="3193"/>
    </row>
    <row r="421" spans="1:17">
      <c r="A421" s="3193"/>
      <c r="B421" s="3"/>
      <c r="C421" s="376"/>
      <c r="D421" s="376"/>
      <c r="E421" s="376"/>
      <c r="F421" s="6832" t="s">
        <v>3128</v>
      </c>
      <c r="G421" s="6833"/>
      <c r="H421" s="6833"/>
      <c r="I421" s="6834"/>
      <c r="J421" s="3"/>
      <c r="K421" s="6832" t="s">
        <v>3128</v>
      </c>
      <c r="L421" s="6833"/>
      <c r="M421" s="6833"/>
      <c r="N421" s="6834"/>
      <c r="O421" s="3193"/>
      <c r="P421" s="3193"/>
    </row>
    <row r="422" spans="1:17" ht="15.75" thickBot="1">
      <c r="A422" s="3193"/>
      <c r="B422" s="3"/>
      <c r="C422" s="3"/>
      <c r="D422" s="3"/>
      <c r="E422" s="3"/>
      <c r="F422" s="6835"/>
      <c r="G422" s="6836"/>
      <c r="H422" s="6836"/>
      <c r="I422" s="6837"/>
      <c r="J422" s="3193"/>
      <c r="K422" s="6835"/>
      <c r="L422" s="6836"/>
      <c r="M422" s="6836"/>
      <c r="N422" s="6837"/>
      <c r="O422" s="3193"/>
      <c r="P422" s="3193"/>
    </row>
    <row r="423" spans="1:17" ht="19.5" customHeight="1" thickBot="1">
      <c r="A423" s="3193"/>
      <c r="B423" s="3"/>
      <c r="C423" s="3"/>
      <c r="D423" s="3"/>
      <c r="E423" s="3"/>
      <c r="F423" s="3396" t="s">
        <v>42</v>
      </c>
      <c r="G423" s="3397" t="s">
        <v>402</v>
      </c>
      <c r="H423" s="3397" t="s">
        <v>401</v>
      </c>
      <c r="I423" s="3398" t="s">
        <v>282</v>
      </c>
      <c r="J423" s="3193"/>
      <c r="K423" s="6838" t="s">
        <v>378</v>
      </c>
      <c r="L423" s="6839"/>
      <c r="M423" s="6839"/>
      <c r="N423" s="6840"/>
      <c r="O423" s="3193"/>
      <c r="P423" s="3193"/>
    </row>
    <row r="424" spans="1:17" ht="15.75" customHeight="1">
      <c r="A424" s="3193"/>
      <c r="B424" s="3"/>
      <c r="C424" s="3"/>
      <c r="D424" s="3"/>
      <c r="E424" s="3"/>
      <c r="F424" s="5509" t="s">
        <v>400</v>
      </c>
      <c r="G424" s="5510"/>
      <c r="H424" s="5510"/>
      <c r="I424" s="5511"/>
      <c r="J424" s="3193"/>
      <c r="K424" s="6841" t="s">
        <v>399</v>
      </c>
      <c r="L424" s="6842"/>
      <c r="M424" s="6842"/>
      <c r="N424" s="6843"/>
      <c r="O424" s="3193"/>
      <c r="P424" s="3193"/>
    </row>
    <row r="425" spans="1:17" ht="18.75" customHeight="1">
      <c r="A425" s="3193"/>
      <c r="B425" s="3"/>
      <c r="C425" s="3"/>
      <c r="D425" s="3"/>
      <c r="E425" s="3"/>
      <c r="F425" s="3399" t="s">
        <v>398</v>
      </c>
      <c r="G425" s="3400" t="s">
        <v>397</v>
      </c>
      <c r="H425" s="3400" t="s">
        <v>396</v>
      </c>
      <c r="I425" s="3401" t="s">
        <v>395</v>
      </c>
      <c r="J425" s="3193"/>
      <c r="K425" s="6844" t="s">
        <v>394</v>
      </c>
      <c r="L425" s="6846" t="s">
        <v>393</v>
      </c>
      <c r="M425" s="6846" t="s">
        <v>392</v>
      </c>
      <c r="N425" s="6848" t="s">
        <v>391</v>
      </c>
      <c r="O425" s="3193"/>
      <c r="P425" s="3193"/>
    </row>
    <row r="426" spans="1:17" ht="15.75" customHeight="1">
      <c r="A426" s="3193"/>
      <c r="B426" s="3"/>
      <c r="C426" s="3"/>
      <c r="D426" s="3"/>
      <c r="E426" s="3"/>
      <c r="F426" s="372">
        <v>1</v>
      </c>
      <c r="G426" s="3402">
        <f>F426*10</f>
        <v>10</v>
      </c>
      <c r="H426" s="3402">
        <f>G426*10</f>
        <v>100</v>
      </c>
      <c r="I426" s="368">
        <f>H426*10</f>
        <v>1000</v>
      </c>
      <c r="J426" s="3193"/>
      <c r="K426" s="6845"/>
      <c r="L426" s="6847"/>
      <c r="M426" s="6847"/>
      <c r="N426" s="6849"/>
      <c r="O426" s="3193"/>
      <c r="P426" s="3193"/>
    </row>
    <row r="427" spans="1:17" ht="15.75" customHeight="1">
      <c r="A427" s="3193"/>
      <c r="B427" s="3"/>
      <c r="C427" s="3"/>
      <c r="D427" s="3"/>
      <c r="E427" s="3"/>
      <c r="F427" s="371">
        <f>G427/10</f>
        <v>0.1</v>
      </c>
      <c r="G427" s="3403">
        <v>1</v>
      </c>
      <c r="H427" s="3402">
        <f>G427*10</f>
        <v>10</v>
      </c>
      <c r="I427" s="368">
        <f>G427*100</f>
        <v>100</v>
      </c>
      <c r="J427" s="3193"/>
      <c r="K427" s="3404" t="s">
        <v>390</v>
      </c>
      <c r="L427" s="3405" t="s">
        <v>389</v>
      </c>
      <c r="M427" s="3405" t="s">
        <v>388</v>
      </c>
      <c r="N427" s="3406" t="s">
        <v>387</v>
      </c>
      <c r="O427" s="3193"/>
      <c r="P427" s="3193"/>
    </row>
    <row r="428" spans="1:17" ht="15.75" customHeight="1">
      <c r="A428" s="3193"/>
      <c r="B428" s="3"/>
      <c r="C428" s="3"/>
      <c r="D428" s="3"/>
      <c r="E428" s="3"/>
      <c r="F428" s="371">
        <f t="shared" ref="F428:G428" si="1">G428/10</f>
        <v>0.01</v>
      </c>
      <c r="G428" s="3402">
        <f t="shared" si="1"/>
        <v>0.1</v>
      </c>
      <c r="H428" s="3403">
        <v>1</v>
      </c>
      <c r="I428" s="368">
        <f>G428*100</f>
        <v>10</v>
      </c>
      <c r="J428" s="3193"/>
      <c r="K428" s="3404" t="s">
        <v>386</v>
      </c>
      <c r="L428" s="3405" t="s">
        <v>385</v>
      </c>
      <c r="M428" s="3405" t="s">
        <v>384</v>
      </c>
      <c r="N428" s="3406" t="s">
        <v>383</v>
      </c>
      <c r="O428" s="3193"/>
      <c r="P428" s="3193"/>
    </row>
    <row r="429" spans="1:17" ht="15.75" customHeight="1">
      <c r="A429" s="3193"/>
      <c r="B429" s="3"/>
      <c r="C429" s="3"/>
      <c r="D429" s="3"/>
      <c r="E429" s="3"/>
      <c r="F429" s="3407">
        <f>I429/1000</f>
        <v>1E-3</v>
      </c>
      <c r="G429" s="3408">
        <f>I429/100</f>
        <v>0.01</v>
      </c>
      <c r="H429" s="3408">
        <f>I429/10</f>
        <v>0.1</v>
      </c>
      <c r="I429" s="3409">
        <v>1</v>
      </c>
      <c r="J429" s="3193"/>
      <c r="K429" s="3404" t="s">
        <v>382</v>
      </c>
      <c r="L429" s="3405" t="s">
        <v>381</v>
      </c>
      <c r="M429" s="3405" t="s">
        <v>380</v>
      </c>
      <c r="N429" s="3406" t="s">
        <v>379</v>
      </c>
      <c r="O429" s="3193"/>
      <c r="P429" s="3193"/>
    </row>
    <row r="430" spans="1:17" ht="15" customHeight="1">
      <c r="A430" s="3193"/>
      <c r="B430" s="3"/>
      <c r="C430" s="3"/>
      <c r="D430" s="3"/>
      <c r="E430" s="3"/>
      <c r="F430" s="6838" t="s">
        <v>378</v>
      </c>
      <c r="G430" s="6839"/>
      <c r="H430" s="6839"/>
      <c r="I430" s="6840"/>
      <c r="J430" s="3193"/>
      <c r="K430" s="3410" t="s">
        <v>377</v>
      </c>
      <c r="L430" s="3411" t="s">
        <v>376</v>
      </c>
      <c r="M430" s="3411" t="s">
        <v>375</v>
      </c>
      <c r="N430" s="3412" t="s">
        <v>374</v>
      </c>
      <c r="O430" s="3193"/>
      <c r="P430" s="3193"/>
    </row>
    <row r="431" spans="1:17" ht="16.5" thickBot="1">
      <c r="A431" s="3193"/>
      <c r="B431" s="3"/>
      <c r="C431" s="3"/>
      <c r="D431" s="3"/>
      <c r="E431" s="3"/>
      <c r="F431" s="6817" t="s">
        <v>373</v>
      </c>
      <c r="G431" s="6818"/>
      <c r="H431" s="6818"/>
      <c r="I431" s="6819"/>
      <c r="J431" s="3193"/>
      <c r="K431" s="6817" t="s">
        <v>373</v>
      </c>
      <c r="L431" s="6818"/>
      <c r="M431" s="6818"/>
      <c r="N431" s="6819"/>
      <c r="O431" s="3193"/>
      <c r="P431" s="3193"/>
    </row>
    <row r="432" spans="1:17">
      <c r="A432" s="3193"/>
      <c r="B432" s="3"/>
      <c r="C432" s="3"/>
      <c r="D432" s="3"/>
      <c r="F432" s="3193"/>
      <c r="G432" s="3193"/>
      <c r="H432" s="3193"/>
      <c r="I432" s="3193"/>
      <c r="J432" s="3193"/>
      <c r="K432" s="3193"/>
      <c r="L432" s="3193"/>
      <c r="M432" s="3193"/>
      <c r="N432" s="3193"/>
      <c r="O432" s="3193"/>
      <c r="P432" s="3193"/>
    </row>
    <row r="433" spans="1:17">
      <c r="A433" s="3193"/>
      <c r="B433" s="3"/>
      <c r="C433" s="3"/>
      <c r="D433" s="3"/>
      <c r="E433" s="3193"/>
      <c r="F433" s="3193"/>
      <c r="G433" s="3193"/>
      <c r="H433" s="3193"/>
      <c r="I433" s="3193"/>
      <c r="J433" s="3193"/>
      <c r="K433" s="3193"/>
      <c r="L433" s="3193"/>
      <c r="M433" s="3193"/>
      <c r="N433" s="3193"/>
      <c r="O433" s="3193"/>
      <c r="P433" s="3193"/>
    </row>
    <row r="434" spans="1:17" ht="21" customHeight="1">
      <c r="A434" s="3193"/>
      <c r="B434" s="352" t="s">
        <v>365</v>
      </c>
      <c r="C434" s="351" t="s">
        <v>372</v>
      </c>
      <c r="D434" s="3"/>
      <c r="E434" s="3193"/>
      <c r="F434" s="3193"/>
      <c r="G434" s="3193"/>
      <c r="H434" s="3193"/>
      <c r="I434" s="3193"/>
      <c r="J434" s="3193"/>
      <c r="K434" s="6820" t="s">
        <v>371</v>
      </c>
      <c r="L434" s="6821"/>
      <c r="M434" s="6822"/>
      <c r="N434" s="3193"/>
      <c r="O434" s="3193"/>
      <c r="P434" s="3193"/>
    </row>
    <row r="435" spans="1:17" ht="21">
      <c r="A435" s="3193"/>
      <c r="B435" s="356"/>
      <c r="C435" s="359"/>
      <c r="D435" s="3"/>
      <c r="E435" s="3193"/>
      <c r="F435" s="3193"/>
      <c r="G435" s="3193"/>
      <c r="H435" s="3193"/>
      <c r="I435" s="3193"/>
      <c r="J435" s="3193"/>
      <c r="K435" s="3413" t="s">
        <v>370</v>
      </c>
      <c r="L435" s="3414" t="s">
        <v>369</v>
      </c>
      <c r="M435" s="3415" t="s">
        <v>368</v>
      </c>
      <c r="N435" s="3193"/>
      <c r="O435" s="3193"/>
      <c r="P435" s="3193"/>
      <c r="Q435" s="3193"/>
    </row>
    <row r="436" spans="1:17" ht="21">
      <c r="A436" s="3193"/>
      <c r="B436" s="356" t="s">
        <v>367</v>
      </c>
      <c r="C436" s="3416"/>
      <c r="D436" s="3"/>
      <c r="E436" s="3193"/>
      <c r="F436" s="3193"/>
      <c r="G436" s="3193"/>
      <c r="H436" s="3193"/>
      <c r="I436" s="3193"/>
      <c r="J436" s="3193"/>
      <c r="K436" s="3417">
        <v>4.1666666666666664E-2</v>
      </c>
      <c r="L436" s="554">
        <v>60</v>
      </c>
      <c r="M436" s="357">
        <v>100</v>
      </c>
      <c r="N436" s="3193"/>
      <c r="O436" s="3193"/>
      <c r="P436" s="3193"/>
      <c r="Q436" s="3193"/>
    </row>
    <row r="437" spans="1:17" ht="21">
      <c r="A437" s="3193"/>
      <c r="B437" s="356" t="s">
        <v>366</v>
      </c>
      <c r="C437" s="3416"/>
      <c r="D437" s="3"/>
      <c r="E437" s="3193"/>
      <c r="F437" s="3193"/>
      <c r="G437" s="3193"/>
      <c r="H437" s="3193"/>
      <c r="I437" s="3193"/>
      <c r="J437" s="3193"/>
      <c r="K437" s="3418">
        <v>4.1666666666666664E-2</v>
      </c>
      <c r="L437" s="555">
        <f>(L436/K436)*K437</f>
        <v>60</v>
      </c>
      <c r="M437" s="353">
        <f>(M436/K436)*K437</f>
        <v>100</v>
      </c>
      <c r="N437" s="3193"/>
      <c r="O437" s="3193"/>
      <c r="P437" s="3193"/>
      <c r="Q437" s="3193"/>
    </row>
    <row r="438" spans="1:17" ht="21">
      <c r="A438" s="3193"/>
      <c r="B438" s="352" t="s">
        <v>365</v>
      </c>
      <c r="C438" s="351" t="s">
        <v>364</v>
      </c>
      <c r="D438" s="3"/>
      <c r="F438" s="3193"/>
      <c r="G438" s="3193"/>
      <c r="H438" s="3193"/>
      <c r="I438" s="3193"/>
      <c r="J438" s="3193"/>
      <c r="K438" s="3419">
        <f>(K436/L436)*L438</f>
        <v>6.2499999999999993E-2</v>
      </c>
      <c r="L438" s="556">
        <v>90</v>
      </c>
      <c r="M438" s="349">
        <f>(M436/L436)*L438</f>
        <v>150</v>
      </c>
      <c r="N438" s="3193"/>
      <c r="O438" s="3193"/>
      <c r="P438" s="3193"/>
      <c r="Q438" s="3193"/>
    </row>
    <row r="439" spans="1:17" ht="15.75">
      <c r="A439" s="3193"/>
      <c r="B439" s="3"/>
      <c r="C439" s="3"/>
      <c r="D439" s="3"/>
      <c r="F439" s="3193"/>
      <c r="G439" s="3193"/>
      <c r="H439" s="3193"/>
      <c r="I439" s="3193"/>
      <c r="J439" s="3193"/>
      <c r="K439" s="3420">
        <f>(K436/M436)*M439</f>
        <v>1.6666666666666666E-2</v>
      </c>
      <c r="L439" s="3421">
        <f>(L436/M436)*M439</f>
        <v>24</v>
      </c>
      <c r="M439" s="3422">
        <v>40</v>
      </c>
      <c r="N439" s="3193"/>
      <c r="O439" s="3193"/>
      <c r="P439" s="3193"/>
      <c r="Q439" s="3193"/>
    </row>
    <row r="440" spans="1:17">
      <c r="A440" s="3193"/>
      <c r="B440" s="3"/>
      <c r="C440" s="3"/>
      <c r="D440" s="3"/>
      <c r="E440" s="3"/>
      <c r="F440" s="3"/>
      <c r="G440" s="3"/>
      <c r="H440" s="3193"/>
      <c r="I440" s="3193"/>
      <c r="J440" s="3193"/>
      <c r="K440" s="3193"/>
      <c r="L440" s="3193"/>
      <c r="M440" s="3193"/>
      <c r="N440" s="3193"/>
      <c r="O440" s="3193"/>
      <c r="P440" s="3193"/>
      <c r="Q440" s="3193"/>
    </row>
    <row r="441" spans="1:17">
      <c r="A441" s="3228"/>
      <c r="B441" s="5"/>
      <c r="C441" s="6"/>
      <c r="D441" s="6"/>
      <c r="E441" s="6"/>
      <c r="F441" s="6"/>
      <c r="G441" s="6"/>
      <c r="H441" s="6"/>
      <c r="I441" s="6"/>
      <c r="J441" s="5"/>
      <c r="K441" s="5"/>
      <c r="L441" s="5"/>
      <c r="M441" s="3228"/>
      <c r="N441" s="3228"/>
      <c r="O441" s="3228"/>
      <c r="P441" s="3228"/>
      <c r="Q441" s="3228"/>
    </row>
    <row r="442" spans="1:17" ht="15.75" thickBot="1">
      <c r="A442" s="3193"/>
      <c r="B442" s="3"/>
      <c r="C442" s="3"/>
      <c r="D442" s="3"/>
      <c r="E442" s="3"/>
      <c r="F442" s="3"/>
      <c r="G442" s="3"/>
      <c r="H442" s="3193"/>
      <c r="I442" s="3193"/>
      <c r="J442" s="3193"/>
      <c r="K442" s="3193"/>
      <c r="L442" s="3193"/>
      <c r="M442" s="3193"/>
      <c r="N442" s="3193"/>
      <c r="O442" s="3193"/>
      <c r="P442" s="3193"/>
      <c r="Q442" s="3193"/>
    </row>
    <row r="443" spans="1:17">
      <c r="A443" s="3193"/>
      <c r="B443" s="6823" t="s">
        <v>363</v>
      </c>
      <c r="C443" s="6824"/>
      <c r="D443" s="6824"/>
      <c r="E443" s="6824"/>
      <c r="F443" s="6824"/>
      <c r="G443" s="6825"/>
      <c r="H443" s="3193"/>
      <c r="I443" s="6827" t="s">
        <v>362</v>
      </c>
      <c r="J443" s="6828"/>
      <c r="K443" s="6829" t="s">
        <v>361</v>
      </c>
      <c r="L443" s="6829"/>
      <c r="M443" s="6830" t="s">
        <v>360</v>
      </c>
      <c r="N443" s="6831" t="s">
        <v>359</v>
      </c>
      <c r="O443" s="3193"/>
      <c r="P443" s="3193"/>
      <c r="Q443" s="3193"/>
    </row>
    <row r="444" spans="1:17">
      <c r="A444" s="3193"/>
      <c r="B444" s="6826"/>
      <c r="C444" s="5304"/>
      <c r="D444" s="5304"/>
      <c r="E444" s="5304"/>
      <c r="F444" s="5304"/>
      <c r="G444" s="5305"/>
      <c r="H444" s="3193"/>
      <c r="I444" s="5288"/>
      <c r="J444" s="5289"/>
      <c r="K444" s="5291"/>
      <c r="L444" s="5291"/>
      <c r="M444" s="5293"/>
      <c r="N444" s="5295"/>
      <c r="O444" s="3193"/>
      <c r="P444" s="3193"/>
      <c r="Q444" s="3193"/>
    </row>
    <row r="445" spans="1:17" ht="15.75" customHeight="1">
      <c r="A445" s="3193"/>
      <c r="B445" s="6850" t="s">
        <v>358</v>
      </c>
      <c r="C445" s="5281"/>
      <c r="D445" s="5281"/>
      <c r="E445" s="5281"/>
      <c r="F445" s="5281"/>
      <c r="G445" s="5282"/>
      <c r="H445" s="3193"/>
      <c r="I445" s="5270" t="s">
        <v>357</v>
      </c>
      <c r="J445" s="5271"/>
      <c r="K445" s="575" t="s">
        <v>356</v>
      </c>
      <c r="L445" s="575"/>
      <c r="M445" s="576"/>
      <c r="N445" s="348"/>
      <c r="O445" s="3193"/>
      <c r="P445" s="3193"/>
      <c r="Q445" s="3193"/>
    </row>
    <row r="446" spans="1:17" ht="15.75" customHeight="1">
      <c r="A446" s="3193"/>
      <c r="B446" s="6850"/>
      <c r="C446" s="5281"/>
      <c r="D446" s="5281"/>
      <c r="E446" s="5281"/>
      <c r="F446" s="5281"/>
      <c r="G446" s="5282"/>
      <c r="H446" s="3193"/>
      <c r="I446" s="5276" t="s">
        <v>355</v>
      </c>
      <c r="J446" s="5277"/>
      <c r="K446" s="139" t="s">
        <v>354</v>
      </c>
      <c r="L446" s="139"/>
      <c r="M446" s="490" t="s">
        <v>353</v>
      </c>
      <c r="N446" s="347" t="s">
        <v>352</v>
      </c>
      <c r="O446" s="3193"/>
      <c r="P446" s="3193"/>
      <c r="Q446" s="3193"/>
    </row>
    <row r="447" spans="1:17" ht="16.5" customHeight="1">
      <c r="A447" s="3193"/>
      <c r="B447" s="3423" t="s">
        <v>341</v>
      </c>
      <c r="C447" s="5296" t="s">
        <v>351</v>
      </c>
      <c r="D447" s="5296"/>
      <c r="E447" s="5296"/>
      <c r="F447" s="5296"/>
      <c r="G447" s="5297"/>
      <c r="H447" s="3193"/>
      <c r="I447" s="5276" t="s">
        <v>350</v>
      </c>
      <c r="J447" s="5277"/>
      <c r="K447" s="139" t="s">
        <v>349</v>
      </c>
      <c r="L447" s="139"/>
      <c r="M447" s="490" t="s">
        <v>348</v>
      </c>
      <c r="N447" s="347" t="s">
        <v>347</v>
      </c>
      <c r="O447" s="3193"/>
      <c r="P447" s="3193"/>
      <c r="Q447" s="3193"/>
    </row>
    <row r="448" spans="1:17">
      <c r="A448" s="3193"/>
      <c r="B448" s="3423" t="s">
        <v>341</v>
      </c>
      <c r="C448" s="5296" t="s">
        <v>346</v>
      </c>
      <c r="D448" s="5296"/>
      <c r="E448" s="5296"/>
      <c r="F448" s="5296"/>
      <c r="G448" s="5297"/>
      <c r="H448" s="3193"/>
      <c r="I448" s="5276" t="s">
        <v>345</v>
      </c>
      <c r="J448" s="5277"/>
      <c r="K448" s="139" t="s">
        <v>344</v>
      </c>
      <c r="L448" s="139"/>
      <c r="M448" s="490" t="s">
        <v>343</v>
      </c>
      <c r="N448" s="347" t="s">
        <v>342</v>
      </c>
      <c r="O448" s="3193"/>
      <c r="P448" s="3193"/>
      <c r="Q448" s="3193"/>
    </row>
    <row r="449" spans="1:17" ht="15.75" customHeight="1" thickBot="1">
      <c r="A449" s="3193"/>
      <c r="B449" s="3423" t="s">
        <v>341</v>
      </c>
      <c r="C449" s="5296" t="s">
        <v>340</v>
      </c>
      <c r="D449" s="5296"/>
      <c r="E449" s="5296"/>
      <c r="F449" s="5296"/>
      <c r="G449" s="5297"/>
      <c r="H449" s="3193"/>
      <c r="I449" s="6860" t="s">
        <v>130</v>
      </c>
      <c r="J449" s="6861"/>
      <c r="K449" s="3424" t="s">
        <v>339</v>
      </c>
      <c r="L449" s="3424"/>
      <c r="M449" s="3425" t="s">
        <v>338</v>
      </c>
      <c r="N449" s="3426" t="s">
        <v>337</v>
      </c>
      <c r="O449" s="3193"/>
      <c r="P449" s="3193"/>
      <c r="Q449" s="3193"/>
    </row>
    <row r="450" spans="1:17" ht="15.75" customHeight="1">
      <c r="A450" s="3193"/>
      <c r="B450" s="3423" t="s">
        <v>336</v>
      </c>
      <c r="C450" s="5296" t="s">
        <v>335</v>
      </c>
      <c r="D450" s="5296"/>
      <c r="E450" s="5296"/>
      <c r="F450" s="5296"/>
      <c r="G450" s="5297"/>
      <c r="H450" s="3193"/>
      <c r="I450" s="3193"/>
      <c r="J450" s="3193"/>
      <c r="K450" s="3193"/>
      <c r="L450" s="3193"/>
      <c r="M450" s="3193"/>
      <c r="N450" s="3193"/>
      <c r="O450" s="3193"/>
      <c r="P450" s="3193"/>
      <c r="Q450" s="3193"/>
    </row>
    <row r="451" spans="1:17" ht="15" customHeight="1">
      <c r="A451" s="3193"/>
      <c r="B451" s="3423" t="s">
        <v>334</v>
      </c>
      <c r="C451" s="5296" t="s">
        <v>333</v>
      </c>
      <c r="D451" s="5296"/>
      <c r="E451" s="5296"/>
      <c r="F451" s="5296"/>
      <c r="G451" s="5297"/>
      <c r="H451" s="3"/>
      <c r="I451" s="3193"/>
      <c r="J451" s="3193"/>
      <c r="K451" s="3193"/>
      <c r="L451" s="3193"/>
      <c r="M451" s="3193"/>
      <c r="N451" s="3193"/>
      <c r="O451" s="3193"/>
      <c r="P451" s="3193"/>
      <c r="Q451" s="3193"/>
    </row>
    <row r="452" spans="1:17">
      <c r="A452" s="3193"/>
      <c r="B452" s="3423" t="s">
        <v>331</v>
      </c>
      <c r="C452" s="5296" t="s">
        <v>332</v>
      </c>
      <c r="D452" s="5296"/>
      <c r="E452" s="5296"/>
      <c r="F452" s="5296"/>
      <c r="G452" s="5297"/>
      <c r="H452" s="3"/>
      <c r="I452" s="3193"/>
      <c r="J452" s="3193"/>
      <c r="K452" s="3193"/>
      <c r="L452" s="3193"/>
      <c r="M452" s="3193"/>
      <c r="N452" s="3193"/>
      <c r="O452" s="3193"/>
      <c r="P452" s="3193"/>
      <c r="Q452" s="3193"/>
    </row>
    <row r="453" spans="1:17">
      <c r="A453" s="3193"/>
      <c r="B453" s="3423" t="s">
        <v>331</v>
      </c>
      <c r="C453" s="5296" t="s">
        <v>330</v>
      </c>
      <c r="D453" s="5296"/>
      <c r="E453" s="5296"/>
      <c r="F453" s="5296"/>
      <c r="G453" s="5297"/>
      <c r="H453" s="3"/>
      <c r="I453" s="3193"/>
      <c r="J453" s="3193"/>
      <c r="K453" s="3193"/>
      <c r="L453" s="3193"/>
      <c r="M453" s="3193"/>
      <c r="N453" s="3193"/>
      <c r="O453" s="3193"/>
      <c r="P453" s="3193"/>
      <c r="Q453" s="3193"/>
    </row>
    <row r="454" spans="1:17">
      <c r="A454" s="3193"/>
      <c r="B454" s="6850" t="s">
        <v>329</v>
      </c>
      <c r="C454" s="5281" t="s">
        <v>328</v>
      </c>
      <c r="D454" s="5281"/>
      <c r="E454" s="5281"/>
      <c r="F454" s="5281"/>
      <c r="G454" s="5282"/>
      <c r="H454" s="3"/>
      <c r="I454" s="3193"/>
      <c r="J454" s="3193"/>
      <c r="K454" s="3193"/>
      <c r="L454" s="3193"/>
      <c r="M454" s="3193"/>
      <c r="N454" s="3193"/>
      <c r="O454" s="3193"/>
      <c r="P454" s="3193"/>
      <c r="Q454" s="3193"/>
    </row>
    <row r="455" spans="1:17">
      <c r="A455" s="3193"/>
      <c r="B455" s="6850"/>
      <c r="C455" s="5281"/>
      <c r="D455" s="5281"/>
      <c r="E455" s="5281"/>
      <c r="F455" s="5281"/>
      <c r="G455" s="5282"/>
      <c r="H455" s="3"/>
      <c r="I455" s="3193"/>
      <c r="J455" s="3193"/>
      <c r="K455" s="3193"/>
      <c r="L455" s="3193"/>
      <c r="M455" s="3193"/>
      <c r="N455" s="3193"/>
      <c r="O455" s="3193"/>
      <c r="P455" s="3193"/>
      <c r="Q455" s="3193"/>
    </row>
    <row r="456" spans="1:17">
      <c r="A456" s="3193"/>
      <c r="B456" s="6850" t="s">
        <v>327</v>
      </c>
      <c r="C456" s="5281" t="s">
        <v>326</v>
      </c>
      <c r="D456" s="5281"/>
      <c r="E456" s="5281"/>
      <c r="F456" s="5281"/>
      <c r="G456" s="5282"/>
      <c r="H456" s="3"/>
      <c r="I456" s="3193"/>
      <c r="J456" s="3193"/>
      <c r="K456" s="3193"/>
      <c r="L456" s="3193"/>
      <c r="M456" s="3193"/>
      <c r="N456" s="3193"/>
      <c r="O456" s="3193"/>
      <c r="P456" s="3193"/>
      <c r="Q456" s="3193"/>
    </row>
    <row r="457" spans="1:17">
      <c r="A457" s="3193"/>
      <c r="B457" s="6851"/>
      <c r="C457" s="6852"/>
      <c r="D457" s="6852"/>
      <c r="E457" s="6852"/>
      <c r="F457" s="6852"/>
      <c r="G457" s="6853"/>
      <c r="H457" s="3"/>
      <c r="I457" s="3193"/>
      <c r="J457" s="3193"/>
      <c r="K457" s="3193"/>
      <c r="L457" s="3193"/>
      <c r="M457" s="3193"/>
      <c r="N457" s="3193"/>
      <c r="O457" s="3193"/>
      <c r="P457" s="3193"/>
      <c r="Q457" s="3193"/>
    </row>
    <row r="458" spans="1:17" ht="15.75" thickBot="1">
      <c r="A458" s="3193"/>
      <c r="B458" s="572"/>
      <c r="C458" s="572"/>
      <c r="D458" s="572"/>
      <c r="E458" s="572"/>
      <c r="F458" s="572"/>
      <c r="G458" s="572"/>
      <c r="H458" s="3"/>
      <c r="I458" s="490"/>
      <c r="J458" s="490"/>
      <c r="K458" s="139"/>
      <c r="L458" s="139"/>
      <c r="M458" s="490"/>
      <c r="N458" s="490"/>
      <c r="O458" s="3193"/>
      <c r="P458" s="3193"/>
      <c r="Q458" s="3193"/>
    </row>
    <row r="459" spans="1:17" ht="15.75">
      <c r="B459" s="3427" t="s">
        <v>325</v>
      </c>
      <c r="C459" s="3428"/>
      <c r="D459" s="3428"/>
      <c r="E459" s="3429"/>
      <c r="F459" s="3193"/>
      <c r="G459" s="3193"/>
      <c r="H459" s="3430" t="s">
        <v>324</v>
      </c>
      <c r="I459" s="3431"/>
      <c r="J459" s="3432"/>
      <c r="K459" s="3432"/>
      <c r="L459" s="3432"/>
      <c r="M459" s="3432"/>
      <c r="N459" s="3433"/>
      <c r="O459" s="3193"/>
      <c r="P459" s="3193"/>
      <c r="Q459" s="3193"/>
    </row>
    <row r="460" spans="1:17" ht="25.5">
      <c r="B460" s="4848" t="s">
        <v>323</v>
      </c>
      <c r="C460" s="4849"/>
      <c r="D460" s="6856" t="s">
        <v>322</v>
      </c>
      <c r="E460" s="6858">
        <f>(B462*B465)+(C462*C465)+(D462*D465)+(E462*E465)</f>
        <v>228.85000000000002</v>
      </c>
      <c r="F460" s="3193"/>
      <c r="G460" s="3193"/>
      <c r="H460" s="3434" t="s">
        <v>321</v>
      </c>
      <c r="I460" s="3435" t="s">
        <v>320</v>
      </c>
      <c r="J460" s="3435" t="s">
        <v>319</v>
      </c>
      <c r="K460" s="3435" t="s">
        <v>318</v>
      </c>
      <c r="L460" s="3435" t="s">
        <v>317</v>
      </c>
      <c r="M460" s="3435" t="s">
        <v>316</v>
      </c>
      <c r="N460" s="3436" t="s">
        <v>315</v>
      </c>
      <c r="O460" s="3193"/>
      <c r="P460" s="3193"/>
      <c r="Q460" s="3193"/>
    </row>
    <row r="461" spans="1:17">
      <c r="B461" s="6854"/>
      <c r="C461" s="6855"/>
      <c r="D461" s="6857"/>
      <c r="E461" s="6859"/>
      <c r="F461" s="3193"/>
      <c r="G461" s="3193"/>
      <c r="H461" s="6871">
        <v>0.12</v>
      </c>
      <c r="I461" s="6872">
        <v>1</v>
      </c>
      <c r="J461" s="6872">
        <v>0.11</v>
      </c>
      <c r="K461" s="6872">
        <v>0</v>
      </c>
      <c r="L461" s="6872">
        <v>0.01</v>
      </c>
      <c r="M461" s="6872">
        <v>5.0000000000000001E-3</v>
      </c>
      <c r="N461" s="6862">
        <f>SUM(H461:M461)</f>
        <v>1.2450000000000001</v>
      </c>
      <c r="O461" s="3193"/>
      <c r="P461" s="3193"/>
      <c r="Q461" s="3193"/>
    </row>
    <row r="462" spans="1:17">
      <c r="B462" s="6863">
        <v>6.5000000000000002E-2</v>
      </c>
      <c r="C462" s="6865">
        <v>7.4999999999999997E-2</v>
      </c>
      <c r="D462" s="6865">
        <v>0.12</v>
      </c>
      <c r="E462" s="6867">
        <v>0.15</v>
      </c>
      <c r="F462" s="3193"/>
      <c r="G462" s="3193"/>
      <c r="H462" s="6871"/>
      <c r="I462" s="6872"/>
      <c r="J462" s="6872"/>
      <c r="K462" s="6872"/>
      <c r="L462" s="6872"/>
      <c r="M462" s="6872"/>
      <c r="N462" s="6862"/>
      <c r="O462" s="3193"/>
      <c r="P462" s="3193"/>
      <c r="Q462" s="3193"/>
    </row>
    <row r="463" spans="1:17">
      <c r="B463" s="6864"/>
      <c r="C463" s="6866"/>
      <c r="D463" s="6866"/>
      <c r="E463" s="6868"/>
      <c r="F463" s="3193"/>
      <c r="G463" s="3193"/>
      <c r="H463" s="6869">
        <f>(H461/N461)*N463</f>
        <v>2.1204819277108431</v>
      </c>
      <c r="I463" s="6870">
        <f>(I461/N461)*N463</f>
        <v>17.670682730923691</v>
      </c>
      <c r="J463" s="6870">
        <f>(J461/N461)*N463</f>
        <v>1.9437751004016062</v>
      </c>
      <c r="K463" s="6870">
        <f>(K461/N461)*N463</f>
        <v>0</v>
      </c>
      <c r="L463" s="6870">
        <f>(L461/N461)*N463</f>
        <v>0.17670682730923692</v>
      </c>
      <c r="M463" s="6870">
        <f>(M461/N461)*N463</f>
        <v>8.8353413654618462E-2</v>
      </c>
      <c r="N463" s="6873">
        <v>22</v>
      </c>
      <c r="O463" s="3193"/>
      <c r="P463" s="3193"/>
      <c r="Q463" s="3193"/>
    </row>
    <row r="464" spans="1:17">
      <c r="B464" s="3437" t="s">
        <v>314</v>
      </c>
      <c r="C464" s="3438" t="s">
        <v>313</v>
      </c>
      <c r="D464" s="3438" t="s">
        <v>312</v>
      </c>
      <c r="E464" s="3439" t="s">
        <v>61</v>
      </c>
      <c r="F464" s="3193"/>
      <c r="G464" s="3193"/>
      <c r="H464" s="6869"/>
      <c r="I464" s="6870"/>
      <c r="J464" s="6870"/>
      <c r="K464" s="6870"/>
      <c r="L464" s="6870"/>
      <c r="M464" s="6870"/>
      <c r="N464" s="6873"/>
      <c r="O464" s="3193"/>
      <c r="P464" s="3193"/>
      <c r="Q464" s="3193"/>
    </row>
    <row r="465" spans="1:17">
      <c r="B465" s="6874">
        <v>920</v>
      </c>
      <c r="C465" s="6876">
        <v>1700</v>
      </c>
      <c r="D465" s="6876">
        <v>240</v>
      </c>
      <c r="E465" s="6878">
        <v>85</v>
      </c>
      <c r="F465" s="3193"/>
      <c r="G465" s="3193"/>
      <c r="H465" s="6880" t="s">
        <v>311</v>
      </c>
      <c r="I465" s="6881"/>
      <c r="J465" s="6881"/>
      <c r="K465" s="6881"/>
      <c r="L465" s="6881"/>
      <c r="M465" s="6881"/>
      <c r="N465" s="6882"/>
      <c r="O465" s="3193"/>
      <c r="P465" s="3193"/>
      <c r="Q465" s="3193"/>
    </row>
    <row r="466" spans="1:17">
      <c r="B466" s="6875"/>
      <c r="C466" s="6877"/>
      <c r="D466" s="6877"/>
      <c r="E466" s="6879"/>
      <c r="F466" s="3193"/>
      <c r="G466" s="3193"/>
      <c r="H466" s="6883">
        <f t="shared" ref="H466:M466" si="2">ROUNDUP(H463,2)</f>
        <v>2.13</v>
      </c>
      <c r="I466" s="6884">
        <f t="shared" si="2"/>
        <v>17.680000000000003</v>
      </c>
      <c r="J466" s="6884">
        <f t="shared" si="2"/>
        <v>1.95</v>
      </c>
      <c r="K466" s="6884">
        <f t="shared" si="2"/>
        <v>0</v>
      </c>
      <c r="L466" s="6884">
        <f t="shared" si="2"/>
        <v>0.18000000000000002</v>
      </c>
      <c r="M466" s="6884">
        <f t="shared" si="2"/>
        <v>0.09</v>
      </c>
      <c r="N466" s="6885">
        <f>SUM(H466:M466)</f>
        <v>22.03</v>
      </c>
      <c r="O466" s="3193"/>
      <c r="P466" s="3193"/>
      <c r="Q466" s="3193"/>
    </row>
    <row r="467" spans="1:17">
      <c r="B467" s="6886" t="s">
        <v>310</v>
      </c>
      <c r="C467" s="6888">
        <f>SUM(B465:E465)</f>
        <v>2945</v>
      </c>
      <c r="D467" s="6890" t="s">
        <v>309</v>
      </c>
      <c r="E467" s="6892">
        <f>IF(E460=0,0,E460/D462)</f>
        <v>1907.0833333333335</v>
      </c>
      <c r="F467" s="3193"/>
      <c r="G467" s="3193"/>
      <c r="H467" s="6883"/>
      <c r="I467" s="6884"/>
      <c r="J467" s="6884"/>
      <c r="K467" s="6884"/>
      <c r="L467" s="6884"/>
      <c r="M467" s="6884"/>
      <c r="N467" s="6885"/>
      <c r="O467" s="3193"/>
      <c r="P467" s="3193"/>
      <c r="Q467" s="3193"/>
    </row>
    <row r="468" spans="1:17" ht="15.75" thickBot="1">
      <c r="B468" s="6887"/>
      <c r="C468" s="6889"/>
      <c r="D468" s="6891"/>
      <c r="E468" s="6893"/>
      <c r="F468" s="3193"/>
      <c r="G468" s="3193"/>
      <c r="H468" s="6894" t="s">
        <v>258</v>
      </c>
      <c r="I468" s="6895"/>
      <c r="J468" s="6895"/>
      <c r="K468" s="6895"/>
      <c r="L468" s="6895"/>
      <c r="M468" s="6895"/>
      <c r="N468" s="6896"/>
      <c r="O468" s="3193"/>
      <c r="P468" s="3193"/>
      <c r="Q468" s="3193"/>
    </row>
    <row r="469" spans="1:17" ht="15.75" thickBot="1">
      <c r="B469" s="6897" t="s">
        <v>258</v>
      </c>
      <c r="C469" s="6898"/>
      <c r="D469" s="6898"/>
      <c r="E469" s="6899"/>
      <c r="F469" s="3193"/>
      <c r="G469" s="3193"/>
      <c r="H469" s="3193"/>
      <c r="I469" s="3"/>
      <c r="J469" s="3"/>
      <c r="K469" s="3"/>
      <c r="L469" s="3"/>
      <c r="M469" s="3193"/>
      <c r="N469" s="3193"/>
      <c r="O469" s="3193"/>
      <c r="P469" s="3193"/>
      <c r="Q469" s="3193"/>
    </row>
    <row r="470" spans="1:17" ht="15.75" thickBot="1">
      <c r="A470" s="3193"/>
      <c r="B470" s="572"/>
      <c r="C470" s="572"/>
      <c r="D470" s="572"/>
      <c r="E470" s="572"/>
      <c r="F470" s="572"/>
      <c r="G470" s="572"/>
      <c r="H470" s="3"/>
      <c r="I470" s="490"/>
      <c r="J470" s="490"/>
      <c r="K470" s="139"/>
      <c r="L470" s="3"/>
      <c r="M470" s="3"/>
      <c r="N470" s="3"/>
      <c r="O470" s="3"/>
      <c r="P470" s="3"/>
      <c r="Q470" s="3"/>
    </row>
    <row r="471" spans="1:17" ht="15" customHeight="1">
      <c r="B471" s="6900" t="s">
        <v>3129</v>
      </c>
      <c r="C471" s="6901"/>
      <c r="D471" s="6901"/>
      <c r="E471" s="6901"/>
      <c r="F471" s="6901"/>
      <c r="G471" s="6901"/>
      <c r="H471" s="6901"/>
      <c r="I471" s="6901"/>
      <c r="J471" s="6901"/>
      <c r="K471" s="6901"/>
      <c r="L471" s="6901"/>
      <c r="M471" s="6901"/>
      <c r="N471" s="6901"/>
      <c r="O471" s="6901"/>
      <c r="P471" s="6901"/>
      <c r="Q471" s="6902"/>
    </row>
    <row r="472" spans="1:17" ht="15.75" customHeight="1" thickBot="1">
      <c r="B472" s="6903"/>
      <c r="C472" s="6904"/>
      <c r="D472" s="6904"/>
      <c r="E472" s="6904"/>
      <c r="F472" s="6904"/>
      <c r="G472" s="6904"/>
      <c r="H472" s="6904"/>
      <c r="I472" s="6904"/>
      <c r="J472" s="6904"/>
      <c r="K472" s="6904"/>
      <c r="L472" s="6904"/>
      <c r="M472" s="6904"/>
      <c r="N472" s="6904"/>
      <c r="O472" s="6904"/>
      <c r="P472" s="6904"/>
      <c r="Q472" s="6905"/>
    </row>
    <row r="473" spans="1:17">
      <c r="A473" s="3193"/>
      <c r="B473" s="3193"/>
      <c r="C473" s="3193"/>
      <c r="D473" s="3193"/>
      <c r="E473" s="3193"/>
      <c r="F473" s="3193"/>
      <c r="G473" s="3193"/>
      <c r="H473" s="3193"/>
      <c r="I473" s="3193"/>
      <c r="J473" s="3193"/>
      <c r="K473" s="3193"/>
      <c r="L473" s="3193"/>
      <c r="M473" s="3193"/>
      <c r="N473" s="3193"/>
      <c r="O473" s="3193"/>
      <c r="P473" s="3193"/>
      <c r="Q473" s="3193"/>
    </row>
    <row r="474" spans="1:17" ht="15.75" thickBot="1">
      <c r="A474" s="3315" t="s">
        <v>70</v>
      </c>
      <c r="B474" s="6906" t="str">
        <f>B475</f>
        <v>Gélatine alimentaire</v>
      </c>
      <c r="C474" s="6906"/>
      <c r="D474" s="6906"/>
      <c r="E474" s="6906"/>
      <c r="F474" s="6906"/>
      <c r="G474" s="6906"/>
      <c r="H474" s="6906"/>
      <c r="I474" s="6906"/>
      <c r="J474" s="6906"/>
      <c r="K474" s="6906"/>
      <c r="L474" s="6906"/>
      <c r="M474" s="6906"/>
      <c r="N474" s="6906"/>
      <c r="O474" s="3193"/>
      <c r="P474" s="3193"/>
      <c r="Q474" s="3193"/>
    </row>
    <row r="475" spans="1:17" ht="15" customHeight="1">
      <c r="A475" s="4785" t="str">
        <f>B475</f>
        <v>Gélatine alimentaire</v>
      </c>
      <c r="B475" s="6907" t="s">
        <v>308</v>
      </c>
      <c r="C475" s="6908"/>
      <c r="D475" s="6908"/>
      <c r="E475" s="6908"/>
      <c r="F475" s="6908"/>
      <c r="G475" s="6908"/>
      <c r="H475" s="6908"/>
      <c r="I475" s="6908"/>
      <c r="J475" s="6908"/>
      <c r="K475" s="6908"/>
      <c r="L475" s="6908"/>
      <c r="M475" s="6908"/>
      <c r="N475" s="6909"/>
      <c r="O475" s="3193"/>
      <c r="P475" s="3193"/>
      <c r="Q475" s="3193"/>
    </row>
    <row r="476" spans="1:17" ht="15" customHeight="1">
      <c r="A476" s="4785"/>
      <c r="B476" s="4786"/>
      <c r="C476" s="4787"/>
      <c r="D476" s="4787"/>
      <c r="E476" s="4787"/>
      <c r="F476" s="4787"/>
      <c r="G476" s="4787"/>
      <c r="H476" s="4787"/>
      <c r="I476" s="4787"/>
      <c r="J476" s="4787"/>
      <c r="K476" s="4787"/>
      <c r="L476" s="4787"/>
      <c r="M476" s="4787"/>
      <c r="N476" s="4788"/>
      <c r="O476" s="3193"/>
      <c r="P476" s="3193"/>
      <c r="Q476" s="3193"/>
    </row>
    <row r="477" spans="1:17" ht="15" customHeight="1">
      <c r="A477" s="4785"/>
      <c r="B477" s="6910" t="s">
        <v>307</v>
      </c>
      <c r="C477" s="6911"/>
      <c r="D477" s="6911"/>
      <c r="E477" s="6911"/>
      <c r="F477" s="6911"/>
      <c r="G477" s="6911"/>
      <c r="H477" s="6911"/>
      <c r="I477" s="6911"/>
      <c r="J477" s="6911"/>
      <c r="K477" s="6911"/>
      <c r="L477" s="6911"/>
      <c r="M477" s="6911"/>
      <c r="N477" s="6912"/>
      <c r="O477" s="3193"/>
      <c r="P477" s="3193"/>
      <c r="Q477" s="3193"/>
    </row>
    <row r="478" spans="1:17" ht="15.75" customHeight="1">
      <c r="A478" s="4785"/>
      <c r="B478" s="6913"/>
      <c r="C478" s="6914"/>
      <c r="D478" s="6914"/>
      <c r="E478" s="6914"/>
      <c r="F478" s="6914"/>
      <c r="G478" s="6914"/>
      <c r="H478" s="6914"/>
      <c r="I478" s="6914"/>
      <c r="J478" s="6914"/>
      <c r="K478" s="6914"/>
      <c r="L478" s="6914"/>
      <c r="M478" s="6914"/>
      <c r="N478" s="6915"/>
      <c r="O478" s="3193"/>
      <c r="P478" s="3193"/>
      <c r="Q478" s="3193"/>
    </row>
    <row r="479" spans="1:17" ht="15.75" customHeight="1">
      <c r="A479" s="4785"/>
      <c r="B479" s="3440"/>
      <c r="C479" s="3441"/>
      <c r="D479" s="3441"/>
      <c r="E479" s="3441"/>
      <c r="F479" s="3441"/>
      <c r="G479" s="3441"/>
      <c r="H479" s="3441"/>
      <c r="I479" s="3441"/>
      <c r="J479" s="3441"/>
      <c r="K479" s="3441"/>
      <c r="L479" s="3441"/>
      <c r="M479" s="3441"/>
      <c r="N479" s="3442" t="s">
        <v>275</v>
      </c>
      <c r="O479" s="3193"/>
      <c r="P479" s="3193"/>
      <c r="Q479" s="3193"/>
    </row>
    <row r="480" spans="1:17" ht="16.5" customHeight="1">
      <c r="A480" s="4785"/>
      <c r="B480" s="3440"/>
      <c r="C480" s="3443" t="s">
        <v>306</v>
      </c>
      <c r="D480" s="3441"/>
      <c r="E480" s="3441"/>
      <c r="F480" s="3441"/>
      <c r="G480" s="3441"/>
      <c r="H480" s="3441"/>
      <c r="I480" s="3441"/>
      <c r="J480" s="3441"/>
      <c r="K480" s="3441"/>
      <c r="L480" s="3441"/>
      <c r="M480" s="3441"/>
      <c r="N480" s="3444"/>
      <c r="O480" s="3193"/>
      <c r="P480" s="3193"/>
      <c r="Q480" s="3193"/>
    </row>
    <row r="481" spans="1:17" ht="15.75" customHeight="1">
      <c r="A481" s="4785"/>
      <c r="B481" s="3440"/>
      <c r="C481" s="3443" t="s">
        <v>305</v>
      </c>
      <c r="D481" s="3441"/>
      <c r="E481" s="3441"/>
      <c r="F481" s="3441"/>
      <c r="G481" s="3441"/>
      <c r="H481" s="3441"/>
      <c r="I481" s="3441"/>
      <c r="J481" s="3441"/>
      <c r="K481" s="3441"/>
      <c r="L481" s="3441"/>
      <c r="M481" s="3441"/>
      <c r="N481" s="3444"/>
      <c r="O481" s="3193"/>
      <c r="P481" s="3193"/>
      <c r="Q481" s="3193"/>
    </row>
    <row r="482" spans="1:17" ht="15.75">
      <c r="A482" s="4785"/>
      <c r="B482" s="3440"/>
      <c r="C482" s="3443" t="s">
        <v>304</v>
      </c>
      <c r="D482" s="3441"/>
      <c r="E482" s="3441"/>
      <c r="F482" s="3441"/>
      <c r="G482" s="3441"/>
      <c r="H482" s="3441"/>
      <c r="I482" s="3441"/>
      <c r="J482" s="3441"/>
      <c r="K482" s="3441"/>
      <c r="L482" s="3441"/>
      <c r="M482" s="3441"/>
      <c r="N482" s="3444"/>
      <c r="O482" s="3193"/>
      <c r="P482" s="3193"/>
      <c r="Q482" s="3193"/>
    </row>
    <row r="483" spans="1:17" ht="15.75" customHeight="1">
      <c r="A483" s="4785"/>
      <c r="B483" s="3440"/>
      <c r="C483" s="3443" t="s">
        <v>303</v>
      </c>
      <c r="D483" s="3441"/>
      <c r="E483" s="3441"/>
      <c r="F483" s="3441"/>
      <c r="G483" s="3441"/>
      <c r="H483" s="3441"/>
      <c r="I483" s="3441"/>
      <c r="J483" s="3441"/>
      <c r="K483" s="3441"/>
      <c r="L483" s="3441"/>
      <c r="M483" s="3441"/>
      <c r="N483" s="3444"/>
      <c r="O483" s="3193"/>
      <c r="P483" s="3193"/>
      <c r="Q483" s="3193"/>
    </row>
    <row r="484" spans="1:17" ht="15.75">
      <c r="A484" s="4785"/>
      <c r="B484" s="3440"/>
      <c r="C484" s="3443" t="s">
        <v>302</v>
      </c>
      <c r="D484" s="3441"/>
      <c r="E484" s="3441"/>
      <c r="F484" s="3441"/>
      <c r="G484" s="3441"/>
      <c r="H484" s="3441"/>
      <c r="I484" s="3441"/>
      <c r="J484" s="3441"/>
      <c r="K484" s="3441"/>
      <c r="L484" s="3441"/>
      <c r="M484" s="3441"/>
      <c r="N484" s="3444"/>
      <c r="O484" s="3193"/>
      <c r="P484" s="3193"/>
      <c r="Q484" s="3193"/>
    </row>
    <row r="485" spans="1:17" ht="15.75">
      <c r="A485" s="4785"/>
      <c r="B485" s="3440"/>
      <c r="C485" s="3443" t="s">
        <v>301</v>
      </c>
      <c r="D485" s="3441"/>
      <c r="E485" s="3441"/>
      <c r="F485" s="3441"/>
      <c r="G485" s="3441"/>
      <c r="H485" s="3441"/>
      <c r="I485" s="3441"/>
      <c r="J485" s="3441"/>
      <c r="K485" s="3441"/>
      <c r="L485" s="3441"/>
      <c r="M485" s="3441"/>
      <c r="N485" s="3444"/>
      <c r="O485" s="3193"/>
      <c r="P485" s="3193"/>
      <c r="Q485" s="3193"/>
    </row>
    <row r="486" spans="1:17" ht="15.75">
      <c r="A486" s="4785"/>
      <c r="B486" s="3440"/>
      <c r="C486" s="3443" t="s">
        <v>300</v>
      </c>
      <c r="D486" s="3441"/>
      <c r="E486" s="3441"/>
      <c r="F486" s="3441"/>
      <c r="G486" s="3441"/>
      <c r="H486" s="3441"/>
      <c r="I486" s="3441"/>
      <c r="J486" s="3441"/>
      <c r="K486" s="3441"/>
      <c r="L486" s="3441"/>
      <c r="M486" s="3441"/>
      <c r="N486" s="3444"/>
      <c r="O486" s="3193"/>
      <c r="P486" s="3193"/>
      <c r="Q486" s="3193"/>
    </row>
    <row r="487" spans="1:17">
      <c r="A487" s="4785"/>
      <c r="B487" s="3440"/>
      <c r="C487" s="3441"/>
      <c r="D487" s="3441"/>
      <c r="E487" s="3441"/>
      <c r="F487" s="3441"/>
      <c r="G487" s="3441"/>
      <c r="H487" s="3441"/>
      <c r="I487" s="3441"/>
      <c r="J487" s="3441"/>
      <c r="K487" s="3441"/>
      <c r="L487" s="3441"/>
      <c r="M487" s="3441"/>
      <c r="N487" s="3444"/>
      <c r="O487" s="3193"/>
      <c r="P487" s="3193"/>
      <c r="Q487" s="3193"/>
    </row>
    <row r="488" spans="1:17">
      <c r="A488" s="4785"/>
      <c r="B488" s="3440"/>
      <c r="C488" s="6916" t="s">
        <v>299</v>
      </c>
      <c r="D488" s="6917"/>
      <c r="E488" s="6917"/>
      <c r="F488" s="6917"/>
      <c r="G488" s="6917"/>
      <c r="H488" s="6917"/>
      <c r="I488" s="6917"/>
      <c r="J488" s="6917"/>
      <c r="K488" s="6917"/>
      <c r="L488" s="6917"/>
      <c r="M488" s="6918"/>
      <c r="N488" s="3444"/>
      <c r="O488" s="3193"/>
      <c r="P488" s="3193"/>
      <c r="Q488" s="3193"/>
    </row>
    <row r="489" spans="1:17">
      <c r="A489" s="4785"/>
      <c r="B489" s="3440"/>
      <c r="C489" s="3445"/>
      <c r="D489" s="3446"/>
      <c r="E489" s="3193"/>
      <c r="F489" s="270" t="s">
        <v>55</v>
      </c>
      <c r="G489" s="3446"/>
      <c r="H489" s="6919" t="s">
        <v>298</v>
      </c>
      <c r="I489" s="6919"/>
      <c r="J489" s="6919"/>
      <c r="K489" s="6919"/>
      <c r="L489" s="6919"/>
      <c r="M489" s="6920"/>
      <c r="N489" s="3444"/>
      <c r="O489" s="3193"/>
      <c r="P489" s="3193"/>
      <c r="Q489" s="3193"/>
    </row>
    <row r="490" spans="1:17" ht="15.75">
      <c r="A490" s="4785"/>
      <c r="B490" s="3440"/>
      <c r="C490" s="3447" t="s">
        <v>44</v>
      </c>
      <c r="D490" s="6921" t="s">
        <v>297</v>
      </c>
      <c r="E490" s="6921"/>
      <c r="F490" s="3448">
        <v>2</v>
      </c>
      <c r="G490" s="3449"/>
      <c r="H490" s="3450" t="s">
        <v>296</v>
      </c>
      <c r="I490" s="3449"/>
      <c r="J490" s="3449"/>
      <c r="K490" s="3451"/>
      <c r="L490" s="3451"/>
      <c r="M490" s="3452"/>
      <c r="N490" s="3444"/>
      <c r="O490" s="3193"/>
      <c r="P490" s="3193"/>
      <c r="Q490" s="3193"/>
    </row>
    <row r="491" spans="1:17" ht="15.75">
      <c r="A491" s="4785"/>
      <c r="B491" s="3440"/>
      <c r="C491" s="3453">
        <v>10</v>
      </c>
      <c r="D491" s="3454" t="s">
        <v>295</v>
      </c>
      <c r="E491" s="3193"/>
      <c r="F491" s="3455">
        <f>C491*F490</f>
        <v>20</v>
      </c>
      <c r="G491" s="3456"/>
      <c r="H491" s="3457" t="s">
        <v>294</v>
      </c>
      <c r="I491" s="3449"/>
      <c r="J491" s="3449"/>
      <c r="K491" s="3451"/>
      <c r="L491" s="3451"/>
      <c r="M491" s="3452"/>
      <c r="N491" s="3444"/>
      <c r="O491" s="3193"/>
      <c r="P491" s="3193"/>
      <c r="Q491" s="3193"/>
    </row>
    <row r="492" spans="1:17" ht="15.75">
      <c r="A492" s="4785"/>
      <c r="B492" s="3440"/>
      <c r="C492" s="3458"/>
      <c r="D492" s="326"/>
      <c r="E492" s="3451"/>
      <c r="F492" s="3451"/>
      <c r="G492" s="3451"/>
      <c r="H492" s="3457" t="s">
        <v>293</v>
      </c>
      <c r="I492" s="3294"/>
      <c r="J492" s="3449"/>
      <c r="K492" s="3451"/>
      <c r="L492" s="3451"/>
      <c r="M492" s="3452"/>
      <c r="N492" s="3444"/>
      <c r="O492" s="3193"/>
      <c r="P492" s="3193"/>
      <c r="Q492" s="3193"/>
    </row>
    <row r="493" spans="1:17" ht="15.75">
      <c r="A493" s="4785"/>
      <c r="B493" s="3440"/>
      <c r="C493" s="3447"/>
      <c r="D493" s="322"/>
      <c r="E493" s="3451"/>
      <c r="F493" s="3451"/>
      <c r="G493" s="3451"/>
      <c r="H493" s="3450" t="s">
        <v>292</v>
      </c>
      <c r="I493" s="3449"/>
      <c r="J493" s="3449"/>
      <c r="K493" s="3451"/>
      <c r="L493" s="3451"/>
      <c r="M493" s="3452"/>
      <c r="N493" s="3444"/>
      <c r="O493" s="3193"/>
      <c r="P493" s="3193"/>
      <c r="Q493" s="3193"/>
    </row>
    <row r="494" spans="1:17" ht="15.75">
      <c r="A494" s="4785"/>
      <c r="B494" s="3440"/>
      <c r="C494" s="318" t="s">
        <v>55</v>
      </c>
      <c r="D494" s="317" t="s">
        <v>291</v>
      </c>
      <c r="E494" s="3459"/>
      <c r="F494" s="3459"/>
      <c r="G494" s="3459"/>
      <c r="H494" s="3459"/>
      <c r="I494" s="3459"/>
      <c r="J494" s="3459"/>
      <c r="K494" s="3459"/>
      <c r="L494" s="3459"/>
      <c r="M494" s="3460"/>
      <c r="N494" s="3444"/>
      <c r="O494" s="3193"/>
      <c r="P494" s="3193"/>
      <c r="Q494" s="3193"/>
    </row>
    <row r="495" spans="1:17" ht="15.75">
      <c r="A495" s="4785"/>
      <c r="B495" s="3440"/>
      <c r="C495" s="3461" t="s">
        <v>44</v>
      </c>
      <c r="D495" s="3462" t="s">
        <v>290</v>
      </c>
      <c r="E495" s="3463"/>
      <c r="F495" s="3463"/>
      <c r="G495" s="3463"/>
      <c r="H495" s="3463"/>
      <c r="I495" s="3463"/>
      <c r="J495" s="3463"/>
      <c r="K495" s="3463"/>
      <c r="L495" s="3463"/>
      <c r="M495" s="3464"/>
      <c r="N495" s="3444"/>
      <c r="O495" s="3193"/>
      <c r="P495" s="3193"/>
      <c r="Q495" s="3193"/>
    </row>
    <row r="496" spans="1:17">
      <c r="A496" s="4785"/>
      <c r="B496" s="3465" t="str">
        <f ca="1">CELL("nomfichier",A492)</f>
        <v>D:\Données\Copie_ancien_DD\0-UPRT.fait\1-UPRT.FR-SITE-WEB\ff-fiches-fabrications\ff-fiches-fabrication-maj-08-2020\[ff-22-formats-formules-pourcentages.xlsx]Cuisiniers.Pesez</v>
      </c>
      <c r="C496" s="3441"/>
      <c r="D496" s="3441"/>
      <c r="E496" s="3441"/>
      <c r="F496" s="3441"/>
      <c r="G496" s="3441"/>
      <c r="H496" s="3441"/>
      <c r="I496" s="3441"/>
      <c r="J496" s="3441"/>
      <c r="K496" s="3441"/>
      <c r="L496" s="3441"/>
      <c r="M496" s="3441"/>
      <c r="N496" s="3444"/>
      <c r="O496" s="3193"/>
      <c r="P496" s="3193"/>
      <c r="Q496" s="3193"/>
    </row>
    <row r="497" spans="1:17" ht="15" customHeight="1">
      <c r="A497" s="4785"/>
      <c r="B497" s="6922" t="s">
        <v>272</v>
      </c>
      <c r="C497" s="6923"/>
      <c r="D497" s="6923"/>
      <c r="E497" s="6923"/>
      <c r="F497" s="6923"/>
      <c r="G497" s="6923"/>
      <c r="H497" s="6923"/>
      <c r="I497" s="6923"/>
      <c r="J497" s="6923"/>
      <c r="K497" s="6923"/>
      <c r="L497" s="6923"/>
      <c r="M497" s="6923"/>
      <c r="N497" s="6924"/>
      <c r="O497" s="3193"/>
      <c r="P497" s="3193"/>
      <c r="Q497" s="3193"/>
    </row>
    <row r="498" spans="1:17" ht="15.75" thickBot="1">
      <c r="A498" s="4785"/>
      <c r="B498" s="6708"/>
      <c r="C498" s="6709"/>
      <c r="D498" s="6709"/>
      <c r="E498" s="6709"/>
      <c r="F498" s="6709"/>
      <c r="G498" s="6709"/>
      <c r="H498" s="6709"/>
      <c r="I498" s="6709"/>
      <c r="J498" s="6709"/>
      <c r="K498" s="6709"/>
      <c r="L498" s="6709"/>
      <c r="M498" s="6709"/>
      <c r="N498" s="6710"/>
      <c r="O498" s="3193"/>
      <c r="P498" s="3193"/>
      <c r="Q498" s="3193"/>
    </row>
    <row r="499" spans="1:17">
      <c r="B499" s="3193"/>
      <c r="C499" s="3193"/>
      <c r="D499" s="3193"/>
      <c r="E499" s="3193"/>
      <c r="F499" s="3193"/>
      <c r="G499" s="3193"/>
      <c r="H499" s="3193"/>
      <c r="I499" s="3193"/>
      <c r="J499" s="3193"/>
      <c r="K499" s="3193"/>
      <c r="L499" s="3193"/>
      <c r="M499" s="3193"/>
      <c r="N499" s="3193"/>
      <c r="O499" s="3193"/>
      <c r="P499" s="3193"/>
      <c r="Q499" s="3193"/>
    </row>
    <row r="500" spans="1:17" ht="15.75" thickBot="1">
      <c r="A500" s="3315" t="s">
        <v>70</v>
      </c>
      <c r="B500" s="6906" t="str">
        <f>B501</f>
        <v>ŒUFS poids et %</v>
      </c>
      <c r="C500" s="6906"/>
      <c r="D500" s="6906"/>
      <c r="E500" s="6906"/>
      <c r="F500" s="6906"/>
      <c r="G500" s="6906"/>
      <c r="H500" s="6906"/>
      <c r="I500" s="6906"/>
      <c r="J500" s="6906"/>
      <c r="K500" s="6906"/>
      <c r="L500" s="6906"/>
      <c r="M500" s="6906"/>
      <c r="N500" s="6906"/>
      <c r="O500" s="3193"/>
      <c r="P500" s="3193"/>
      <c r="Q500" s="3193"/>
    </row>
    <row r="501" spans="1:17" ht="15" customHeight="1">
      <c r="A501" s="4785" t="str">
        <f>B501</f>
        <v>ŒUFS poids et %</v>
      </c>
      <c r="B501" s="6907" t="s">
        <v>289</v>
      </c>
      <c r="C501" s="6908"/>
      <c r="D501" s="6908"/>
      <c r="E501" s="6908"/>
      <c r="F501" s="6908"/>
      <c r="G501" s="6908"/>
      <c r="H501" s="6908"/>
      <c r="I501" s="6908"/>
      <c r="J501" s="6908"/>
      <c r="K501" s="6908"/>
      <c r="L501" s="6908"/>
      <c r="M501" s="6908"/>
      <c r="N501" s="6909"/>
      <c r="O501" s="3193"/>
      <c r="P501" s="3193"/>
      <c r="Q501" s="3193"/>
    </row>
    <row r="502" spans="1:17" ht="15" customHeight="1">
      <c r="A502" s="4785"/>
      <c r="B502" s="4786"/>
      <c r="C502" s="4787"/>
      <c r="D502" s="4787"/>
      <c r="E502" s="4787"/>
      <c r="F502" s="4787"/>
      <c r="G502" s="4787"/>
      <c r="H502" s="4787"/>
      <c r="I502" s="4787"/>
      <c r="J502" s="4787"/>
      <c r="K502" s="4787"/>
      <c r="L502" s="4787"/>
      <c r="M502" s="4787"/>
      <c r="N502" s="4788"/>
      <c r="O502" s="3193"/>
      <c r="P502" s="3193"/>
      <c r="Q502" s="3193"/>
    </row>
    <row r="503" spans="1:17" ht="15" customHeight="1">
      <c r="A503" s="4785"/>
      <c r="B503" s="6910" t="s">
        <v>104</v>
      </c>
      <c r="C503" s="6911"/>
      <c r="D503" s="6911"/>
      <c r="E503" s="6911"/>
      <c r="F503" s="6911"/>
      <c r="G503" s="6911"/>
      <c r="H503" s="6911"/>
      <c r="I503" s="6911"/>
      <c r="J503" s="6911"/>
      <c r="K503" s="6911"/>
      <c r="L503" s="6911"/>
      <c r="M503" s="6911"/>
      <c r="N503" s="6912"/>
      <c r="O503" s="3193"/>
      <c r="P503" s="3193"/>
      <c r="Q503" s="3193"/>
    </row>
    <row r="504" spans="1:17" ht="15.75" customHeight="1">
      <c r="A504" s="4785"/>
      <c r="B504" s="6913"/>
      <c r="C504" s="6914"/>
      <c r="D504" s="6914"/>
      <c r="E504" s="6914"/>
      <c r="F504" s="6914"/>
      <c r="G504" s="6914"/>
      <c r="H504" s="6914"/>
      <c r="I504" s="6914"/>
      <c r="J504" s="6914"/>
      <c r="K504" s="6914"/>
      <c r="L504" s="6914"/>
      <c r="M504" s="6914"/>
      <c r="N504" s="6915"/>
      <c r="O504" s="3193"/>
      <c r="P504" s="3193"/>
      <c r="Q504" s="3193"/>
    </row>
    <row r="505" spans="1:17" ht="15" customHeight="1">
      <c r="A505" s="4785"/>
      <c r="B505" s="6937" t="s">
        <v>289</v>
      </c>
      <c r="C505" s="6938"/>
      <c r="D505" s="6938"/>
      <c r="E505" s="6938"/>
      <c r="F505" s="6938"/>
      <c r="G505" s="6938"/>
      <c r="H505" s="6938"/>
      <c r="I505" s="6938"/>
      <c r="J505" s="6938"/>
      <c r="K505" s="6938"/>
      <c r="L505" s="6938"/>
      <c r="M505" s="6938"/>
      <c r="N505" s="6939"/>
      <c r="O505" s="3193"/>
      <c r="P505" s="3193"/>
      <c r="Q505" s="3193"/>
    </row>
    <row r="506" spans="1:17" ht="15.75" customHeight="1">
      <c r="A506" s="4785"/>
      <c r="B506" s="3466" t="s">
        <v>44</v>
      </c>
      <c r="C506" s="3467"/>
      <c r="D506" s="3468" t="s">
        <v>55</v>
      </c>
      <c r="E506" s="3467"/>
      <c r="F506" s="3467"/>
      <c r="G506" s="3469" t="s">
        <v>44</v>
      </c>
      <c r="H506" s="3467"/>
      <c r="I506" s="3468" t="s">
        <v>55</v>
      </c>
      <c r="J506" s="3467"/>
      <c r="K506" s="3469" t="s">
        <v>44</v>
      </c>
      <c r="L506" s="3467"/>
      <c r="M506" s="3468" t="s">
        <v>55</v>
      </c>
      <c r="N506" s="3470"/>
      <c r="O506" s="3193"/>
      <c r="P506" s="3193"/>
      <c r="Q506" s="3193"/>
    </row>
    <row r="507" spans="1:17" ht="18.75" customHeight="1">
      <c r="A507" s="4785"/>
      <c r="B507" s="6940" t="s">
        <v>288</v>
      </c>
      <c r="C507" s="6941"/>
      <c r="D507" s="3471">
        <v>50</v>
      </c>
      <c r="E507" s="3472">
        <v>1</v>
      </c>
      <c r="F507" s="3473"/>
      <c r="G507" s="6942" t="s">
        <v>287</v>
      </c>
      <c r="H507" s="6943"/>
      <c r="I507" s="3471">
        <v>20</v>
      </c>
      <c r="J507" s="3474">
        <f>I507/D507</f>
        <v>0.4</v>
      </c>
      <c r="K507" s="6942" t="s">
        <v>286</v>
      </c>
      <c r="L507" s="6943"/>
      <c r="M507" s="3471">
        <v>30</v>
      </c>
      <c r="N507" s="3475">
        <f>M507/D507</f>
        <v>0.6</v>
      </c>
      <c r="O507" s="3193"/>
      <c r="P507" s="3193"/>
      <c r="Q507" s="3193"/>
    </row>
    <row r="508" spans="1:17" ht="15.75">
      <c r="A508" s="4785"/>
      <c r="B508" s="3476">
        <v>4</v>
      </c>
      <c r="C508" s="3477" t="s">
        <v>285</v>
      </c>
      <c r="D508" s="3477">
        <f>B508*D507</f>
        <v>200</v>
      </c>
      <c r="E508" s="3454" t="s">
        <v>282</v>
      </c>
      <c r="F508" s="3193"/>
      <c r="G508" s="3476">
        <v>10</v>
      </c>
      <c r="H508" s="3477" t="s">
        <v>284</v>
      </c>
      <c r="I508" s="3477">
        <f>G508*I507</f>
        <v>200</v>
      </c>
      <c r="J508" s="3454" t="s">
        <v>282</v>
      </c>
      <c r="K508" s="3476">
        <v>12</v>
      </c>
      <c r="L508" s="3477" t="s">
        <v>283</v>
      </c>
      <c r="M508" s="3477">
        <f>K508*M507</f>
        <v>360</v>
      </c>
      <c r="N508" s="3478" t="s">
        <v>282</v>
      </c>
      <c r="O508" s="3193"/>
      <c r="P508" s="3193"/>
      <c r="Q508" s="3193"/>
    </row>
    <row r="509" spans="1:17" ht="15.75" customHeight="1">
      <c r="A509" s="4785"/>
      <c r="B509" s="3479" t="s">
        <v>281</v>
      </c>
      <c r="C509" s="3480" t="s">
        <v>280</v>
      </c>
      <c r="D509" s="3480" t="s">
        <v>279</v>
      </c>
      <c r="E509" s="3480" t="s">
        <v>278</v>
      </c>
      <c r="F509" s="3193"/>
      <c r="G509" s="3479" t="s">
        <v>281</v>
      </c>
      <c r="H509" s="3480" t="s">
        <v>280</v>
      </c>
      <c r="I509" s="3480" t="s">
        <v>279</v>
      </c>
      <c r="J509" s="3480" t="s">
        <v>278</v>
      </c>
      <c r="K509" s="3479" t="s">
        <v>281</v>
      </c>
      <c r="L509" s="3480" t="s">
        <v>280</v>
      </c>
      <c r="M509" s="3480" t="s">
        <v>279</v>
      </c>
      <c r="N509" s="3481" t="s">
        <v>278</v>
      </c>
      <c r="O509" s="3193"/>
      <c r="P509" s="3193"/>
      <c r="Q509" s="3193"/>
    </row>
    <row r="510" spans="1:17">
      <c r="A510" s="4785"/>
      <c r="B510" s="3482">
        <f>D508</f>
        <v>200</v>
      </c>
      <c r="C510" s="3483">
        <f>B510*C511</f>
        <v>24.489795918367346</v>
      </c>
      <c r="D510" s="3483">
        <f>B510*D511</f>
        <v>22.448979591836736</v>
      </c>
      <c r="E510" s="3483">
        <f>B510*E511</f>
        <v>153.0612244897959</v>
      </c>
      <c r="F510" s="3193"/>
      <c r="G510" s="3482">
        <f>I508</f>
        <v>200</v>
      </c>
      <c r="H510" s="3484">
        <f>G510*H511</f>
        <v>34.4</v>
      </c>
      <c r="I510" s="3484">
        <f>G510*I511</f>
        <v>64.600000000000009</v>
      </c>
      <c r="J510" s="3484">
        <f>G510*J511</f>
        <v>101</v>
      </c>
      <c r="K510" s="3482">
        <f>M508</f>
        <v>360</v>
      </c>
      <c r="L510" s="3483">
        <f>K510*L511</f>
        <v>39.96</v>
      </c>
      <c r="M510" s="3483">
        <f>K510*M511</f>
        <v>0</v>
      </c>
      <c r="N510" s="3485">
        <f>K510*N511</f>
        <v>320</v>
      </c>
      <c r="O510" s="3193"/>
      <c r="P510" s="3193"/>
      <c r="Q510" s="3193"/>
    </row>
    <row r="511" spans="1:17">
      <c r="A511" s="4785"/>
      <c r="B511" s="3486">
        <f>C511+D511+E511</f>
        <v>1</v>
      </c>
      <c r="C511" s="3487">
        <v>0.12244897959183673</v>
      </c>
      <c r="D511" s="3487">
        <v>0.11224489795918367</v>
      </c>
      <c r="E511" s="3487">
        <v>0.76530612244897955</v>
      </c>
      <c r="F511" s="3193"/>
      <c r="G511" s="3486">
        <f>H511+I511+J511</f>
        <v>1</v>
      </c>
      <c r="H511" s="3487">
        <v>0.17199999999999999</v>
      </c>
      <c r="I511" s="3487">
        <v>0.32300000000000001</v>
      </c>
      <c r="J511" s="3487">
        <v>0.505</v>
      </c>
      <c r="K511" s="3486">
        <f>L511+M511+N511</f>
        <v>0.99988888888888894</v>
      </c>
      <c r="L511" s="3487">
        <v>0.111</v>
      </c>
      <c r="M511" s="3488">
        <v>0</v>
      </c>
      <c r="N511" s="3489">
        <v>0.88888888888888895</v>
      </c>
      <c r="O511" s="3193"/>
      <c r="P511" s="3193"/>
      <c r="Q511" s="3193"/>
    </row>
    <row r="512" spans="1:17">
      <c r="A512" s="4785"/>
      <c r="B512" s="3490"/>
      <c r="C512" s="3468" t="s">
        <v>55</v>
      </c>
      <c r="D512" s="3468" t="s">
        <v>55</v>
      </c>
      <c r="E512" s="3468" t="s">
        <v>55</v>
      </c>
      <c r="F512" s="3491"/>
      <c r="G512" s="3490"/>
      <c r="H512" s="3468" t="s">
        <v>55</v>
      </c>
      <c r="I512" s="3468" t="s">
        <v>55</v>
      </c>
      <c r="J512" s="3468" t="s">
        <v>55</v>
      </c>
      <c r="K512" s="3490"/>
      <c r="L512" s="3468" t="s">
        <v>55</v>
      </c>
      <c r="M512" s="3492"/>
      <c r="N512" s="3493" t="s">
        <v>55</v>
      </c>
      <c r="O512" s="3193"/>
      <c r="P512" s="3193"/>
      <c r="Q512" s="3193"/>
    </row>
    <row r="513" spans="1:17">
      <c r="A513" s="4785"/>
      <c r="B513" s="279" t="s">
        <v>55</v>
      </c>
      <c r="C513" s="278" t="s">
        <v>277</v>
      </c>
      <c r="D513" s="269"/>
      <c r="E513" s="269"/>
      <c r="F513" s="269"/>
      <c r="G513" s="269"/>
      <c r="H513" s="269"/>
      <c r="I513" s="269"/>
      <c r="J513" s="269"/>
      <c r="K513" s="269"/>
      <c r="L513" s="269"/>
      <c r="M513" s="269"/>
      <c r="N513" s="267"/>
      <c r="O513" s="3193"/>
      <c r="P513" s="3193"/>
      <c r="Q513" s="3193"/>
    </row>
    <row r="514" spans="1:17" ht="15.75">
      <c r="A514" s="4785"/>
      <c r="B514" s="277" t="s">
        <v>44</v>
      </c>
      <c r="C514" s="276" t="s">
        <v>276</v>
      </c>
      <c r="D514" s="269"/>
      <c r="E514" s="269"/>
      <c r="F514" s="269"/>
      <c r="G514" s="269"/>
      <c r="H514" s="269"/>
      <c r="I514" s="269"/>
      <c r="J514" s="269"/>
      <c r="K514" s="269"/>
      <c r="L514" s="269"/>
      <c r="M514" s="3441"/>
      <c r="N514" s="275" t="s">
        <v>275</v>
      </c>
      <c r="O514" s="3193"/>
      <c r="P514" s="3193"/>
      <c r="Q514" s="3193"/>
    </row>
    <row r="515" spans="1:17">
      <c r="A515" s="4785"/>
      <c r="B515" s="3494"/>
      <c r="C515" s="270"/>
      <c r="D515" s="3495" t="s">
        <v>274</v>
      </c>
      <c r="E515" s="3496" t="s">
        <v>273</v>
      </c>
      <c r="F515" s="3193"/>
      <c r="G515" s="3488"/>
      <c r="H515" s="270"/>
      <c r="I515" s="270"/>
      <c r="J515" s="270"/>
      <c r="K515" s="269"/>
      <c r="L515" s="269"/>
      <c r="M515" s="3441"/>
      <c r="N515" s="267"/>
      <c r="O515" s="3193"/>
      <c r="P515" s="3193"/>
      <c r="Q515" s="3193"/>
    </row>
    <row r="516" spans="1:17" ht="15" customHeight="1">
      <c r="A516" s="4785"/>
      <c r="B516" s="6922" t="s">
        <v>272</v>
      </c>
      <c r="C516" s="6923"/>
      <c r="D516" s="6923"/>
      <c r="E516" s="6923"/>
      <c r="F516" s="6923"/>
      <c r="G516" s="6923"/>
      <c r="H516" s="6923"/>
      <c r="I516" s="6923"/>
      <c r="J516" s="6923"/>
      <c r="K516" s="6923"/>
      <c r="L516" s="6923"/>
      <c r="M516" s="6923"/>
      <c r="N516" s="6924"/>
      <c r="O516" s="3193"/>
      <c r="P516" s="3193"/>
      <c r="Q516" s="3193"/>
    </row>
    <row r="517" spans="1:17" ht="15.75" thickBot="1">
      <c r="A517" s="4785"/>
      <c r="B517" s="6708"/>
      <c r="C517" s="6709"/>
      <c r="D517" s="6709"/>
      <c r="E517" s="6709"/>
      <c r="F517" s="6709"/>
      <c r="G517" s="6709"/>
      <c r="H517" s="6709"/>
      <c r="I517" s="6709"/>
      <c r="J517" s="6709"/>
      <c r="K517" s="6709"/>
      <c r="L517" s="6709"/>
      <c r="M517" s="6709"/>
      <c r="N517" s="6710"/>
      <c r="O517" s="3193"/>
      <c r="P517" s="3193"/>
      <c r="Q517" s="3193"/>
    </row>
    <row r="518" spans="1:17">
      <c r="A518" s="3193"/>
      <c r="B518" s="572"/>
      <c r="C518" s="572"/>
      <c r="D518" s="572"/>
      <c r="E518" s="572"/>
      <c r="F518" s="572"/>
      <c r="G518" s="572"/>
      <c r="H518" s="3"/>
      <c r="I518" s="490"/>
      <c r="J518" s="490"/>
      <c r="K518" s="139"/>
      <c r="L518" s="3"/>
      <c r="M518" s="3"/>
      <c r="N518" s="3"/>
      <c r="O518" s="3"/>
      <c r="P518" s="3"/>
      <c r="Q518" s="3"/>
    </row>
    <row r="519" spans="1:17">
      <c r="A519" s="3228"/>
      <c r="B519" s="5"/>
      <c r="C519" s="6"/>
      <c r="D519" s="6"/>
      <c r="E519" s="6"/>
      <c r="F519" s="6"/>
      <c r="G519" s="6"/>
      <c r="H519" s="6"/>
      <c r="I519" s="6"/>
      <c r="J519" s="5"/>
      <c r="K519" s="5"/>
      <c r="L519" s="5"/>
      <c r="M519" s="3228"/>
      <c r="N519" s="3228"/>
      <c r="O519" s="3228"/>
      <c r="P519" s="3228"/>
      <c r="Q519" s="3228"/>
    </row>
    <row r="520" spans="1:17" ht="16.5" thickBot="1">
      <c r="A520" s="3193"/>
      <c r="B520" s="3497"/>
      <c r="C520" s="265"/>
      <c r="D520" s="265"/>
      <c r="E520" s="265"/>
      <c r="F520" s="265"/>
      <c r="G520" s="265"/>
      <c r="H520" s="3"/>
      <c r="I520" s="3"/>
      <c r="J520" s="3"/>
      <c r="K520" s="3"/>
      <c r="L520" s="3"/>
      <c r="M520" s="3"/>
      <c r="N520" s="3"/>
      <c r="O520" s="3"/>
      <c r="P520" s="3"/>
      <c r="Q520" s="3193"/>
    </row>
    <row r="521" spans="1:17" ht="15.75">
      <c r="B521" s="264"/>
      <c r="C521" s="263"/>
      <c r="D521" s="263"/>
      <c r="E521" s="263"/>
      <c r="F521" s="263"/>
      <c r="G521" s="263"/>
      <c r="H521" s="263"/>
      <c r="I521" s="263"/>
      <c r="J521" s="262" t="s">
        <v>271</v>
      </c>
      <c r="K521" s="3"/>
      <c r="L521" s="3"/>
      <c r="M521" s="3"/>
      <c r="N521" s="3"/>
      <c r="O521" s="3"/>
      <c r="P521" s="3"/>
      <c r="Q521" s="3193"/>
    </row>
    <row r="522" spans="1:17">
      <c r="B522" s="3498"/>
      <c r="C522" s="3499" t="s">
        <v>268</v>
      </c>
      <c r="D522" s="3500">
        <v>0.44</v>
      </c>
      <c r="E522" s="3"/>
      <c r="F522" s="3501" t="s">
        <v>268</v>
      </c>
      <c r="G522" s="3500">
        <v>100</v>
      </c>
      <c r="H522" s="3"/>
      <c r="I522" s="3502" t="s">
        <v>270</v>
      </c>
      <c r="J522" s="3503">
        <v>115</v>
      </c>
      <c r="K522" s="3"/>
      <c r="L522" s="3"/>
      <c r="M522" s="3193"/>
      <c r="N522" s="3193"/>
      <c r="O522" s="3193"/>
      <c r="P522" s="3193"/>
      <c r="Q522" s="3193"/>
    </row>
    <row r="523" spans="1:17">
      <c r="B523" s="3504"/>
      <c r="C523" s="3505" t="s">
        <v>267</v>
      </c>
      <c r="D523" s="3506">
        <v>60</v>
      </c>
      <c r="E523" s="3"/>
      <c r="F523" s="3505" t="s">
        <v>269</v>
      </c>
      <c r="G523" s="3507">
        <v>10</v>
      </c>
      <c r="H523" s="3"/>
      <c r="I523" s="3501" t="s">
        <v>268</v>
      </c>
      <c r="J523" s="3508">
        <v>133</v>
      </c>
      <c r="K523" s="3"/>
      <c r="L523" s="3"/>
      <c r="M523" s="3193"/>
      <c r="N523" s="3193"/>
      <c r="O523" s="3193"/>
      <c r="P523" s="3193"/>
      <c r="Q523" s="3193"/>
    </row>
    <row r="524" spans="1:17">
      <c r="B524" s="3509"/>
      <c r="C524" s="3510" t="s">
        <v>269</v>
      </c>
      <c r="D524" s="3511">
        <f>D522*D523%</f>
        <v>0.26400000000000001</v>
      </c>
      <c r="E524" s="3"/>
      <c r="F524" s="3512" t="s">
        <v>270</v>
      </c>
      <c r="G524" s="3511">
        <f>IF(G522=0,0,G522+G523)</f>
        <v>110</v>
      </c>
      <c r="H524" s="3"/>
      <c r="I524" s="3510" t="s">
        <v>269</v>
      </c>
      <c r="J524" s="3513">
        <f>IF(J522=0,0,IF(J523=0,0,J522-J523))</f>
        <v>-18</v>
      </c>
      <c r="K524" s="3"/>
      <c r="L524" s="3"/>
      <c r="M524" s="3193"/>
      <c r="N524" s="3193"/>
      <c r="O524" s="3193"/>
      <c r="P524" s="3193"/>
      <c r="Q524" s="3193"/>
    </row>
    <row r="525" spans="1:17">
      <c r="B525" s="3514"/>
      <c r="C525" s="3512" t="s">
        <v>270</v>
      </c>
      <c r="D525" s="3511">
        <f>((D522*D523)/100)+D522</f>
        <v>0.70399999999999996</v>
      </c>
      <c r="E525" s="3"/>
      <c r="F525" s="3515" t="s">
        <v>267</v>
      </c>
      <c r="G525" s="3516">
        <f>IF(G522=0,0,IF(ISBLANK(G522),0,(G523/G522)*100))</f>
        <v>10</v>
      </c>
      <c r="H525" s="3"/>
      <c r="I525" s="3515" t="s">
        <v>267</v>
      </c>
      <c r="J525" s="3517">
        <f>IF(J523=0,0,IF(ISBLANK(J523),0,(J524/J523)*100))</f>
        <v>-13.533834586466165</v>
      </c>
      <c r="K525" s="3"/>
      <c r="L525" s="3"/>
      <c r="M525" s="3193"/>
      <c r="N525" s="3193"/>
      <c r="O525" s="3193"/>
      <c r="P525" s="3193"/>
      <c r="Q525" s="3193"/>
    </row>
    <row r="526" spans="1:17">
      <c r="B526" s="3518"/>
      <c r="C526" s="3519"/>
      <c r="D526" s="3520"/>
      <c r="E526" s="3521"/>
      <c r="F526" s="3522"/>
      <c r="G526" s="3523"/>
      <c r="H526" s="3521"/>
      <c r="I526" s="3522"/>
      <c r="J526" s="3524"/>
      <c r="K526" s="3"/>
      <c r="L526" s="3"/>
      <c r="M526" s="3193"/>
      <c r="N526" s="3193"/>
      <c r="O526" s="3193"/>
      <c r="P526" s="3193"/>
      <c r="Q526" s="3193"/>
    </row>
    <row r="527" spans="1:17">
      <c r="B527" s="3498"/>
      <c r="C527" s="3501" t="s">
        <v>268</v>
      </c>
      <c r="D527" s="3500">
        <v>5.8970000000000002</v>
      </c>
      <c r="E527" s="3"/>
      <c r="F527" s="3502" t="s">
        <v>270</v>
      </c>
      <c r="G527" s="3507">
        <v>9.64</v>
      </c>
      <c r="H527" s="3"/>
      <c r="I527" s="3502" t="s">
        <v>270</v>
      </c>
      <c r="J527" s="3503">
        <v>100</v>
      </c>
      <c r="K527" s="3"/>
      <c r="L527" s="3"/>
      <c r="M527" s="3193"/>
      <c r="N527" s="3193"/>
      <c r="O527" s="3193"/>
      <c r="P527" s="3193"/>
      <c r="Q527" s="3193"/>
    </row>
    <row r="528" spans="1:17" ht="45">
      <c r="B528" s="3525"/>
      <c r="C528" s="3502" t="s">
        <v>270</v>
      </c>
      <c r="D528" s="3507">
        <v>9.64</v>
      </c>
      <c r="E528" s="3"/>
      <c r="F528" s="3526" t="s">
        <v>267</v>
      </c>
      <c r="G528" s="3527">
        <v>63.5</v>
      </c>
      <c r="H528" s="3"/>
      <c r="I528" s="3526" t="s">
        <v>269</v>
      </c>
      <c r="J528" s="3503">
        <v>50</v>
      </c>
      <c r="K528" s="3"/>
      <c r="L528" s="3"/>
      <c r="M528" s="3193"/>
      <c r="N528" s="3193"/>
      <c r="O528" s="3193"/>
      <c r="P528" s="3193"/>
      <c r="Q528" s="3193"/>
    </row>
    <row r="529" spans="1:17">
      <c r="B529" s="3509"/>
      <c r="C529" s="3510" t="s">
        <v>269</v>
      </c>
      <c r="D529" s="3511">
        <f>IF(D527=0,0,IF(D528=0,0,D528-D527))</f>
        <v>3.7430000000000003</v>
      </c>
      <c r="E529" s="3"/>
      <c r="F529" s="3510" t="s">
        <v>269</v>
      </c>
      <c r="G529" s="3511">
        <f>G527-G530</f>
        <v>3.7439755351681958</v>
      </c>
      <c r="H529" s="3"/>
      <c r="I529" s="3512" t="s">
        <v>268</v>
      </c>
      <c r="J529" s="3513">
        <f>IF(J527=0,0,IF(ISBLANK(J527),0,J527-J528))</f>
        <v>50</v>
      </c>
      <c r="K529" s="3"/>
      <c r="L529" s="3"/>
      <c r="M529" s="3193"/>
      <c r="N529" s="3193"/>
      <c r="O529" s="3193"/>
      <c r="P529" s="3193"/>
      <c r="Q529" s="3193"/>
    </row>
    <row r="530" spans="1:17">
      <c r="B530" s="3528"/>
      <c r="C530" s="3529" t="s">
        <v>267</v>
      </c>
      <c r="D530" s="3530">
        <f>IF(D527=0,0,IF(ISBLANK(D527),0,(D529/D527)*100))</f>
        <v>63.472952348651859</v>
      </c>
      <c r="E530" s="3"/>
      <c r="F530" s="3531" t="s">
        <v>268</v>
      </c>
      <c r="G530" s="3532">
        <f>(G527/(100+G528)*100)</f>
        <v>5.8960244648318048</v>
      </c>
      <c r="H530" s="3"/>
      <c r="I530" s="3529" t="s">
        <v>267</v>
      </c>
      <c r="J530" s="3533">
        <f>IF(J529=0,0,IF(ISBLANK(J528),0,(J528/J529)*100))</f>
        <v>100</v>
      </c>
      <c r="K530" s="3"/>
      <c r="L530" s="3"/>
      <c r="M530" s="3193"/>
      <c r="N530" s="3193"/>
      <c r="O530" s="3193"/>
      <c r="P530" s="3193"/>
      <c r="Q530" s="3193"/>
    </row>
    <row r="531" spans="1:17">
      <c r="B531" s="6925" t="s">
        <v>258</v>
      </c>
      <c r="C531" s="6926"/>
      <c r="D531" s="6926"/>
      <c r="E531" s="6926"/>
      <c r="F531" s="6926"/>
      <c r="G531" s="6926"/>
      <c r="H531" s="6926"/>
      <c r="I531" s="6926"/>
      <c r="J531" s="6926"/>
      <c r="K531" s="3"/>
      <c r="L531" s="3"/>
      <c r="M531" s="3193"/>
      <c r="N531" s="3193"/>
      <c r="O531" s="3193"/>
      <c r="P531" s="3193"/>
      <c r="Q531" s="3193"/>
    </row>
    <row r="532" spans="1:17">
      <c r="A532" s="3193"/>
      <c r="B532" s="572"/>
      <c r="C532" s="572"/>
      <c r="D532" s="572"/>
      <c r="E532" s="572"/>
      <c r="F532" s="572"/>
      <c r="G532" s="572"/>
      <c r="H532" s="3"/>
      <c r="I532" s="490"/>
      <c r="J532" s="490"/>
      <c r="K532" s="139"/>
      <c r="L532" s="139"/>
      <c r="M532" s="490"/>
      <c r="N532" s="490"/>
      <c r="O532" s="3193"/>
      <c r="P532" s="3193"/>
      <c r="Q532" s="3"/>
    </row>
    <row r="533" spans="1:17">
      <c r="A533" s="3193"/>
      <c r="B533" s="572"/>
      <c r="C533" s="572"/>
      <c r="D533" s="572"/>
      <c r="E533" s="572"/>
      <c r="F533" s="572"/>
      <c r="G533" s="572"/>
      <c r="H533" s="3"/>
      <c r="I533" s="490"/>
      <c r="J533" s="490"/>
      <c r="K533" s="139"/>
      <c r="L533" s="139"/>
      <c r="M533" s="490"/>
      <c r="N533" s="490"/>
      <c r="O533" s="3193"/>
      <c r="P533" s="3193"/>
      <c r="Q533" s="3"/>
    </row>
    <row r="534" spans="1:17">
      <c r="A534" s="3193"/>
      <c r="B534" s="3534">
        <v>15</v>
      </c>
      <c r="C534" s="3534">
        <v>15</v>
      </c>
      <c r="D534" s="3534">
        <v>15</v>
      </c>
      <c r="E534" s="3534">
        <v>15</v>
      </c>
      <c r="F534" s="3534">
        <v>15</v>
      </c>
      <c r="G534" s="3534">
        <v>15</v>
      </c>
      <c r="H534" s="3535" t="s">
        <v>266</v>
      </c>
      <c r="I534" s="3534">
        <v>15</v>
      </c>
      <c r="J534" s="3534">
        <v>15</v>
      </c>
      <c r="K534" s="3534">
        <v>15</v>
      </c>
      <c r="L534" s="3534">
        <v>15</v>
      </c>
      <c r="M534" s="3534">
        <v>15</v>
      </c>
      <c r="N534" s="3534">
        <v>15</v>
      </c>
      <c r="O534" s="3536" t="s">
        <v>266</v>
      </c>
      <c r="P534" s="3193"/>
      <c r="Q534" s="3"/>
    </row>
    <row r="535" spans="1:17" ht="18">
      <c r="A535" s="3193"/>
      <c r="B535" s="3537" t="s">
        <v>265</v>
      </c>
      <c r="C535" s="3538"/>
      <c r="D535" s="3538"/>
      <c r="E535" s="3538"/>
      <c r="F535" s="3538"/>
      <c r="G535" s="3539" t="s">
        <v>263</v>
      </c>
      <c r="H535" s="3193"/>
      <c r="I535" s="3537" t="s">
        <v>264</v>
      </c>
      <c r="J535" s="3538"/>
      <c r="K535" s="3538"/>
      <c r="L535" s="3538"/>
      <c r="M535" s="3538"/>
      <c r="N535" s="3539" t="s">
        <v>263</v>
      </c>
      <c r="O535" s="3193"/>
      <c r="P535" s="3193"/>
      <c r="Q535" s="3"/>
    </row>
    <row r="536" spans="1:17" ht="15.75">
      <c r="A536" s="3193"/>
      <c r="B536" s="3540" t="s">
        <v>261</v>
      </c>
      <c r="C536" s="3541">
        <v>1000</v>
      </c>
      <c r="D536" s="3542" t="s">
        <v>261</v>
      </c>
      <c r="E536" s="3541">
        <v>1000</v>
      </c>
      <c r="F536" s="3540" t="s">
        <v>261</v>
      </c>
      <c r="G536" s="3541">
        <v>100</v>
      </c>
      <c r="H536" s="3193"/>
      <c r="I536" s="3543" t="s">
        <v>261</v>
      </c>
      <c r="J536" s="3544">
        <v>1</v>
      </c>
      <c r="K536" s="3542" t="s">
        <v>261</v>
      </c>
      <c r="L536" s="3544">
        <v>1</v>
      </c>
      <c r="M536" s="3540" t="s">
        <v>261</v>
      </c>
      <c r="N536" s="3544">
        <v>1</v>
      </c>
      <c r="O536" s="3193"/>
      <c r="P536" s="3193"/>
      <c r="Q536" s="3"/>
    </row>
    <row r="537" spans="1:17" ht="15.75">
      <c r="A537" s="3193"/>
      <c r="B537" s="3545" t="s">
        <v>215</v>
      </c>
      <c r="C537" s="3546">
        <v>2000</v>
      </c>
      <c r="D537" s="3547" t="s">
        <v>260</v>
      </c>
      <c r="E537" s="3546">
        <v>327</v>
      </c>
      <c r="F537" s="3545" t="s">
        <v>213</v>
      </c>
      <c r="G537" s="3548">
        <v>40</v>
      </c>
      <c r="H537" s="3193"/>
      <c r="I537" s="3545" t="s">
        <v>215</v>
      </c>
      <c r="J537" s="3549">
        <v>2</v>
      </c>
      <c r="K537" s="3547" t="s">
        <v>260</v>
      </c>
      <c r="L537" s="3549">
        <v>2</v>
      </c>
      <c r="M537" s="3545" t="s">
        <v>213</v>
      </c>
      <c r="N537" s="3548">
        <v>50</v>
      </c>
      <c r="O537" s="3193"/>
      <c r="P537" s="3193"/>
      <c r="Q537" s="3"/>
    </row>
    <row r="538" spans="1:17" ht="15.75">
      <c r="A538" s="3193"/>
      <c r="B538" s="3550" t="s">
        <v>212</v>
      </c>
      <c r="C538" s="3551">
        <f>IF(C536=0,0,IF(C537=0,0,C537-C536))</f>
        <v>1000</v>
      </c>
      <c r="D538" s="3550" t="s">
        <v>262</v>
      </c>
      <c r="E538" s="3551">
        <f>IF(E536=0,0,E536+E537)</f>
        <v>1327</v>
      </c>
      <c r="F538" s="3550" t="s">
        <v>212</v>
      </c>
      <c r="G538" s="3552">
        <f>G539*G537%</f>
        <v>66.666666666666671</v>
      </c>
      <c r="H538" s="3193"/>
      <c r="I538" s="3550" t="s">
        <v>212</v>
      </c>
      <c r="J538" s="3553">
        <f>IF(J536=0,0,IF(J537=0,0,J537-J536))</f>
        <v>1</v>
      </c>
      <c r="K538" s="3550" t="s">
        <v>262</v>
      </c>
      <c r="L538" s="3553">
        <f>IF(L536=0,0,L536+L537)</f>
        <v>3</v>
      </c>
      <c r="M538" s="3550" t="s">
        <v>212</v>
      </c>
      <c r="N538" s="3553">
        <f>N539*N537%</f>
        <v>1</v>
      </c>
      <c r="O538" s="3193"/>
      <c r="P538" s="3193"/>
      <c r="Q538" s="3"/>
    </row>
    <row r="539" spans="1:17" ht="15.75">
      <c r="A539" s="3193"/>
      <c r="B539" s="3554" t="s">
        <v>259</v>
      </c>
      <c r="C539" s="3555">
        <f>IF(C536=0,0,IF(C537=0,0,C538/C537))</f>
        <v>0.5</v>
      </c>
      <c r="D539" s="3554" t="s">
        <v>259</v>
      </c>
      <c r="E539" s="3555">
        <f>IF(E536=0,0,E537/E538)</f>
        <v>0.24642049736247174</v>
      </c>
      <c r="F539" s="3550" t="s">
        <v>262</v>
      </c>
      <c r="G539" s="3552">
        <f>G536/(100-G537)*100</f>
        <v>166.66666666666669</v>
      </c>
      <c r="H539" s="3193"/>
      <c r="I539" s="3554" t="s">
        <v>259</v>
      </c>
      <c r="J539" s="3555">
        <f>IF(J536=0,0,IF(J537=0,0,J538/J537))</f>
        <v>0.5</v>
      </c>
      <c r="K539" s="3554" t="s">
        <v>259</v>
      </c>
      <c r="L539" s="3555">
        <f>IF(L536=0,0,L537/L538)</f>
        <v>0.66666666666666663</v>
      </c>
      <c r="M539" s="3550" t="s">
        <v>262</v>
      </c>
      <c r="N539" s="3556">
        <f>N536/(100-N537)*100</f>
        <v>2</v>
      </c>
      <c r="O539" s="3193"/>
      <c r="P539" s="3193"/>
      <c r="Q539" s="3"/>
    </row>
    <row r="540" spans="1:17" ht="15.75">
      <c r="A540" s="3193"/>
      <c r="B540" s="3557" t="s">
        <v>215</v>
      </c>
      <c r="C540" s="3546">
        <v>1780</v>
      </c>
      <c r="D540" s="3558" t="s">
        <v>215</v>
      </c>
      <c r="E540" s="3546">
        <v>2310</v>
      </c>
      <c r="F540" s="3559" t="s">
        <v>215</v>
      </c>
      <c r="G540" s="3560">
        <v>500</v>
      </c>
      <c r="H540" s="3193"/>
      <c r="I540" s="3557" t="s">
        <v>215</v>
      </c>
      <c r="J540" s="3561">
        <v>2</v>
      </c>
      <c r="K540" s="3558" t="s">
        <v>215</v>
      </c>
      <c r="L540" s="3562">
        <v>2</v>
      </c>
      <c r="M540" s="3558" t="s">
        <v>215</v>
      </c>
      <c r="N540" s="3561">
        <v>1</v>
      </c>
      <c r="O540" s="3193"/>
      <c r="P540" s="3193"/>
      <c r="Q540" s="3"/>
    </row>
    <row r="541" spans="1:17" ht="15.75">
      <c r="A541" s="3193"/>
      <c r="B541" s="3563" t="s">
        <v>261</v>
      </c>
      <c r="C541" s="3541">
        <v>1000</v>
      </c>
      <c r="D541" s="3564" t="s">
        <v>260</v>
      </c>
      <c r="E541" s="3541">
        <v>720</v>
      </c>
      <c r="F541" s="3564" t="s">
        <v>213</v>
      </c>
      <c r="G541" s="3565">
        <v>50</v>
      </c>
      <c r="H541" s="3193"/>
      <c r="I541" s="3563" t="s">
        <v>261</v>
      </c>
      <c r="J541" s="3566">
        <v>1</v>
      </c>
      <c r="K541" s="3564" t="s">
        <v>260</v>
      </c>
      <c r="L541" s="3566">
        <v>1</v>
      </c>
      <c r="M541" s="3564" t="s">
        <v>213</v>
      </c>
      <c r="N541" s="3565">
        <v>50</v>
      </c>
      <c r="O541" s="3193"/>
      <c r="P541" s="3193"/>
      <c r="Q541" s="3"/>
    </row>
    <row r="542" spans="1:17" ht="15.75">
      <c r="A542" s="3193"/>
      <c r="B542" s="3550" t="s">
        <v>212</v>
      </c>
      <c r="C542" s="3551">
        <f>IF(C540=0,0,IF(C541=0,0,C540-C541))</f>
        <v>780</v>
      </c>
      <c r="D542" s="3550" t="s">
        <v>222</v>
      </c>
      <c r="E542" s="3551">
        <f>IF(E540=0,0,IF(E541=0,0,E540-E541))</f>
        <v>1590</v>
      </c>
      <c r="F542" s="3550" t="s">
        <v>212</v>
      </c>
      <c r="G542" s="3551">
        <f>G540*G541%</f>
        <v>250</v>
      </c>
      <c r="H542" s="3193"/>
      <c r="I542" s="3550" t="s">
        <v>212</v>
      </c>
      <c r="J542" s="3553">
        <f>IF(J540=0,0,IF(J541=0,0,J540-J541))</f>
        <v>1</v>
      </c>
      <c r="K542" s="3550" t="s">
        <v>222</v>
      </c>
      <c r="L542" s="3553">
        <f>IF(L540=0,0,IF(L541=0,0,L540-L541))</f>
        <v>1</v>
      </c>
      <c r="M542" s="3550" t="s">
        <v>212</v>
      </c>
      <c r="N542" s="3553">
        <f>N540*N541%</f>
        <v>0.5</v>
      </c>
      <c r="O542" s="3193"/>
      <c r="P542" s="3193"/>
      <c r="Q542" s="3"/>
    </row>
    <row r="543" spans="1:17" ht="15.75">
      <c r="A543" s="3193"/>
      <c r="B543" s="3554" t="s">
        <v>259</v>
      </c>
      <c r="C543" s="3555">
        <f>IF(C540=0,0,C542/C540)</f>
        <v>0.43820224719101125</v>
      </c>
      <c r="D543" s="3554" t="s">
        <v>259</v>
      </c>
      <c r="E543" s="3555">
        <f>IF(E540=0,0,IF(E541=0,0,E541/E540))</f>
        <v>0.31168831168831168</v>
      </c>
      <c r="F543" s="3554" t="s">
        <v>222</v>
      </c>
      <c r="G543" s="3567">
        <f>G540-G542</f>
        <v>250</v>
      </c>
      <c r="H543" s="3193"/>
      <c r="I543" s="3554" t="s">
        <v>259</v>
      </c>
      <c r="J543" s="3555">
        <f>IF(J540=0,0,J542/J540)</f>
        <v>0.5</v>
      </c>
      <c r="K543" s="3554" t="s">
        <v>259</v>
      </c>
      <c r="L543" s="3555">
        <f>IF(L540=0,0,IF(L541=0,0,L541/L540))</f>
        <v>0.5</v>
      </c>
      <c r="M543" s="3554" t="s">
        <v>222</v>
      </c>
      <c r="N543" s="3568">
        <f>N540-N542</f>
        <v>0.5</v>
      </c>
      <c r="O543" s="3193"/>
      <c r="P543" s="3193"/>
      <c r="Q543" s="3"/>
    </row>
    <row r="544" spans="1:17">
      <c r="A544" s="3193"/>
      <c r="B544" s="6927" t="s">
        <v>258</v>
      </c>
      <c r="C544" s="6928"/>
      <c r="D544" s="6928"/>
      <c r="E544" s="6928"/>
      <c r="F544" s="6928"/>
      <c r="G544" s="6928"/>
      <c r="H544" s="3193"/>
      <c r="I544" s="6927" t="s">
        <v>258</v>
      </c>
      <c r="J544" s="6928"/>
      <c r="K544" s="6928"/>
      <c r="L544" s="6928"/>
      <c r="M544" s="6928"/>
      <c r="N544" s="6928"/>
      <c r="O544" s="3193"/>
      <c r="P544" s="3193"/>
      <c r="Q544" s="3"/>
    </row>
    <row r="545" spans="1:17">
      <c r="A545" s="3193"/>
      <c r="B545" s="572"/>
      <c r="C545" s="572"/>
      <c r="D545" s="572"/>
      <c r="E545" s="572"/>
      <c r="F545" s="572"/>
      <c r="G545" s="572"/>
      <c r="H545" s="3"/>
      <c r="I545" s="490"/>
      <c r="J545" s="490"/>
      <c r="K545" s="139"/>
      <c r="L545" s="139"/>
      <c r="M545" s="490"/>
      <c r="N545" s="490"/>
      <c r="O545" s="3193"/>
      <c r="P545" s="3193"/>
      <c r="Q545" s="3"/>
    </row>
    <row r="546" spans="1:17">
      <c r="A546" s="3228"/>
      <c r="B546" s="5"/>
      <c r="C546" s="6"/>
      <c r="D546" s="6"/>
      <c r="E546" s="6"/>
      <c r="F546" s="6"/>
      <c r="G546" s="6"/>
      <c r="H546" s="6"/>
      <c r="I546" s="6"/>
      <c r="J546" s="5"/>
      <c r="K546" s="5"/>
      <c r="L546" s="5"/>
      <c r="M546" s="3228"/>
      <c r="N546" s="3228"/>
      <c r="O546" s="3228"/>
      <c r="P546" s="3228"/>
      <c r="Q546" s="3228"/>
    </row>
    <row r="547" spans="1:17">
      <c r="A547" s="3193"/>
      <c r="B547" s="572"/>
      <c r="C547" s="572"/>
      <c r="D547" s="572"/>
      <c r="E547" s="572"/>
      <c r="F547" s="572"/>
      <c r="G547" s="572"/>
      <c r="H547" s="3"/>
      <c r="I547" s="490"/>
      <c r="J547" s="490"/>
      <c r="K547" s="139"/>
      <c r="L547" s="139"/>
      <c r="M547" s="490"/>
      <c r="N547" s="490"/>
      <c r="O547" s="3193"/>
      <c r="P547" s="3193"/>
      <c r="Q547" s="3"/>
    </row>
    <row r="548" spans="1:17">
      <c r="A548" s="3193"/>
      <c r="B548" s="572"/>
      <c r="C548" s="572"/>
      <c r="D548" s="572"/>
      <c r="E548" s="572"/>
      <c r="F548" s="572"/>
      <c r="G548" s="572"/>
      <c r="H548" s="3"/>
      <c r="I548" s="490"/>
      <c r="J548" s="490"/>
      <c r="K548" s="139"/>
      <c r="L548" s="139"/>
      <c r="M548" s="490"/>
      <c r="N548" s="490"/>
      <c r="O548" s="3193"/>
      <c r="P548" s="3193"/>
      <c r="Q548" s="3"/>
    </row>
    <row r="549" spans="1:17" ht="15.75">
      <c r="A549" s="3193"/>
      <c r="B549" s="572"/>
      <c r="C549" s="572"/>
      <c r="D549" s="572"/>
      <c r="E549" s="572"/>
      <c r="F549" s="572"/>
      <c r="G549" s="572"/>
      <c r="H549" s="3"/>
      <c r="I549" s="490"/>
      <c r="J549" s="191" t="s">
        <v>257</v>
      </c>
      <c r="K549" s="190"/>
      <c r="L549" s="190"/>
      <c r="M549" s="189"/>
      <c r="N549" s="189"/>
      <c r="O549" s="3193"/>
      <c r="P549" s="3193"/>
      <c r="Q549" s="3"/>
    </row>
    <row r="550" spans="1:17">
      <c r="A550" s="3193"/>
      <c r="B550" s="572"/>
      <c r="C550" s="572"/>
      <c r="D550" s="572"/>
      <c r="E550" s="572"/>
      <c r="F550" s="572"/>
      <c r="G550" s="572"/>
      <c r="H550" s="3"/>
      <c r="I550" s="490"/>
      <c r="J550" s="490"/>
      <c r="K550" s="139"/>
      <c r="L550" s="139"/>
      <c r="M550" s="490"/>
      <c r="N550" s="490"/>
      <c r="O550" s="3193"/>
      <c r="P550" s="3193"/>
      <c r="Q550" s="3"/>
    </row>
    <row r="551" spans="1:17" ht="21">
      <c r="A551" s="3193"/>
      <c r="B551" s="572"/>
      <c r="C551" s="572"/>
      <c r="D551" s="572"/>
      <c r="E551" s="572"/>
      <c r="F551" s="572"/>
      <c r="G551" s="572"/>
      <c r="H551" s="3"/>
      <c r="I551" s="490"/>
      <c r="J551" s="188" t="s">
        <v>256</v>
      </c>
      <c r="K551" s="3193"/>
      <c r="L551" s="3193"/>
      <c r="M551" s="3193"/>
      <c r="N551" s="3193"/>
      <c r="O551" s="3193"/>
      <c r="P551" s="3193"/>
      <c r="Q551" s="3"/>
    </row>
    <row r="552" spans="1:17" ht="23.25">
      <c r="A552" s="3193"/>
      <c r="B552" s="572"/>
      <c r="C552" s="572"/>
      <c r="D552" s="572"/>
      <c r="E552" s="572"/>
      <c r="F552" s="572"/>
      <c r="G552" s="572"/>
      <c r="H552" s="3"/>
      <c r="I552" s="490"/>
      <c r="J552" s="5604" t="s">
        <v>255</v>
      </c>
      <c r="K552" s="5604"/>
      <c r="L552" s="5604"/>
      <c r="M552" s="5604"/>
      <c r="N552" s="5604"/>
      <c r="O552" s="3193"/>
      <c r="P552" s="3193"/>
      <c r="Q552" s="3"/>
    </row>
    <row r="553" spans="1:17" ht="21">
      <c r="A553" s="3193"/>
      <c r="B553" s="572"/>
      <c r="C553" s="572"/>
      <c r="D553" s="572"/>
      <c r="E553" s="572"/>
      <c r="F553" s="572"/>
      <c r="G553" s="572"/>
      <c r="H553" s="3"/>
      <c r="I553" s="490"/>
      <c r="J553" s="3569"/>
      <c r="K553" s="3570" t="s">
        <v>254</v>
      </c>
      <c r="L553" s="186"/>
      <c r="M553" s="185"/>
      <c r="N553" s="490"/>
      <c r="O553" s="3193"/>
      <c r="P553" s="3193"/>
      <c r="Q553" s="3"/>
    </row>
    <row r="554" spans="1:17" ht="21">
      <c r="A554" s="3193"/>
      <c r="B554" s="572"/>
      <c r="C554" s="572"/>
      <c r="D554" s="572"/>
      <c r="E554" s="572"/>
      <c r="F554" s="572"/>
      <c r="G554" s="572"/>
      <c r="H554" s="3"/>
      <c r="I554" s="490"/>
      <c r="J554" s="3569"/>
      <c r="K554" s="3570" t="s">
        <v>253</v>
      </c>
      <c r="L554" s="186"/>
      <c r="M554" s="185"/>
      <c r="N554" s="490"/>
      <c r="O554" s="3193"/>
      <c r="P554" s="3193"/>
      <c r="Q554" s="3"/>
    </row>
    <row r="555" spans="1:17" ht="21">
      <c r="A555" s="3193"/>
      <c r="B555" s="572"/>
      <c r="C555" s="572"/>
      <c r="D555" s="572"/>
      <c r="E555" s="572"/>
      <c r="F555" s="572"/>
      <c r="G555" s="572"/>
      <c r="H555" s="3"/>
      <c r="I555" s="490"/>
      <c r="J555" s="3569"/>
      <c r="K555" s="3570" t="s">
        <v>252</v>
      </c>
      <c r="L555" s="186"/>
      <c r="M555" s="185"/>
      <c r="N555" s="490"/>
      <c r="O555" s="3193"/>
      <c r="P555" s="3193"/>
      <c r="Q555" s="3"/>
    </row>
    <row r="556" spans="1:17" ht="21">
      <c r="A556" s="3193"/>
      <c r="B556" s="141" t="s">
        <v>251</v>
      </c>
      <c r="C556" s="572"/>
      <c r="D556" s="572"/>
      <c r="E556" s="572"/>
      <c r="F556" s="572"/>
      <c r="G556" s="572"/>
      <c r="H556" s="3"/>
      <c r="I556" s="490"/>
      <c r="J556" s="3569"/>
      <c r="K556" s="3570" t="s">
        <v>250</v>
      </c>
      <c r="L556" s="186"/>
      <c r="M556" s="185"/>
      <c r="N556" s="490"/>
      <c r="O556" s="3193"/>
      <c r="P556" s="3193"/>
      <c r="Q556" s="3"/>
    </row>
    <row r="557" spans="1:17" ht="21">
      <c r="A557" s="3193"/>
      <c r="B557" s="141" t="s">
        <v>249</v>
      </c>
      <c r="C557" s="572"/>
      <c r="D557" s="572"/>
      <c r="E557" s="572"/>
      <c r="F557" s="572"/>
      <c r="G557" s="572"/>
      <c r="H557" s="3"/>
      <c r="I557" s="490"/>
      <c r="J557" s="3569"/>
      <c r="K557" s="3570" t="s">
        <v>248</v>
      </c>
      <c r="L557" s="186"/>
      <c r="M557" s="185"/>
      <c r="N557" s="490"/>
      <c r="O557" s="3193"/>
      <c r="P557" s="3193"/>
      <c r="Q557" s="3"/>
    </row>
    <row r="558" spans="1:17" ht="21">
      <c r="A558" s="3193"/>
      <c r="B558" s="572"/>
      <c r="C558" s="572"/>
      <c r="D558" s="572"/>
      <c r="E558" s="572"/>
      <c r="F558" s="572"/>
      <c r="G558" s="572"/>
      <c r="H558" s="3"/>
      <c r="I558" s="490"/>
      <c r="J558" s="3569"/>
      <c r="K558" s="3570" t="s">
        <v>247</v>
      </c>
      <c r="L558" s="186"/>
      <c r="M558" s="185"/>
      <c r="N558" s="490"/>
      <c r="O558" s="3193"/>
      <c r="P558" s="3193"/>
      <c r="Q558" s="3"/>
    </row>
    <row r="559" spans="1:17" ht="21">
      <c r="A559" s="3193"/>
      <c r="B559" s="183" t="s">
        <v>246</v>
      </c>
      <c r="C559" s="3193"/>
      <c r="D559" s="3193"/>
      <c r="E559" s="3193"/>
      <c r="F559" s="572"/>
      <c r="G559" s="572"/>
      <c r="H559" s="3"/>
      <c r="I559" s="490"/>
      <c r="J559" s="3569"/>
      <c r="K559" s="3570" t="s">
        <v>245</v>
      </c>
      <c r="L559" s="186"/>
      <c r="M559" s="185"/>
      <c r="N559" s="490"/>
      <c r="O559" s="3193"/>
      <c r="P559" s="3193"/>
      <c r="Q559" s="3"/>
    </row>
    <row r="560" spans="1:17">
      <c r="A560" s="3193"/>
      <c r="B560" s="3571" t="s">
        <v>244</v>
      </c>
      <c r="C560" s="3193"/>
      <c r="D560" s="3193"/>
      <c r="E560" s="3193"/>
      <c r="F560" s="572"/>
      <c r="G560" s="572"/>
      <c r="H560" s="3"/>
      <c r="I560" s="490"/>
      <c r="J560" s="490"/>
      <c r="K560" s="139"/>
      <c r="L560" s="139"/>
      <c r="M560" s="490"/>
      <c r="N560" s="490"/>
      <c r="O560" s="3193"/>
      <c r="P560" s="3193"/>
      <c r="Q560" s="3"/>
    </row>
    <row r="561" spans="1:17" ht="31.5" customHeight="1" thickBot="1">
      <c r="A561" s="3193"/>
      <c r="B561" s="141"/>
      <c r="C561" s="3386"/>
      <c r="D561" s="3386"/>
      <c r="E561" s="3386"/>
      <c r="F561" s="572"/>
      <c r="G561" s="572"/>
      <c r="H561" s="3"/>
      <c r="I561" s="490"/>
      <c r="J561" s="183"/>
      <c r="K561" s="139"/>
      <c r="L561" s="139"/>
      <c r="O561" s="3193"/>
      <c r="P561" s="3193"/>
      <c r="Q561" s="3"/>
    </row>
    <row r="562" spans="1:17" ht="16.5" customHeight="1" thickBot="1">
      <c r="A562" s="3193"/>
      <c r="B562" s="3264"/>
      <c r="C562" s="3193"/>
      <c r="D562" s="3193"/>
      <c r="E562" s="3193"/>
      <c r="F562" s="572"/>
      <c r="G562" s="572"/>
      <c r="H562" s="3"/>
      <c r="I562" s="490"/>
      <c r="J562" s="3571"/>
      <c r="K562" s="139"/>
      <c r="L562" s="139"/>
      <c r="M562" s="6929" t="s">
        <v>241</v>
      </c>
      <c r="N562" s="6930"/>
      <c r="O562" s="3193"/>
      <c r="P562" s="3193"/>
      <c r="Q562" s="3"/>
    </row>
    <row r="563" spans="1:17" ht="15.75">
      <c r="A563" s="3193"/>
      <c r="B563" s="3572" t="s">
        <v>243</v>
      </c>
      <c r="C563" s="3193"/>
      <c r="D563" s="3193"/>
      <c r="E563" s="3193"/>
      <c r="F563" s="572"/>
      <c r="G563" s="6931" t="s">
        <v>242</v>
      </c>
      <c r="H563" s="6932"/>
      <c r="I563" s="490"/>
      <c r="J563" s="3264"/>
      <c r="K563" s="3264"/>
      <c r="L563" s="139"/>
      <c r="M563" s="6935" t="s">
        <v>239</v>
      </c>
      <c r="N563" s="6936"/>
      <c r="O563" s="3193"/>
      <c r="P563" s="3193"/>
      <c r="Q563" s="3"/>
    </row>
    <row r="564" spans="1:17" ht="15.75">
      <c r="A564" s="3193"/>
      <c r="B564" s="3573" t="s">
        <v>242</v>
      </c>
      <c r="C564" s="3193"/>
      <c r="D564" s="3193"/>
      <c r="E564" s="3193" t="s">
        <v>3130</v>
      </c>
      <c r="F564" s="572"/>
      <c r="G564" s="6933"/>
      <c r="H564" s="6934"/>
      <c r="I564" s="490"/>
      <c r="J564" s="3264" t="s">
        <v>241</v>
      </c>
      <c r="K564" s="3264"/>
      <c r="L564" s="139"/>
      <c r="M564" s="3574" t="s">
        <v>215</v>
      </c>
      <c r="N564" s="3575">
        <v>140</v>
      </c>
      <c r="O564" s="3193"/>
      <c r="P564" s="3193"/>
      <c r="Q564" s="3"/>
    </row>
    <row r="565" spans="1:17" ht="15.75" customHeight="1">
      <c r="A565" s="3193"/>
      <c r="B565" s="3264" t="s">
        <v>240</v>
      </c>
      <c r="C565" s="3193"/>
      <c r="D565" s="3193"/>
      <c r="E565" s="3193"/>
      <c r="F565" s="572"/>
      <c r="G565" s="3576" t="s">
        <v>215</v>
      </c>
      <c r="H565" s="3577">
        <v>87</v>
      </c>
      <c r="I565" s="490"/>
      <c r="J565" s="3264" t="s">
        <v>239</v>
      </c>
      <c r="K565" s="3264"/>
      <c r="L565" s="139"/>
      <c r="M565" s="3578" t="s">
        <v>213</v>
      </c>
      <c r="N565" s="3579">
        <v>20</v>
      </c>
      <c r="O565" s="3193"/>
      <c r="P565" s="3193"/>
      <c r="Q565" s="3193"/>
    </row>
    <row r="566" spans="1:17" ht="15.75">
      <c r="A566" s="3193"/>
      <c r="B566" s="3264" t="s">
        <v>238</v>
      </c>
      <c r="C566" s="3193"/>
      <c r="D566" s="3193"/>
      <c r="E566" s="3193"/>
      <c r="F566" s="572"/>
      <c r="G566" s="3580" t="s">
        <v>213</v>
      </c>
      <c r="H566" s="3581">
        <v>5</v>
      </c>
      <c r="I566" s="490"/>
      <c r="J566" s="3264" t="s">
        <v>237</v>
      </c>
      <c r="K566" s="3264"/>
      <c r="L566" s="139"/>
      <c r="M566" s="3582" t="s">
        <v>212</v>
      </c>
      <c r="N566" s="3583">
        <f>(N564*N565)/100</f>
        <v>28</v>
      </c>
      <c r="O566" s="3193"/>
      <c r="P566" s="3193"/>
      <c r="Q566" s="3193"/>
    </row>
    <row r="567" spans="1:17" ht="15.75">
      <c r="A567" s="3193"/>
      <c r="B567" s="3572" t="s">
        <v>236</v>
      </c>
      <c r="C567" s="3193"/>
      <c r="D567" s="3193"/>
      <c r="E567" s="3193"/>
      <c r="F567" s="572"/>
      <c r="G567" s="3584" t="s">
        <v>224</v>
      </c>
      <c r="H567" s="3585">
        <f>H566/100</f>
        <v>0.05</v>
      </c>
      <c r="I567" s="490"/>
      <c r="J567" s="3572" t="s">
        <v>233</v>
      </c>
      <c r="K567" s="3264"/>
      <c r="L567" s="139"/>
      <c r="M567" s="3582" t="s">
        <v>224</v>
      </c>
      <c r="N567" s="3586">
        <f>N565/100</f>
        <v>0.2</v>
      </c>
      <c r="O567" s="3193"/>
      <c r="P567" s="3193"/>
      <c r="Q567" s="3193"/>
    </row>
    <row r="568" spans="1:17" ht="16.5" thickBot="1">
      <c r="A568" s="3193"/>
      <c r="B568" s="3264" t="s">
        <v>235</v>
      </c>
      <c r="C568" s="3193"/>
      <c r="D568" s="3193"/>
      <c r="E568" s="3193"/>
      <c r="F568" s="572"/>
      <c r="G568" s="3587" t="s">
        <v>212</v>
      </c>
      <c r="H568" s="3588">
        <f>H565*H567</f>
        <v>4.3500000000000005</v>
      </c>
      <c r="I568" s="490"/>
      <c r="J568" s="3264" t="s">
        <v>231</v>
      </c>
      <c r="K568" s="3264"/>
      <c r="L568" s="139"/>
      <c r="M568" s="3584" t="s">
        <v>212</v>
      </c>
      <c r="N568" s="3589">
        <f>N564*N567</f>
        <v>28</v>
      </c>
      <c r="O568" s="3193"/>
      <c r="P568" s="3193"/>
      <c r="Q568" s="3193"/>
    </row>
    <row r="569" spans="1:17" ht="16.5" thickBot="1">
      <c r="A569" s="3193"/>
      <c r="B569" s="3264" t="s">
        <v>234</v>
      </c>
      <c r="C569" s="3193"/>
      <c r="D569" s="3193"/>
      <c r="E569" s="3193"/>
      <c r="F569" s="572"/>
      <c r="G569" s="572"/>
      <c r="H569" s="3"/>
      <c r="I569" s="490"/>
      <c r="J569" s="3572" t="s">
        <v>228</v>
      </c>
      <c r="K569" s="3264"/>
      <c r="L569" s="139"/>
      <c r="M569" s="6951" t="s">
        <v>233</v>
      </c>
      <c r="N569" s="6952"/>
      <c r="O569" s="3193"/>
      <c r="P569" s="3193"/>
      <c r="Q569" s="3193"/>
    </row>
    <row r="570" spans="1:17" ht="15.75">
      <c r="A570" s="3193"/>
      <c r="B570" s="3572" t="s">
        <v>232</v>
      </c>
      <c r="C570" s="3193"/>
      <c r="D570" s="3193"/>
      <c r="E570" s="3193"/>
      <c r="F570" s="572"/>
      <c r="G570" s="6931" t="s">
        <v>229</v>
      </c>
      <c r="H570" s="6932"/>
      <c r="I570" s="490"/>
      <c r="J570" s="3264" t="s">
        <v>226</v>
      </c>
      <c r="K570" s="3264"/>
      <c r="L570" s="139"/>
      <c r="M570" s="6953" t="s">
        <v>231</v>
      </c>
      <c r="N570" s="6954"/>
      <c r="O570" s="3193"/>
      <c r="P570" s="3193"/>
      <c r="Q570" s="3193"/>
    </row>
    <row r="571" spans="1:17" ht="15.75">
      <c r="A571" s="3193"/>
      <c r="B571" s="3264"/>
      <c r="C571" s="3193"/>
      <c r="D571" s="3193"/>
      <c r="E571" s="3193"/>
      <c r="F571" s="572"/>
      <c r="G571" s="6933"/>
      <c r="H571" s="6934"/>
      <c r="I571" s="490"/>
      <c r="J571" s="3572" t="s">
        <v>219</v>
      </c>
      <c r="K571" s="3264"/>
      <c r="L571" s="139"/>
      <c r="M571" s="3590">
        <f>N567</f>
        <v>0.2</v>
      </c>
      <c r="N571" s="3591">
        <f>N564*M571</f>
        <v>28</v>
      </c>
      <c r="O571" s="3592" t="s">
        <v>230</v>
      </c>
      <c r="P571" s="3193"/>
      <c r="Q571" s="3193"/>
    </row>
    <row r="572" spans="1:17" ht="15.75">
      <c r="A572" s="3193"/>
      <c r="B572" s="3573" t="s">
        <v>229</v>
      </c>
      <c r="C572" s="3193"/>
      <c r="D572" s="3193"/>
      <c r="E572" s="3193"/>
      <c r="F572" s="572"/>
      <c r="G572" s="3576" t="s">
        <v>215</v>
      </c>
      <c r="H572" s="3593">
        <v>87</v>
      </c>
      <c r="I572" s="490"/>
      <c r="J572" s="3264"/>
      <c r="K572" s="3264"/>
      <c r="L572" s="139"/>
      <c r="M572" s="6955" t="s">
        <v>228</v>
      </c>
      <c r="N572" s="6956"/>
      <c r="O572" s="3193"/>
      <c r="P572" s="3193"/>
      <c r="Q572" s="3193"/>
    </row>
    <row r="573" spans="1:17" ht="15.75">
      <c r="A573" s="3193"/>
      <c r="B573" s="3264" t="s">
        <v>227</v>
      </c>
      <c r="C573" s="3193"/>
      <c r="D573" s="3193"/>
      <c r="E573" s="3193"/>
      <c r="F573" s="572"/>
      <c r="G573" s="3580" t="s">
        <v>213</v>
      </c>
      <c r="H573" s="3581">
        <v>5</v>
      </c>
      <c r="I573" s="490"/>
      <c r="J573" s="3193"/>
      <c r="K573" s="3264"/>
      <c r="L573" s="139"/>
      <c r="M573" s="3594" t="s">
        <v>226</v>
      </c>
      <c r="N573" s="3341"/>
      <c r="O573" s="3193"/>
      <c r="P573" s="3193"/>
      <c r="Q573" s="3193"/>
    </row>
    <row r="574" spans="1:17" ht="15.75">
      <c r="A574" s="3193"/>
      <c r="B574" s="3572" t="s">
        <v>225</v>
      </c>
      <c r="C574" s="3193"/>
      <c r="D574" s="3193"/>
      <c r="E574" s="3193"/>
      <c r="F574" s="572"/>
      <c r="G574" s="3584" t="s">
        <v>224</v>
      </c>
      <c r="H574" s="3585">
        <f>(100-H573)/100</f>
        <v>0.95</v>
      </c>
      <c r="I574" s="490"/>
      <c r="J574" s="3193"/>
      <c r="K574" s="3264"/>
      <c r="L574" s="139"/>
      <c r="M574" s="3595" t="s">
        <v>213</v>
      </c>
      <c r="N574" s="3596">
        <v>40</v>
      </c>
      <c r="O574" s="3193"/>
      <c r="P574" s="3193"/>
      <c r="Q574" s="3193"/>
    </row>
    <row r="575" spans="1:17" ht="16.5" thickBot="1">
      <c r="A575" s="3193"/>
      <c r="B575" s="3264" t="s">
        <v>223</v>
      </c>
      <c r="C575" s="3193"/>
      <c r="D575" s="3193"/>
      <c r="E575" s="3193"/>
      <c r="F575" s="572"/>
      <c r="G575" s="3587" t="s">
        <v>222</v>
      </c>
      <c r="H575" s="3588">
        <f>H572*H574</f>
        <v>82.649999999999991</v>
      </c>
      <c r="I575" s="490"/>
      <c r="J575" s="3193"/>
      <c r="K575" s="3264"/>
      <c r="L575" s="139"/>
      <c r="M575" s="3590">
        <f>N574/100</f>
        <v>0.4</v>
      </c>
      <c r="N575" s="3591">
        <f>N564*M575</f>
        <v>56</v>
      </c>
      <c r="O575" s="3193"/>
      <c r="P575" s="3193"/>
      <c r="Q575" s="3193"/>
    </row>
    <row r="576" spans="1:17" ht="15.75">
      <c r="A576" s="3193"/>
      <c r="B576" s="3572" t="s">
        <v>221</v>
      </c>
      <c r="C576" s="3193"/>
      <c r="D576" s="3193"/>
      <c r="E576" s="3193"/>
      <c r="F576" s="572"/>
      <c r="G576" s="572"/>
      <c r="H576" s="3"/>
      <c r="I576" s="490"/>
      <c r="J576" s="3193"/>
      <c r="K576" s="3264"/>
      <c r="L576" s="139"/>
      <c r="M576" s="3595" t="s">
        <v>213</v>
      </c>
      <c r="N576" s="3596">
        <v>90</v>
      </c>
      <c r="O576" s="3193"/>
      <c r="P576" s="3193"/>
      <c r="Q576" s="3193"/>
    </row>
    <row r="577" spans="1:17" ht="15.75">
      <c r="A577" s="3193"/>
      <c r="B577" s="3264" t="s">
        <v>220</v>
      </c>
      <c r="C577" s="3193"/>
      <c r="D577" s="3193"/>
      <c r="E577" s="3193"/>
      <c r="F577" s="572"/>
      <c r="G577" s="572"/>
      <c r="H577" s="3"/>
      <c r="I577" s="490"/>
      <c r="J577" s="3193"/>
      <c r="K577" s="3264"/>
      <c r="L577" s="139"/>
      <c r="M577" s="6953" t="s">
        <v>219</v>
      </c>
      <c r="N577" s="6954"/>
      <c r="O577" s="3193"/>
      <c r="P577" s="3193"/>
      <c r="Q577" s="3193"/>
    </row>
    <row r="578" spans="1:17" ht="16.5" thickBot="1">
      <c r="A578" s="3193"/>
      <c r="B578" s="3264"/>
      <c r="C578" s="3193"/>
      <c r="D578" s="3193"/>
      <c r="E578" s="3193"/>
      <c r="F578" s="572"/>
      <c r="G578" s="572"/>
      <c r="H578" s="3"/>
      <c r="I578" s="490"/>
      <c r="J578" s="3193"/>
      <c r="K578" s="3264"/>
      <c r="L578" s="139"/>
      <c r="M578" s="3597">
        <f>N576/100</f>
        <v>0.9</v>
      </c>
      <c r="N578" s="3598">
        <f>N564*M578</f>
        <v>126</v>
      </c>
      <c r="O578" s="3193"/>
      <c r="P578" s="3193"/>
      <c r="Q578" s="3193"/>
    </row>
    <row r="579" spans="1:17" ht="15.75">
      <c r="A579" s="3193"/>
      <c r="B579" s="3264" t="s">
        <v>218</v>
      </c>
      <c r="C579" s="3264"/>
      <c r="D579" s="139"/>
      <c r="E579" s="3264"/>
      <c r="F579" s="3264"/>
      <c r="G579" s="6957" t="s">
        <v>218</v>
      </c>
      <c r="H579" s="6958"/>
      <c r="I579" s="490"/>
      <c r="J579" s="3264"/>
      <c r="K579" s="3264"/>
      <c r="L579" s="3264"/>
      <c r="M579" s="3264"/>
      <c r="N579" s="3264"/>
      <c r="O579" s="3193"/>
      <c r="P579" s="3193"/>
      <c r="Q579" s="3193"/>
    </row>
    <row r="580" spans="1:17" ht="15.75">
      <c r="A580" s="3193"/>
      <c r="B580" s="3264" t="s">
        <v>217</v>
      </c>
      <c r="C580" s="3264"/>
      <c r="D580" s="139"/>
      <c r="E580" s="3264"/>
      <c r="F580" s="3264"/>
      <c r="G580" s="6959"/>
      <c r="H580" s="6960"/>
      <c r="I580" s="490"/>
      <c r="J580" s="3264"/>
      <c r="K580" s="3264"/>
      <c r="L580" s="3264"/>
      <c r="M580" s="3264"/>
      <c r="N580" s="3264"/>
      <c r="O580" s="3193"/>
      <c r="P580" s="3193"/>
      <c r="Q580" s="3193"/>
    </row>
    <row r="581" spans="1:17" ht="15.75">
      <c r="A581" s="3193"/>
      <c r="B581" s="3264" t="s">
        <v>216</v>
      </c>
      <c r="C581" s="3264"/>
      <c r="D581" s="139"/>
      <c r="E581" s="3264"/>
      <c r="F581" s="3264"/>
      <c r="G581" s="6944" t="s">
        <v>217</v>
      </c>
      <c r="H581" s="6945"/>
      <c r="I581" s="490"/>
      <c r="J581" s="3264"/>
      <c r="K581" s="3264"/>
      <c r="L581" s="3264"/>
      <c r="M581" s="3264"/>
      <c r="N581" s="3264"/>
      <c r="O581" s="3193"/>
      <c r="P581" s="3193"/>
      <c r="Q581" s="3193"/>
    </row>
    <row r="582" spans="1:17" ht="15.75">
      <c r="A582" s="3193"/>
      <c r="B582" s="3264" t="s">
        <v>211</v>
      </c>
      <c r="C582" s="3264"/>
      <c r="D582" s="139"/>
      <c r="E582" s="3264"/>
      <c r="F582" s="3264"/>
      <c r="G582" s="6946" t="s">
        <v>216</v>
      </c>
      <c r="H582" s="6947"/>
      <c r="I582" s="490"/>
      <c r="J582" s="3264"/>
      <c r="K582" s="3264"/>
      <c r="L582" s="3264"/>
      <c r="M582" s="3264"/>
      <c r="N582" s="3264"/>
      <c r="O582" s="3193"/>
      <c r="P582" s="3193"/>
      <c r="Q582" s="3193"/>
    </row>
    <row r="583" spans="1:17" ht="15.75">
      <c r="A583" s="3193"/>
      <c r="B583" s="3264" t="s">
        <v>210</v>
      </c>
      <c r="C583" s="3264"/>
      <c r="D583" s="139"/>
      <c r="E583" s="3264"/>
      <c r="F583" s="3264"/>
      <c r="G583" s="3599" t="s">
        <v>215</v>
      </c>
      <c r="H583" s="3600">
        <v>500</v>
      </c>
      <c r="I583" s="490"/>
      <c r="J583" s="3264"/>
      <c r="K583" s="3264"/>
      <c r="L583" s="3264"/>
      <c r="M583" s="3264"/>
      <c r="N583" s="3264"/>
      <c r="O583" s="3193"/>
      <c r="P583" s="3193"/>
      <c r="Q583" s="3193"/>
    </row>
    <row r="584" spans="1:17" ht="15.75">
      <c r="A584" s="3193"/>
      <c r="B584" s="3264" t="s">
        <v>214</v>
      </c>
      <c r="C584" s="3264"/>
      <c r="D584" s="139"/>
      <c r="E584" s="3264"/>
      <c r="F584" s="3264"/>
      <c r="G584" s="3595" t="s">
        <v>213</v>
      </c>
      <c r="H584" s="3596">
        <v>8</v>
      </c>
      <c r="I584" s="490"/>
      <c r="J584" s="3264"/>
      <c r="K584" s="3264"/>
      <c r="L584" s="3264"/>
      <c r="M584" s="3264"/>
      <c r="N584" s="3264"/>
      <c r="O584" s="3193"/>
      <c r="P584" s="3193"/>
      <c r="Q584" s="3193"/>
    </row>
    <row r="585" spans="1:17" ht="15.75">
      <c r="A585" s="3193"/>
      <c r="B585" s="3264"/>
      <c r="C585" s="3264"/>
      <c r="D585" s="139"/>
      <c r="E585" s="3264"/>
      <c r="F585" s="3264"/>
      <c r="G585" s="3584" t="s">
        <v>212</v>
      </c>
      <c r="H585" s="3589">
        <f>H583*(H584/100)</f>
        <v>40</v>
      </c>
      <c r="I585" s="490"/>
      <c r="J585" s="3264"/>
      <c r="K585" s="3264"/>
      <c r="L585" s="3264"/>
      <c r="M585" s="3264"/>
      <c r="N585" s="3264"/>
      <c r="O585" s="3193"/>
      <c r="P585" s="3193"/>
      <c r="Q585" s="3193"/>
    </row>
    <row r="586" spans="1:17" ht="15.75">
      <c r="A586" s="3193"/>
      <c r="B586" s="3264"/>
      <c r="C586" s="3264"/>
      <c r="D586" s="139"/>
      <c r="E586" s="3264"/>
      <c r="F586" s="3264"/>
      <c r="G586" s="6948" t="s">
        <v>211</v>
      </c>
      <c r="H586" s="6949"/>
      <c r="I586" s="490"/>
      <c r="J586" s="3264"/>
      <c r="K586" s="3264"/>
      <c r="L586" s="3264"/>
      <c r="M586" s="3264"/>
      <c r="N586" s="3264"/>
      <c r="O586" s="3193"/>
      <c r="P586" s="3193"/>
      <c r="Q586" s="3193"/>
    </row>
    <row r="587" spans="1:17" ht="15.75">
      <c r="A587" s="3193"/>
      <c r="B587" s="3264"/>
      <c r="C587" s="3264"/>
      <c r="D587" s="139"/>
      <c r="E587" s="3264"/>
      <c r="F587" s="3264"/>
      <c r="G587" s="6946" t="s">
        <v>210</v>
      </c>
      <c r="H587" s="6947"/>
      <c r="I587" s="490"/>
      <c r="J587" s="3264"/>
      <c r="K587" s="3264"/>
      <c r="L587" s="3264"/>
      <c r="M587" s="3264"/>
      <c r="N587" s="3264"/>
      <c r="O587" s="3193"/>
      <c r="P587" s="3193"/>
      <c r="Q587" s="3193"/>
    </row>
    <row r="588" spans="1:17" ht="16.5" thickBot="1">
      <c r="A588" s="3193"/>
      <c r="B588" s="3264"/>
      <c r="C588" s="3264"/>
      <c r="D588" s="139"/>
      <c r="E588" s="3264"/>
      <c r="F588" s="3264"/>
      <c r="G588" s="3601">
        <f>H584/100</f>
        <v>0.08</v>
      </c>
      <c r="H588" s="3598">
        <f>H583*G588</f>
        <v>40</v>
      </c>
      <c r="I588" s="490"/>
      <c r="J588" s="3264"/>
      <c r="K588" s="3264"/>
      <c r="L588" s="3264"/>
      <c r="M588" s="3264"/>
      <c r="N588" s="3264"/>
      <c r="O588" s="3193"/>
      <c r="P588" s="3193"/>
      <c r="Q588" s="3193"/>
    </row>
    <row r="589" spans="1:17" ht="15.75">
      <c r="A589" s="3193"/>
      <c r="B589" s="3602"/>
      <c r="C589" s="3193"/>
      <c r="D589" s="3193"/>
      <c r="E589" s="3193"/>
      <c r="F589" s="572"/>
      <c r="G589" s="572"/>
      <c r="H589" s="3"/>
      <c r="I589" s="490"/>
      <c r="J589" s="3264"/>
      <c r="K589" s="3264"/>
      <c r="L589" s="3264"/>
      <c r="M589" s="3264"/>
      <c r="N589" s="3264"/>
      <c r="O589" s="3193"/>
      <c r="P589" s="3193"/>
      <c r="Q589" s="3193"/>
    </row>
    <row r="590" spans="1:17" ht="16.5" thickBot="1">
      <c r="A590" s="3193"/>
      <c r="B590" s="3602"/>
      <c r="C590" s="3193"/>
      <c r="D590" s="3193"/>
      <c r="E590" s="3193"/>
      <c r="F590" s="572"/>
      <c r="G590" s="572"/>
      <c r="H590" s="3"/>
      <c r="I590" s="490"/>
      <c r="J590" s="3264"/>
      <c r="K590" s="3264"/>
      <c r="L590" s="3264"/>
      <c r="M590" s="3264"/>
      <c r="N590" s="3264"/>
      <c r="O590" s="3193"/>
      <c r="P590" s="3193"/>
      <c r="Q590" s="3193"/>
    </row>
    <row r="591" spans="1:17" ht="20.25">
      <c r="A591" s="3193"/>
      <c r="B591" s="3603"/>
      <c r="C591" s="3604"/>
      <c r="D591" s="3604"/>
      <c r="E591" s="3604"/>
      <c r="F591" s="3604"/>
      <c r="G591" s="3604"/>
      <c r="H591" s="3605" t="s">
        <v>209</v>
      </c>
      <c r="I591" s="490"/>
      <c r="J591" s="3264"/>
      <c r="K591" s="3264"/>
      <c r="L591" s="3264"/>
      <c r="M591" s="3264"/>
      <c r="N591" s="3264"/>
      <c r="O591" s="3193"/>
      <c r="P591" s="3193"/>
      <c r="Q591" s="3193"/>
    </row>
    <row r="592" spans="1:17" ht="15.75">
      <c r="A592" s="3193"/>
      <c r="B592" s="3606" t="s">
        <v>208</v>
      </c>
      <c r="C592" s="3607"/>
      <c r="D592" s="3608" t="str">
        <f>IF(B593&lt;G593,"Recette imcomplète,il manque",IF(B593&gt;G593,"Trop de produits dans le recette",IF(B593=G593,"")))</f>
        <v>Recette imcomplète,il manque</v>
      </c>
      <c r="E592" s="3609">
        <f>IF(B593=G593,"",IF(B593&lt;G593,G593-B593,IF(B593&gt;G593,B593-G593)))</f>
        <v>2.9999999999999916E-2</v>
      </c>
      <c r="F592" s="3610" t="s">
        <v>207</v>
      </c>
      <c r="G592" s="3611" t="s">
        <v>206</v>
      </c>
      <c r="H592" s="3612" t="s">
        <v>205</v>
      </c>
      <c r="I592" s="490"/>
      <c r="J592" s="3264"/>
      <c r="K592" s="3264"/>
      <c r="L592" s="3264"/>
      <c r="M592" s="3264"/>
      <c r="N592" s="3264"/>
      <c r="O592" s="3193"/>
      <c r="P592" s="3193"/>
      <c r="Q592" s="3193"/>
    </row>
    <row r="593" spans="1:17" ht="15.75">
      <c r="A593" s="3193"/>
      <c r="B593" s="3613">
        <f>SUM(B594:B599)</f>
        <v>0.97000000000000008</v>
      </c>
      <c r="C593" s="3614"/>
      <c r="D593" s="3615"/>
      <c r="E593" s="692" t="s">
        <v>204</v>
      </c>
      <c r="F593" s="3616">
        <v>7</v>
      </c>
      <c r="G593" s="3617">
        <v>1</v>
      </c>
      <c r="H593" s="3618">
        <f>SUM(H594:H599)</f>
        <v>6.9300000000000006</v>
      </c>
      <c r="I593" s="490"/>
      <c r="J593" s="3264"/>
      <c r="K593" s="3264"/>
      <c r="L593" s="3264"/>
      <c r="M593" s="3264"/>
      <c r="N593" s="3264"/>
      <c r="O593" s="3193"/>
      <c r="P593" s="3193"/>
      <c r="Q593" s="3193"/>
    </row>
    <row r="594" spans="1:17" ht="15.75">
      <c r="A594" s="3193"/>
      <c r="B594" s="3619">
        <v>0.12</v>
      </c>
      <c r="C594" s="693" t="s">
        <v>203</v>
      </c>
      <c r="D594" s="693"/>
      <c r="E594" s="693"/>
      <c r="F594" s="3620">
        <f>F593*B594</f>
        <v>0.84</v>
      </c>
      <c r="G594" s="3621">
        <v>0</v>
      </c>
      <c r="H594" s="3622">
        <f t="shared" ref="H594:H599" si="3">IF(G594=0,F594,IF(F594="","",F594/(100-G594)*100))</f>
        <v>0.84</v>
      </c>
      <c r="I594" s="490"/>
      <c r="J594" s="3264"/>
      <c r="K594" s="3264"/>
      <c r="L594" s="3264"/>
      <c r="M594" s="3264"/>
      <c r="N594" s="3264"/>
      <c r="O594" s="3193"/>
      <c r="P594" s="3193"/>
      <c r="Q594" s="3193"/>
    </row>
    <row r="595" spans="1:17" ht="15.75">
      <c r="A595" s="3193"/>
      <c r="B595" s="3619">
        <v>0.08</v>
      </c>
      <c r="C595" s="693" t="s">
        <v>202</v>
      </c>
      <c r="D595" s="693"/>
      <c r="E595" s="693"/>
      <c r="F595" s="3623">
        <f>F593*B595</f>
        <v>0.56000000000000005</v>
      </c>
      <c r="G595" s="3621">
        <v>0</v>
      </c>
      <c r="H595" s="3622">
        <f t="shared" si="3"/>
        <v>0.56000000000000005</v>
      </c>
      <c r="I595" s="490"/>
      <c r="J595" s="3264"/>
      <c r="K595" s="3264"/>
      <c r="L595" s="3264"/>
      <c r="M595" s="3264"/>
      <c r="N595" s="3264"/>
      <c r="O595" s="3193"/>
      <c r="P595" s="3193"/>
      <c r="Q595" s="3193"/>
    </row>
    <row r="596" spans="1:17" ht="15.75">
      <c r="A596" s="3193"/>
      <c r="B596" s="3619">
        <v>0.2</v>
      </c>
      <c r="C596" s="693" t="s">
        <v>201</v>
      </c>
      <c r="D596" s="693"/>
      <c r="E596" s="693"/>
      <c r="F596" s="3623">
        <f>F593*B596</f>
        <v>1.4000000000000001</v>
      </c>
      <c r="G596" s="3621">
        <v>0</v>
      </c>
      <c r="H596" s="3622">
        <f t="shared" si="3"/>
        <v>1.4000000000000001</v>
      </c>
      <c r="I596" s="490"/>
      <c r="J596" s="3264"/>
      <c r="K596" s="3264"/>
      <c r="L596" s="3264"/>
      <c r="M596" s="3264"/>
      <c r="N596" s="3264"/>
      <c r="O596" s="3193"/>
      <c r="P596" s="3193"/>
      <c r="Q596" s="3193"/>
    </row>
    <row r="597" spans="1:17" ht="15.75">
      <c r="A597" s="3193"/>
      <c r="B597" s="3619">
        <v>0.55000000000000004</v>
      </c>
      <c r="C597" s="693" t="s">
        <v>200</v>
      </c>
      <c r="D597" s="693"/>
      <c r="E597" s="693"/>
      <c r="F597" s="3623">
        <f>F593*B597</f>
        <v>3.8500000000000005</v>
      </c>
      <c r="G597" s="3621">
        <v>0</v>
      </c>
      <c r="H597" s="3622">
        <f t="shared" si="3"/>
        <v>3.8500000000000005</v>
      </c>
      <c r="I597" s="490"/>
      <c r="J597" s="3264"/>
      <c r="K597" s="3264"/>
      <c r="L597" s="3264"/>
      <c r="M597" s="3264"/>
      <c r="N597" s="3264"/>
      <c r="O597" s="3193"/>
      <c r="P597" s="3193"/>
      <c r="Q597" s="3193"/>
    </row>
    <row r="598" spans="1:17" ht="15.75">
      <c r="A598" s="3193"/>
      <c r="B598" s="3619">
        <v>0.02</v>
      </c>
      <c r="C598" s="693" t="s">
        <v>199</v>
      </c>
      <c r="D598" s="693"/>
      <c r="E598" s="693"/>
      <c r="F598" s="3623">
        <f>F593*B598</f>
        <v>0.14000000000000001</v>
      </c>
      <c r="G598" s="3621">
        <v>50</v>
      </c>
      <c r="H598" s="3622">
        <f t="shared" si="3"/>
        <v>0.28000000000000003</v>
      </c>
      <c r="I598" s="490"/>
      <c r="J598" s="3264"/>
      <c r="K598" s="3264"/>
      <c r="L598" s="3264"/>
      <c r="M598" s="3264"/>
      <c r="N598" s="3264"/>
      <c r="O598" s="3193"/>
      <c r="P598" s="3193"/>
      <c r="Q598" s="3193"/>
    </row>
    <row r="599" spans="1:17" ht="16.5" thickBot="1">
      <c r="A599" s="3193"/>
      <c r="B599" s="3624"/>
      <c r="C599" s="3625"/>
      <c r="D599" s="3625"/>
      <c r="E599" s="3625"/>
      <c r="F599" s="3626">
        <f>F593*B599</f>
        <v>0</v>
      </c>
      <c r="G599" s="3627">
        <v>0</v>
      </c>
      <c r="H599" s="3628">
        <f t="shared" si="3"/>
        <v>0</v>
      </c>
      <c r="I599" s="490"/>
      <c r="J599" s="3264"/>
      <c r="K599" s="3264"/>
      <c r="L599" s="3264"/>
      <c r="M599" s="3264"/>
      <c r="N599" s="3264"/>
      <c r="O599" s="3193"/>
      <c r="P599" s="3193"/>
      <c r="Q599" s="3193"/>
    </row>
    <row r="600" spans="1:17" ht="15.75">
      <c r="A600" s="3193"/>
      <c r="B600" s="3602"/>
      <c r="C600" s="3193"/>
      <c r="D600" s="3193"/>
      <c r="E600" s="3193"/>
      <c r="F600" s="572"/>
      <c r="G600" s="572"/>
      <c r="H600" s="3"/>
      <c r="I600" s="490"/>
      <c r="J600" s="3264"/>
      <c r="K600" s="3264"/>
      <c r="L600" s="3264"/>
      <c r="M600" s="3264"/>
      <c r="N600" s="3264"/>
      <c r="O600" s="3193"/>
      <c r="P600" s="3193"/>
      <c r="Q600" s="3193"/>
    </row>
    <row r="601" spans="1:17">
      <c r="A601" s="3228"/>
      <c r="B601" s="5"/>
      <c r="C601" s="6"/>
      <c r="D601" s="6"/>
      <c r="E601" s="6"/>
      <c r="F601" s="6"/>
      <c r="G601" s="6"/>
      <c r="H601" s="6"/>
      <c r="I601" s="6"/>
      <c r="J601" s="5"/>
      <c r="K601" s="5"/>
      <c r="L601" s="5"/>
      <c r="M601" s="3228"/>
      <c r="N601" s="3228"/>
      <c r="O601" s="3228"/>
      <c r="P601" s="3228"/>
      <c r="Q601" s="3228"/>
    </row>
    <row r="602" spans="1:17" ht="15.75">
      <c r="A602" s="3193"/>
      <c r="B602" s="3602"/>
      <c r="C602" s="3193"/>
      <c r="D602" s="3193"/>
      <c r="E602" s="3193"/>
      <c r="F602" s="572"/>
      <c r="G602" s="572"/>
      <c r="H602" s="3"/>
      <c r="I602" s="490"/>
      <c r="J602" s="3264"/>
      <c r="K602" s="3264"/>
      <c r="L602" s="3264"/>
      <c r="M602" s="3264"/>
      <c r="N602" s="3264"/>
      <c r="O602" s="3193"/>
      <c r="P602" s="3193"/>
      <c r="Q602" s="3193"/>
    </row>
    <row r="603" spans="1:17" ht="15.75">
      <c r="A603" s="3193"/>
      <c r="B603" s="3602" t="s">
        <v>198</v>
      </c>
      <c r="C603" s="3193"/>
      <c r="D603" s="3193"/>
      <c r="E603" s="3193"/>
      <c r="F603" s="572"/>
      <c r="G603" s="572"/>
      <c r="H603" s="3"/>
      <c r="I603" s="490"/>
      <c r="J603" s="3264"/>
      <c r="K603" s="3264"/>
      <c r="L603" s="139"/>
      <c r="M603" s="3629"/>
      <c r="N603" s="3630"/>
      <c r="O603" s="3193"/>
      <c r="P603" s="3193"/>
      <c r="Q603" s="3193"/>
    </row>
    <row r="604" spans="1:17" ht="15.75">
      <c r="A604" s="3193"/>
      <c r="B604" s="6950" t="s">
        <v>197</v>
      </c>
      <c r="C604" s="6950"/>
      <c r="D604" s="6950"/>
      <c r="E604" s="6950"/>
      <c r="F604" s="6950"/>
      <c r="G604" s="6950"/>
      <c r="H604" s="3"/>
      <c r="I604" s="490"/>
      <c r="J604" s="3264" t="s">
        <v>196</v>
      </c>
      <c r="K604" s="3264"/>
      <c r="L604" s="139"/>
      <c r="M604" s="490"/>
      <c r="N604" s="490"/>
      <c r="O604" s="3193"/>
      <c r="P604" s="3193"/>
      <c r="Q604" s="3193"/>
    </row>
    <row r="605" spans="1:17" ht="15.75">
      <c r="A605" s="3193"/>
      <c r="B605" s="3264"/>
      <c r="C605" s="3193"/>
      <c r="D605" s="3193"/>
      <c r="E605" s="3193"/>
      <c r="F605" s="572"/>
      <c r="G605" s="572"/>
      <c r="H605" s="3"/>
      <c r="I605" s="490"/>
      <c r="J605" s="141" t="s">
        <v>195</v>
      </c>
      <c r="K605" s="3264"/>
      <c r="L605" s="139"/>
      <c r="M605" s="490"/>
      <c r="N605" s="490"/>
      <c r="O605" s="3193"/>
      <c r="P605" s="3193"/>
      <c r="Q605" s="3193"/>
    </row>
    <row r="606" spans="1:17" ht="15.75">
      <c r="A606" s="3193"/>
      <c r="B606" s="3264" t="s">
        <v>194</v>
      </c>
      <c r="C606" s="3193"/>
      <c r="D606" s="3193"/>
      <c r="E606" s="3193"/>
      <c r="F606" s="572"/>
      <c r="G606" s="572"/>
      <c r="H606" s="3"/>
      <c r="I606" s="490"/>
      <c r="J606" s="3264"/>
      <c r="K606" s="3264"/>
      <c r="L606" s="139"/>
      <c r="M606" s="490"/>
      <c r="N606" s="490"/>
      <c r="O606" s="3193"/>
      <c r="P606" s="3193"/>
      <c r="Q606" s="3193"/>
    </row>
    <row r="607" spans="1:17" ht="15.75">
      <c r="A607" s="3193"/>
      <c r="B607" s="3264" t="s">
        <v>193</v>
      </c>
      <c r="C607" s="3193"/>
      <c r="D607" s="3193"/>
      <c r="E607" s="3193"/>
      <c r="F607" s="572"/>
      <c r="G607" s="572"/>
      <c r="H607" s="3"/>
      <c r="I607" s="490"/>
      <c r="J607" s="3264" t="s">
        <v>192</v>
      </c>
      <c r="K607" s="3264"/>
      <c r="L607" s="139"/>
      <c r="M607" s="490"/>
      <c r="N607" s="490"/>
      <c r="O607" s="3193"/>
      <c r="P607" s="3193"/>
      <c r="Q607" s="3193"/>
    </row>
    <row r="608" spans="1:17" ht="15.75">
      <c r="A608" s="3193"/>
      <c r="B608" s="3264" t="s">
        <v>191</v>
      </c>
      <c r="C608" s="3193"/>
      <c r="D608" s="3193"/>
      <c r="E608" s="3193"/>
      <c r="F608" s="572"/>
      <c r="G608" s="572"/>
      <c r="H608" s="3"/>
      <c r="I608" s="490"/>
      <c r="J608" s="3264" t="s">
        <v>190</v>
      </c>
      <c r="K608" s="3264"/>
      <c r="L608" s="139"/>
      <c r="M608" s="490"/>
      <c r="N608" s="490"/>
      <c r="O608" s="3193"/>
      <c r="P608" s="3193"/>
      <c r="Q608" s="3193"/>
    </row>
    <row r="609" spans="1:17" ht="15.75">
      <c r="A609" s="3193"/>
      <c r="B609" s="3264" t="s">
        <v>189</v>
      </c>
      <c r="C609" s="3193"/>
      <c r="D609" s="3193"/>
      <c r="E609" s="3193"/>
      <c r="F609" s="572"/>
      <c r="G609" s="572"/>
      <c r="H609" s="3"/>
      <c r="I609" s="490"/>
      <c r="J609" s="3264" t="s">
        <v>188</v>
      </c>
      <c r="K609" s="3264"/>
      <c r="L609" s="139"/>
      <c r="M609" s="490"/>
      <c r="N609" s="490"/>
      <c r="O609" s="3193"/>
      <c r="P609" s="3193"/>
      <c r="Q609" s="3"/>
    </row>
    <row r="610" spans="1:17" ht="15.75">
      <c r="A610" s="3193"/>
      <c r="B610" s="6950" t="s">
        <v>187</v>
      </c>
      <c r="C610" s="6950"/>
      <c r="D610" s="6950"/>
      <c r="E610" s="6950"/>
      <c r="F610" s="572"/>
      <c r="G610" s="572"/>
      <c r="H610" s="3"/>
      <c r="I610" s="490"/>
      <c r="J610" s="3264" t="s">
        <v>186</v>
      </c>
      <c r="K610" s="3264"/>
      <c r="L610" s="139"/>
      <c r="M610" s="490"/>
      <c r="N610" s="490"/>
      <c r="O610" s="3193"/>
      <c r="P610" s="3193"/>
      <c r="Q610" s="3"/>
    </row>
    <row r="611" spans="1:17" ht="15.75">
      <c r="A611" s="3193"/>
      <c r="B611" s="3264"/>
      <c r="C611" s="3193"/>
      <c r="D611" s="3193"/>
      <c r="E611" s="3193"/>
      <c r="F611" s="572"/>
      <c r="G611" s="572"/>
      <c r="H611" s="3"/>
      <c r="I611" s="490"/>
      <c r="J611" s="141" t="s">
        <v>185</v>
      </c>
      <c r="K611" s="3264"/>
      <c r="L611" s="139"/>
      <c r="M611" s="490"/>
      <c r="N611" s="490"/>
      <c r="O611" s="3193"/>
      <c r="P611" s="3193"/>
      <c r="Q611" s="3"/>
    </row>
    <row r="612" spans="1:17" ht="15.75">
      <c r="A612" s="3193"/>
      <c r="B612" s="3572" t="s">
        <v>184</v>
      </c>
      <c r="C612" s="3193"/>
      <c r="D612" s="3193"/>
      <c r="E612" s="3193"/>
      <c r="F612" s="572"/>
      <c r="G612" s="572"/>
      <c r="H612" s="3"/>
      <c r="I612" s="490"/>
      <c r="J612" s="141" t="s">
        <v>183</v>
      </c>
      <c r="K612" s="3264"/>
      <c r="L612" s="139"/>
      <c r="M612" s="490"/>
      <c r="N612" s="490"/>
      <c r="O612" s="3193"/>
      <c r="P612" s="3193"/>
      <c r="Q612" s="3"/>
    </row>
    <row r="613" spans="1:17" ht="15.75">
      <c r="A613" s="3193"/>
      <c r="B613" s="6950" t="s">
        <v>182</v>
      </c>
      <c r="C613" s="6950"/>
      <c r="D613" s="6950"/>
      <c r="E613" s="6950"/>
      <c r="F613" s="6950"/>
      <c r="G613" s="572"/>
      <c r="H613" s="3"/>
      <c r="I613" s="490"/>
      <c r="J613" s="3264"/>
      <c r="K613" s="3264"/>
      <c r="L613" s="139"/>
      <c r="M613" s="490"/>
      <c r="N613" s="490"/>
      <c r="O613" s="3193"/>
      <c r="P613" s="3193"/>
      <c r="Q613" s="3"/>
    </row>
    <row r="614" spans="1:17" ht="15.75">
      <c r="A614" s="3193"/>
      <c r="B614" s="3264"/>
      <c r="C614" s="3193"/>
      <c r="D614" s="3193"/>
      <c r="E614" s="3193"/>
      <c r="F614" s="572"/>
      <c r="G614" s="572"/>
      <c r="H614" s="3"/>
      <c r="I614" s="490"/>
      <c r="J614" s="3572" t="s">
        <v>181</v>
      </c>
      <c r="K614" s="3264"/>
      <c r="L614" s="139"/>
      <c r="M614" s="490"/>
      <c r="N614" s="490"/>
      <c r="O614" s="3193"/>
      <c r="P614" s="3193"/>
      <c r="Q614" s="3"/>
    </row>
    <row r="615" spans="1:17" ht="15.75">
      <c r="A615" s="3193"/>
      <c r="B615" s="3264"/>
      <c r="C615" s="3193"/>
      <c r="D615" s="3193"/>
      <c r="E615" s="3193"/>
      <c r="F615" s="572"/>
      <c r="G615" s="572"/>
      <c r="H615" s="3"/>
      <c r="I615" s="490"/>
      <c r="J615" s="141" t="s">
        <v>180</v>
      </c>
      <c r="K615" s="3264"/>
      <c r="L615" s="139"/>
      <c r="M615" s="490"/>
      <c r="N615" s="490"/>
      <c r="O615" s="3193"/>
      <c r="P615" s="3193"/>
      <c r="Q615" s="3"/>
    </row>
    <row r="616" spans="1:17" ht="15.75">
      <c r="A616" s="3193"/>
      <c r="B616" s="3572" t="s">
        <v>179</v>
      </c>
      <c r="C616" s="3193"/>
      <c r="D616" s="3193"/>
      <c r="E616" s="3193"/>
      <c r="F616" s="572"/>
      <c r="G616" s="572"/>
      <c r="H616" s="3"/>
      <c r="I616" s="490"/>
      <c r="J616" s="3264"/>
      <c r="K616" s="3264"/>
      <c r="L616" s="139"/>
      <c r="M616" s="490"/>
      <c r="N616" s="490"/>
      <c r="O616" s="3193"/>
      <c r="P616" s="3193"/>
      <c r="Q616" s="3"/>
    </row>
    <row r="617" spans="1:17" ht="15.75">
      <c r="A617" s="3193"/>
      <c r="B617" s="6950" t="s">
        <v>178</v>
      </c>
      <c r="C617" s="6950"/>
      <c r="D617" s="6950"/>
      <c r="E617" s="6950"/>
      <c r="F617" s="6950"/>
      <c r="G617" s="6950"/>
      <c r="H617" s="3"/>
      <c r="I617" s="490"/>
      <c r="J617" s="3264" t="s">
        <v>177</v>
      </c>
      <c r="K617" s="3264"/>
      <c r="L617" s="139"/>
      <c r="M617" s="490"/>
      <c r="N617" s="490"/>
      <c r="O617" s="3193"/>
      <c r="P617" s="3193"/>
      <c r="Q617" s="3"/>
    </row>
    <row r="618" spans="1:17" ht="15.75">
      <c r="A618" s="3193"/>
      <c r="B618" s="6950" t="s">
        <v>176</v>
      </c>
      <c r="C618" s="6950"/>
      <c r="D618" s="6950"/>
      <c r="E618" s="6950"/>
      <c r="F618" s="6950"/>
      <c r="G618" s="6950"/>
      <c r="H618" s="3"/>
      <c r="I618" s="490"/>
      <c r="J618" s="141" t="s">
        <v>175</v>
      </c>
      <c r="K618" s="3264"/>
      <c r="L618" s="139"/>
      <c r="M618" s="490"/>
      <c r="N618" s="490"/>
      <c r="O618" s="3193"/>
      <c r="P618" s="3193"/>
      <c r="Q618" s="3"/>
    </row>
    <row r="619" spans="1:17" ht="15.75">
      <c r="A619" s="3193"/>
      <c r="B619" s="3264"/>
      <c r="C619" s="3193"/>
      <c r="D619" s="3193"/>
      <c r="E619" s="3193"/>
      <c r="F619" s="572"/>
      <c r="G619" s="572"/>
      <c r="H619" s="3"/>
      <c r="I619" s="490"/>
      <c r="J619" s="3264"/>
      <c r="K619" s="3264"/>
      <c r="L619" s="139"/>
      <c r="M619" s="490"/>
      <c r="N619" s="490"/>
      <c r="O619" s="3193"/>
      <c r="P619" s="3193"/>
      <c r="Q619" s="3"/>
    </row>
    <row r="620" spans="1:17" ht="15.75">
      <c r="A620" s="3193"/>
      <c r="B620" s="3572" t="s">
        <v>174</v>
      </c>
      <c r="C620" s="3193"/>
      <c r="D620" s="3193"/>
      <c r="E620" s="3193"/>
      <c r="F620" s="572"/>
      <c r="G620" s="572"/>
      <c r="H620" s="3"/>
      <c r="I620" s="490"/>
      <c r="J620" s="3264" t="s">
        <v>173</v>
      </c>
      <c r="K620" s="3264"/>
      <c r="L620" s="139"/>
      <c r="M620" s="490"/>
      <c r="N620" s="490"/>
      <c r="O620" s="3193"/>
      <c r="P620" s="3193"/>
      <c r="Q620" s="3"/>
    </row>
    <row r="621" spans="1:17" ht="15.75">
      <c r="A621" s="3193"/>
      <c r="B621" s="3264" t="s">
        <v>172</v>
      </c>
      <c r="C621" s="3193"/>
      <c r="D621" s="3193"/>
      <c r="E621" s="3193"/>
      <c r="F621" s="572"/>
      <c r="G621" s="572"/>
      <c r="H621" s="3"/>
      <c r="I621" s="490"/>
      <c r="J621" s="141" t="s">
        <v>171</v>
      </c>
      <c r="K621" s="3264"/>
      <c r="L621" s="139"/>
      <c r="M621" s="490"/>
      <c r="N621" s="490"/>
      <c r="O621" s="3193"/>
      <c r="P621" s="3193"/>
      <c r="Q621" s="3"/>
    </row>
    <row r="622" spans="1:17" ht="15.75">
      <c r="A622" s="3193"/>
      <c r="B622" s="3264" t="s">
        <v>170</v>
      </c>
      <c r="C622" s="3193"/>
      <c r="D622" s="3193"/>
      <c r="E622" s="3193"/>
      <c r="F622" s="572"/>
      <c r="G622" s="572"/>
      <c r="H622" s="3"/>
      <c r="I622" s="490"/>
      <c r="J622" s="3264"/>
      <c r="K622" s="3264"/>
      <c r="L622" s="139"/>
      <c r="M622" s="490"/>
      <c r="N622" s="490"/>
      <c r="O622" s="3193"/>
      <c r="P622" s="3193"/>
      <c r="Q622" s="3"/>
    </row>
    <row r="623" spans="1:17" ht="15.75">
      <c r="A623" s="3193"/>
      <c r="B623" s="3264" t="s">
        <v>169</v>
      </c>
      <c r="C623" s="3193"/>
      <c r="D623" s="3193"/>
      <c r="E623" s="3193"/>
      <c r="F623" s="572"/>
      <c r="G623" s="572"/>
      <c r="H623" s="3"/>
      <c r="I623" s="490"/>
      <c r="J623" s="3573" t="s">
        <v>168</v>
      </c>
      <c r="K623" s="3264"/>
      <c r="L623" s="139"/>
      <c r="M623" s="490"/>
      <c r="N623" s="490"/>
      <c r="O623" s="3193"/>
      <c r="P623" s="3193"/>
      <c r="Q623" s="3"/>
    </row>
    <row r="624" spans="1:17" ht="15.75">
      <c r="A624" s="3193"/>
      <c r="B624" s="6950" t="s">
        <v>167</v>
      </c>
      <c r="C624" s="6950"/>
      <c r="D624" s="6950"/>
      <c r="E624" s="6950"/>
      <c r="F624" s="6950"/>
      <c r="G624" s="572"/>
      <c r="H624" s="3"/>
      <c r="I624" s="490"/>
      <c r="J624" s="141" t="s">
        <v>166</v>
      </c>
      <c r="K624" s="3264"/>
      <c r="L624" s="139"/>
      <c r="M624" s="490"/>
      <c r="N624" s="490"/>
      <c r="O624" s="3193"/>
      <c r="P624" s="3193"/>
      <c r="Q624" s="3"/>
    </row>
    <row r="625" spans="1:17" ht="15.75">
      <c r="A625" s="3193"/>
      <c r="B625" s="3264"/>
      <c r="C625" s="3193"/>
      <c r="D625" s="3193"/>
      <c r="E625" s="3193"/>
      <c r="F625" s="572"/>
      <c r="G625" s="572"/>
      <c r="H625" s="3"/>
      <c r="I625" s="490"/>
      <c r="J625" s="141" t="s">
        <v>165</v>
      </c>
      <c r="K625" s="3264"/>
      <c r="L625" s="139"/>
      <c r="M625" s="490"/>
      <c r="N625" s="490"/>
      <c r="O625" s="3193"/>
      <c r="P625" s="3193"/>
      <c r="Q625" s="3"/>
    </row>
    <row r="626" spans="1:17" ht="15.75">
      <c r="A626" s="3193"/>
      <c r="B626" s="3264"/>
      <c r="C626" s="3193"/>
      <c r="D626" s="3193"/>
      <c r="E626" s="3193"/>
      <c r="F626" s="572"/>
      <c r="G626" s="572"/>
      <c r="H626" s="3"/>
      <c r="I626" s="490"/>
      <c r="J626" s="141" t="s">
        <v>164</v>
      </c>
      <c r="K626" s="3264"/>
      <c r="L626" s="139"/>
      <c r="M626" s="490"/>
      <c r="N626" s="490"/>
      <c r="O626" s="3193"/>
      <c r="P626" s="3193"/>
      <c r="Q626" s="3"/>
    </row>
    <row r="627" spans="1:17" ht="15.75">
      <c r="A627" s="3193"/>
      <c r="B627" s="3264" t="s">
        <v>163</v>
      </c>
      <c r="C627" s="3193"/>
      <c r="D627" s="3193"/>
      <c r="E627" s="3193"/>
      <c r="F627" s="572"/>
      <c r="G627" s="572"/>
      <c r="H627" s="3"/>
      <c r="I627" s="490"/>
      <c r="J627" s="3264"/>
      <c r="K627" s="3264"/>
      <c r="L627" s="139"/>
      <c r="M627" s="490"/>
      <c r="N627" s="490"/>
      <c r="O627" s="3193"/>
      <c r="P627" s="3193"/>
      <c r="Q627" s="3"/>
    </row>
    <row r="628" spans="1:17" ht="15.75">
      <c r="A628" s="3193"/>
      <c r="B628" s="6950" t="s">
        <v>162</v>
      </c>
      <c r="C628" s="6950"/>
      <c r="D628" s="6950"/>
      <c r="E628" s="6950"/>
      <c r="F628" s="572"/>
      <c r="G628" s="572"/>
      <c r="H628" s="3"/>
      <c r="I628" s="490"/>
      <c r="J628" s="3572" t="s">
        <v>161</v>
      </c>
      <c r="K628" s="3264"/>
      <c r="L628" s="139"/>
      <c r="M628" s="490"/>
      <c r="N628" s="490"/>
      <c r="O628" s="3193"/>
      <c r="P628" s="3193"/>
      <c r="Q628" s="3"/>
    </row>
    <row r="629" spans="1:17" ht="15.75">
      <c r="A629" s="3193"/>
      <c r="B629" s="3264"/>
      <c r="C629" s="3193"/>
      <c r="D629" s="3193"/>
      <c r="E629" s="3193"/>
      <c r="F629" s="572"/>
      <c r="G629" s="572"/>
      <c r="H629" s="3"/>
      <c r="I629" s="490"/>
      <c r="J629" s="141" t="s">
        <v>160</v>
      </c>
      <c r="K629" s="3264"/>
      <c r="L629" s="139"/>
      <c r="M629" s="490"/>
      <c r="N629" s="490"/>
      <c r="O629" s="3193"/>
      <c r="P629" s="3193"/>
      <c r="Q629" s="3"/>
    </row>
    <row r="630" spans="1:17" ht="15.75">
      <c r="A630" s="3193"/>
      <c r="B630" s="3264"/>
      <c r="C630" s="3193"/>
      <c r="D630" s="3193"/>
      <c r="E630" s="3193"/>
      <c r="F630" s="572"/>
      <c r="G630" s="572"/>
      <c r="H630" s="3"/>
      <c r="I630" s="490"/>
      <c r="J630" s="141"/>
      <c r="K630" s="3264"/>
      <c r="L630" s="139"/>
      <c r="M630" s="490"/>
      <c r="N630" s="490"/>
      <c r="O630" s="3193"/>
      <c r="P630" s="3193"/>
      <c r="Q630" s="3"/>
    </row>
    <row r="631" spans="1:17">
      <c r="A631" s="3228"/>
      <c r="B631" s="5"/>
      <c r="C631" s="6"/>
      <c r="D631" s="6"/>
      <c r="E631" s="6"/>
      <c r="F631" s="6"/>
      <c r="G631" s="6"/>
      <c r="H631" s="6"/>
      <c r="I631" s="6"/>
      <c r="J631" s="5"/>
      <c r="K631" s="5"/>
      <c r="L631" s="5"/>
      <c r="M631" s="3228"/>
      <c r="N631" s="3228"/>
      <c r="O631" s="3228"/>
      <c r="P631" s="3228"/>
      <c r="Q631" s="3228"/>
    </row>
    <row r="632" spans="1:17">
      <c r="A632" s="3193"/>
      <c r="B632" s="3"/>
      <c r="C632" s="3"/>
      <c r="D632" s="3"/>
      <c r="E632" s="3"/>
      <c r="F632" s="3"/>
      <c r="G632" s="3"/>
      <c r="H632" s="3"/>
      <c r="I632" s="3"/>
      <c r="J632" s="3"/>
      <c r="K632" s="3"/>
      <c r="L632" s="3"/>
      <c r="M632" s="3"/>
      <c r="N632" s="3"/>
      <c r="O632" s="3"/>
      <c r="P632" s="3"/>
      <c r="Q632" s="3"/>
    </row>
    <row r="633" spans="1:17">
      <c r="A633" s="3193"/>
      <c r="B633" s="3"/>
      <c r="C633" s="3"/>
      <c r="D633" s="3"/>
      <c r="E633" s="3"/>
      <c r="F633" s="3"/>
      <c r="G633" s="3"/>
      <c r="H633" s="3"/>
      <c r="I633" s="3"/>
      <c r="J633" s="3"/>
      <c r="K633" s="3"/>
      <c r="L633" s="3"/>
      <c r="M633" s="3"/>
      <c r="N633" s="3"/>
      <c r="O633" s="3"/>
      <c r="P633" s="3"/>
      <c r="Q633" s="3"/>
    </row>
    <row r="634" spans="1:17" ht="15.75">
      <c r="A634" s="3193"/>
      <c r="B634" s="3"/>
      <c r="C634" s="3"/>
      <c r="D634" s="3"/>
      <c r="E634" s="3"/>
      <c r="F634" s="3"/>
      <c r="G634" s="3631" t="str">
        <f>SUBSTITUTE(ADDRESS(1,COLUMN(),4),"1","")</f>
        <v>G</v>
      </c>
      <c r="H634" s="3" t="s">
        <v>159</v>
      </c>
      <c r="I634" s="3"/>
      <c r="J634" s="3"/>
      <c r="K634" s="3"/>
      <c r="L634" s="3"/>
      <c r="M634" s="3"/>
      <c r="N634" s="3"/>
      <c r="O634" s="3"/>
      <c r="P634" s="3"/>
      <c r="Q634" s="3"/>
    </row>
    <row r="635" spans="1:17" ht="15.75">
      <c r="A635" s="3193"/>
      <c r="B635" s="3"/>
      <c r="C635" s="6971" t="s">
        <v>158</v>
      </c>
      <c r="D635" s="6972"/>
      <c r="E635" s="6972"/>
      <c r="F635" s="6972"/>
      <c r="G635" s="6972"/>
      <c r="H635" s="6972"/>
      <c r="I635" s="6972"/>
      <c r="J635" s="6972"/>
      <c r="K635" s="6972"/>
      <c r="L635" s="6973"/>
      <c r="M635" s="3193"/>
      <c r="N635" s="3193"/>
      <c r="O635" s="3193"/>
      <c r="P635" s="3193"/>
      <c r="Q635" s="3193"/>
    </row>
    <row r="636" spans="1:17">
      <c r="A636" s="3193"/>
      <c r="B636" s="3"/>
      <c r="C636" s="6961" t="s">
        <v>157</v>
      </c>
      <c r="D636" s="6962"/>
      <c r="E636" s="6962"/>
      <c r="F636" s="3632">
        <v>1</v>
      </c>
      <c r="G636" s="3633">
        <f>F636</f>
        <v>1</v>
      </c>
      <c r="H636" s="6963" t="s">
        <v>156</v>
      </c>
      <c r="I636" s="6963"/>
      <c r="J636" s="3634" t="s">
        <v>155</v>
      </c>
      <c r="K636" s="6964" t="s">
        <v>154</v>
      </c>
      <c r="L636" s="6965"/>
      <c r="M636" s="3193"/>
      <c r="N636" s="3193"/>
      <c r="O636" s="3193"/>
      <c r="P636" s="3193"/>
      <c r="Q636" s="3193"/>
    </row>
    <row r="637" spans="1:17">
      <c r="A637" s="3193"/>
      <c r="B637" s="3"/>
      <c r="C637" s="6966" t="s">
        <v>153</v>
      </c>
      <c r="D637" s="6967"/>
      <c r="E637" s="6967"/>
      <c r="F637" s="3635">
        <v>25</v>
      </c>
      <c r="G637" s="3633">
        <f>G636</f>
        <v>1</v>
      </c>
      <c r="H637" s="6968">
        <f t="shared" ref="H637:H643" si="4">(G637*F637)/100</f>
        <v>0.25</v>
      </c>
      <c r="I637" s="6968"/>
      <c r="J637" s="3636">
        <v>20</v>
      </c>
      <c r="K637" s="6969">
        <f t="shared" ref="K637:K643" si="5">H637/(100-J637)*100</f>
        <v>0.3125</v>
      </c>
      <c r="L637" s="6970"/>
      <c r="M637" s="3193"/>
      <c r="N637" s="3193"/>
      <c r="O637" s="3193"/>
      <c r="P637" s="3193"/>
      <c r="Q637" s="3193"/>
    </row>
    <row r="638" spans="1:17">
      <c r="A638" s="3193"/>
      <c r="B638" s="3"/>
      <c r="C638" s="6966" t="s">
        <v>152</v>
      </c>
      <c r="D638" s="6967"/>
      <c r="E638" s="6967"/>
      <c r="F638" s="3635">
        <v>20</v>
      </c>
      <c r="G638" s="3633">
        <f>G636</f>
        <v>1</v>
      </c>
      <c r="H638" s="6968">
        <f t="shared" si="4"/>
        <v>0.2</v>
      </c>
      <c r="I638" s="6968"/>
      <c r="J638" s="3636">
        <v>25</v>
      </c>
      <c r="K638" s="6969">
        <f t="shared" si="5"/>
        <v>0.26666666666666672</v>
      </c>
      <c r="L638" s="6970"/>
      <c r="M638" s="3193"/>
      <c r="N638" s="3193"/>
      <c r="O638" s="3193"/>
      <c r="P638" s="3193"/>
      <c r="Q638" s="3193"/>
    </row>
    <row r="639" spans="1:17">
      <c r="A639" s="3193"/>
      <c r="B639" s="3"/>
      <c r="C639" s="6966" t="s">
        <v>151</v>
      </c>
      <c r="D639" s="6967"/>
      <c r="E639" s="6967"/>
      <c r="F639" s="3635">
        <v>15</v>
      </c>
      <c r="G639" s="3633">
        <f>G636</f>
        <v>1</v>
      </c>
      <c r="H639" s="6968">
        <f t="shared" si="4"/>
        <v>0.15</v>
      </c>
      <c r="I639" s="6968"/>
      <c r="J639" s="3636">
        <v>20</v>
      </c>
      <c r="K639" s="6969">
        <f t="shared" si="5"/>
        <v>0.1875</v>
      </c>
      <c r="L639" s="6970"/>
      <c r="M639" s="3193"/>
      <c r="N639" s="3193"/>
      <c r="O639" s="3193"/>
      <c r="P639" s="3193"/>
      <c r="Q639" s="3193"/>
    </row>
    <row r="640" spans="1:17">
      <c r="A640" s="3193"/>
      <c r="B640" s="3"/>
      <c r="C640" s="6966" t="s">
        <v>150</v>
      </c>
      <c r="D640" s="6967"/>
      <c r="E640" s="6967"/>
      <c r="F640" s="3635">
        <v>15</v>
      </c>
      <c r="G640" s="3633">
        <f>G636</f>
        <v>1</v>
      </c>
      <c r="H640" s="6968">
        <f t="shared" si="4"/>
        <v>0.15</v>
      </c>
      <c r="I640" s="6968"/>
      <c r="J640" s="3636">
        <v>0</v>
      </c>
      <c r="K640" s="6969">
        <f t="shared" si="5"/>
        <v>0.15</v>
      </c>
      <c r="L640" s="6970"/>
      <c r="M640" s="3193"/>
      <c r="N640" s="3193"/>
      <c r="O640" s="3193"/>
      <c r="P640" s="3193"/>
      <c r="Q640" s="3193"/>
    </row>
    <row r="641" spans="1:17">
      <c r="A641" s="3193"/>
      <c r="B641" s="3"/>
      <c r="C641" s="6966" t="s">
        <v>149</v>
      </c>
      <c r="D641" s="6967"/>
      <c r="E641" s="6967"/>
      <c r="F641" s="3635">
        <v>10</v>
      </c>
      <c r="G641" s="3633">
        <f>G636</f>
        <v>1</v>
      </c>
      <c r="H641" s="6968">
        <f t="shared" si="4"/>
        <v>0.1</v>
      </c>
      <c r="I641" s="6968"/>
      <c r="J641" s="3636">
        <v>20</v>
      </c>
      <c r="K641" s="6969">
        <f t="shared" si="5"/>
        <v>0.125</v>
      </c>
      <c r="L641" s="6970"/>
      <c r="M641" s="3193"/>
      <c r="N641" s="3193"/>
      <c r="O641" s="3193"/>
      <c r="P641" s="3193"/>
      <c r="Q641" s="3193"/>
    </row>
    <row r="642" spans="1:17">
      <c r="A642" s="3193"/>
      <c r="B642" s="3"/>
      <c r="C642" s="6966" t="s">
        <v>148</v>
      </c>
      <c r="D642" s="6967"/>
      <c r="E642" s="6967"/>
      <c r="F642" s="3635">
        <v>7.5</v>
      </c>
      <c r="G642" s="3633">
        <f>G636</f>
        <v>1</v>
      </c>
      <c r="H642" s="6968">
        <f t="shared" si="4"/>
        <v>7.4999999999999997E-2</v>
      </c>
      <c r="I642" s="6968"/>
      <c r="J642" s="3636">
        <v>20</v>
      </c>
      <c r="K642" s="6969">
        <f t="shared" si="5"/>
        <v>9.375E-2</v>
      </c>
      <c r="L642" s="6970"/>
      <c r="M642" s="3193"/>
      <c r="N642" s="3193"/>
      <c r="O642" s="3193"/>
      <c r="P642" s="3193"/>
      <c r="Q642" s="3193"/>
    </row>
    <row r="643" spans="1:17">
      <c r="A643" s="3193"/>
      <c r="B643" s="3"/>
      <c r="C643" s="6966" t="s">
        <v>147</v>
      </c>
      <c r="D643" s="6967"/>
      <c r="E643" s="6967"/>
      <c r="F643" s="3635">
        <v>7.5</v>
      </c>
      <c r="G643" s="3633">
        <f>G636</f>
        <v>1</v>
      </c>
      <c r="H643" s="6968">
        <f t="shared" si="4"/>
        <v>7.4999999999999997E-2</v>
      </c>
      <c r="I643" s="6968"/>
      <c r="J643" s="3636">
        <v>20</v>
      </c>
      <c r="K643" s="6969">
        <f t="shared" si="5"/>
        <v>9.375E-2</v>
      </c>
      <c r="L643" s="6970"/>
      <c r="M643" s="3193"/>
      <c r="N643" s="3193"/>
      <c r="O643" s="3193"/>
      <c r="P643" s="3193"/>
      <c r="Q643" s="3193"/>
    </row>
    <row r="644" spans="1:17">
      <c r="A644" s="3193"/>
      <c r="B644" s="3"/>
      <c r="C644" s="6974" t="s">
        <v>146</v>
      </c>
      <c r="D644" s="6975"/>
      <c r="E644" s="6975"/>
      <c r="F644" s="3637">
        <f>SUM(F637:F643)</f>
        <v>100</v>
      </c>
      <c r="G644" s="3638"/>
      <c r="H644" s="3449"/>
      <c r="I644" s="3"/>
      <c r="J644" s="3449"/>
      <c r="K644" s="3449"/>
      <c r="L644" s="137"/>
      <c r="M644" s="3193"/>
      <c r="N644" s="3193"/>
      <c r="O644" s="3193"/>
      <c r="P644" s="3193"/>
      <c r="Q644" s="3193"/>
    </row>
    <row r="645" spans="1:17">
      <c r="A645" s="3193"/>
      <c r="B645" s="3"/>
      <c r="C645" s="3639"/>
      <c r="D645" s="3491"/>
      <c r="E645" s="3491"/>
      <c r="F645" s="3640"/>
      <c r="G645" s="3641"/>
      <c r="H645" s="3641"/>
      <c r="I645" s="3642"/>
      <c r="J645" s="3641"/>
      <c r="K645" s="3641"/>
      <c r="L645" s="3643"/>
      <c r="M645" s="3193"/>
      <c r="N645" s="3193"/>
      <c r="O645" s="3193"/>
      <c r="P645" s="3193"/>
      <c r="Q645" s="3193"/>
    </row>
    <row r="646" spans="1:17">
      <c r="A646" s="3193"/>
      <c r="B646" s="3"/>
      <c r="C646" s="3"/>
      <c r="D646" s="3"/>
      <c r="E646" s="3"/>
      <c r="F646" s="3"/>
      <c r="G646" s="3"/>
      <c r="H646" s="3"/>
      <c r="I646" s="3"/>
      <c r="J646" s="3"/>
      <c r="K646" s="3"/>
      <c r="L646" s="3"/>
      <c r="M646" s="3193"/>
      <c r="N646" s="3193"/>
      <c r="O646" s="3193"/>
      <c r="P646" s="3193"/>
      <c r="Q646" s="3193"/>
    </row>
    <row r="647" spans="1:17" ht="15.75" thickBot="1">
      <c r="A647" s="3193"/>
      <c r="B647" s="3"/>
      <c r="C647" s="3"/>
      <c r="D647" s="3"/>
      <c r="E647" s="3"/>
      <c r="F647" s="3"/>
      <c r="G647" s="3"/>
      <c r="H647" s="3"/>
      <c r="I647" s="3"/>
      <c r="J647" s="3"/>
      <c r="K647" s="3"/>
      <c r="L647" s="3"/>
      <c r="M647" s="3193"/>
      <c r="N647" s="3193"/>
      <c r="O647" s="3193"/>
      <c r="P647" s="3193"/>
      <c r="Q647" s="3193"/>
    </row>
    <row r="648" spans="1:17" ht="18.75">
      <c r="A648" s="3193"/>
      <c r="B648" s="3"/>
      <c r="C648" s="6976" t="s">
        <v>145</v>
      </c>
      <c r="D648" s="6977"/>
      <c r="E648" s="6977"/>
      <c r="F648" s="6977"/>
      <c r="G648" s="6977"/>
      <c r="H648" s="6977"/>
      <c r="I648" s="6977"/>
      <c r="J648" s="6977"/>
      <c r="K648" s="6977"/>
      <c r="L648" s="6978"/>
      <c r="M648" s="3193"/>
      <c r="N648" s="3193"/>
      <c r="O648" s="3193"/>
      <c r="P648" s="3193"/>
      <c r="Q648" s="3193"/>
    </row>
    <row r="649" spans="1:17">
      <c r="A649" s="3193"/>
      <c r="B649" s="3"/>
      <c r="C649" s="4753" t="s">
        <v>144</v>
      </c>
      <c r="D649" s="4754"/>
      <c r="E649" s="4754"/>
      <c r="F649" s="4754"/>
      <c r="G649" s="4754"/>
      <c r="H649" s="4754"/>
      <c r="I649" s="4754"/>
      <c r="J649" s="4754"/>
      <c r="K649" s="4754"/>
      <c r="L649" s="4755"/>
      <c r="M649" s="3193"/>
      <c r="N649" s="3193"/>
      <c r="O649" s="3193"/>
      <c r="P649" s="3193"/>
      <c r="Q649" s="3193"/>
    </row>
    <row r="650" spans="1:17" ht="18">
      <c r="A650" s="3193"/>
      <c r="B650" s="3"/>
      <c r="C650" s="4756" t="s">
        <v>143</v>
      </c>
      <c r="D650" s="4757"/>
      <c r="E650" s="4757"/>
      <c r="F650" s="4757"/>
      <c r="G650" s="4757"/>
      <c r="H650" s="4757"/>
      <c r="I650" s="4757"/>
      <c r="J650" s="4757"/>
      <c r="K650" s="4757"/>
      <c r="L650" s="4758"/>
      <c r="M650" s="3193"/>
      <c r="N650" s="3193"/>
      <c r="O650" s="3193"/>
      <c r="P650" s="3193"/>
      <c r="Q650" s="3193"/>
    </row>
    <row r="651" spans="1:17">
      <c r="A651" s="3193"/>
      <c r="B651" s="3"/>
      <c r="C651" s="4759" t="str">
        <f ca="1">CELL("nomfichier")</f>
        <v>D:\Données\Copie_ancien_DD\0-UPRT.fait\1-UPRT.FR-SITE-WEB\ff-fiches-fabrications\ff-fiches-fabrication-maj-08-2020\[ff-22-formats-formules-pourcentages.xlsx]Epurer.un.texte</v>
      </c>
      <c r="D651" s="4760"/>
      <c r="E651" s="4760"/>
      <c r="F651" s="4760"/>
      <c r="G651" s="4760"/>
      <c r="H651" s="4760"/>
      <c r="I651" s="4760"/>
      <c r="J651" s="4760"/>
      <c r="K651" s="4760"/>
      <c r="L651" s="4761"/>
      <c r="M651" s="3193"/>
      <c r="N651" s="3193"/>
      <c r="O651" s="3193"/>
      <c r="P651" s="3193"/>
      <c r="Q651" s="3193"/>
    </row>
    <row r="652" spans="1:17" ht="26.25">
      <c r="A652" s="3193"/>
      <c r="B652" s="3"/>
      <c r="C652" s="4762" t="s">
        <v>142</v>
      </c>
      <c r="D652" s="4763"/>
      <c r="E652" s="4763"/>
      <c r="F652" s="4763"/>
      <c r="G652" s="4763"/>
      <c r="H652" s="4763"/>
      <c r="I652" s="4763"/>
      <c r="J652" s="4763"/>
      <c r="K652" s="4763"/>
      <c r="L652" s="4764"/>
      <c r="M652" s="3193"/>
      <c r="N652" s="3193"/>
      <c r="O652" s="3193"/>
      <c r="P652" s="3193"/>
      <c r="Q652" s="3193"/>
    </row>
    <row r="653" spans="1:17" ht="26.25">
      <c r="A653" s="3193"/>
      <c r="B653" s="3"/>
      <c r="C653" s="3361"/>
      <c r="D653" s="611"/>
      <c r="E653" s="611" t="s">
        <v>141</v>
      </c>
      <c r="F653" s="3"/>
      <c r="G653" s="612">
        <f ca="1">TODAY()</f>
        <v>45075</v>
      </c>
      <c r="H653" s="613"/>
      <c r="I653" s="614"/>
      <c r="J653" s="615">
        <f ca="1">NOW()</f>
        <v>45075.412900000003</v>
      </c>
      <c r="K653" s="615"/>
      <c r="L653" s="134"/>
      <c r="M653" s="3193"/>
      <c r="N653" s="3193"/>
      <c r="O653" s="3193"/>
      <c r="P653" s="3193"/>
      <c r="Q653" s="3193"/>
    </row>
    <row r="654" spans="1:17" ht="15.75">
      <c r="A654" s="3193"/>
      <c r="B654" s="3"/>
      <c r="C654" s="6990">
        <v>1</v>
      </c>
      <c r="D654" s="616" t="s">
        <v>3131</v>
      </c>
      <c r="E654" s="3193"/>
      <c r="F654" s="3"/>
      <c r="G654" s="617"/>
      <c r="H654" s="617"/>
      <c r="I654" s="617"/>
      <c r="J654" s="617"/>
      <c r="K654" s="617"/>
      <c r="L654" s="133"/>
      <c r="M654" s="3193"/>
      <c r="N654" s="3193"/>
      <c r="O654" s="3193"/>
      <c r="P654" s="3193"/>
      <c r="Q654" s="3193"/>
    </row>
    <row r="655" spans="1:17">
      <c r="A655" s="3193"/>
      <c r="B655" s="3"/>
      <c r="C655" s="6990"/>
      <c r="D655" s="4766" t="s">
        <v>65</v>
      </c>
      <c r="E655" s="4766"/>
      <c r="F655" s="4766"/>
      <c r="G655" s="3644"/>
      <c r="H655" s="618" t="s">
        <v>64</v>
      </c>
      <c r="I655" s="619" t="s">
        <v>63</v>
      </c>
      <c r="J655" s="619" t="s">
        <v>62</v>
      </c>
      <c r="K655" s="619" t="s">
        <v>61</v>
      </c>
      <c r="L655" s="3645" t="s">
        <v>133</v>
      </c>
      <c r="M655" s="3193"/>
      <c r="N655" s="3193"/>
      <c r="O655" s="3193"/>
      <c r="P655" s="3193"/>
      <c r="Q655" s="3193"/>
    </row>
    <row r="656" spans="1:17" ht="15.75">
      <c r="A656" s="3193"/>
      <c r="B656" s="3"/>
      <c r="C656" s="6990"/>
      <c r="D656" s="4766" t="s">
        <v>140</v>
      </c>
      <c r="E656" s="4766"/>
      <c r="F656" s="4766"/>
      <c r="G656" s="3646">
        <f>SUM(H656:L656)</f>
        <v>2170</v>
      </c>
      <c r="H656" s="132">
        <v>550</v>
      </c>
      <c r="I656" s="132">
        <v>920</v>
      </c>
      <c r="J656" s="132">
        <v>340</v>
      </c>
      <c r="K656" s="132">
        <v>150</v>
      </c>
      <c r="L656" s="3647">
        <v>210</v>
      </c>
      <c r="M656" s="3193"/>
      <c r="N656" s="3193"/>
      <c r="O656" s="3193"/>
      <c r="P656" s="3193"/>
      <c r="Q656" s="3193"/>
    </row>
    <row r="657" spans="1:17" ht="15.75">
      <c r="A657" s="3193"/>
      <c r="B657" s="3"/>
      <c r="C657" s="3648"/>
      <c r="D657" s="1551"/>
      <c r="E657" s="1551"/>
      <c r="F657" s="1551"/>
      <c r="G657" s="3646"/>
      <c r="H657" s="620"/>
      <c r="I657" s="620"/>
      <c r="J657" s="620"/>
      <c r="K657" s="620"/>
      <c r="L657" s="3649"/>
      <c r="M657" s="3193"/>
      <c r="N657" s="3193"/>
      <c r="O657" s="3193"/>
      <c r="P657" s="3193"/>
      <c r="Q657" s="3193"/>
    </row>
    <row r="658" spans="1:17" ht="15.75">
      <c r="A658" s="3193"/>
      <c r="B658" s="3"/>
      <c r="C658" s="6990">
        <v>2</v>
      </c>
      <c r="D658" s="616" t="s">
        <v>139</v>
      </c>
      <c r="E658" s="3193"/>
      <c r="F658" s="3"/>
      <c r="G658" s="3193"/>
      <c r="H658" s="3193"/>
      <c r="I658" s="3193"/>
      <c r="J658" s="3193"/>
      <c r="K658" s="3193"/>
      <c r="L658" s="3341"/>
      <c r="M658" s="3193"/>
      <c r="N658" s="3193"/>
      <c r="O658" s="3193"/>
      <c r="P658" s="3193"/>
      <c r="Q658" s="3193"/>
    </row>
    <row r="659" spans="1:17">
      <c r="A659" s="3193"/>
      <c r="B659" s="3"/>
      <c r="C659" s="6990"/>
      <c r="D659" s="6979" t="s">
        <v>138</v>
      </c>
      <c r="E659" s="6979"/>
      <c r="F659" s="6979"/>
      <c r="G659" s="3650">
        <f>(H659*H656)+(I659*I656)+(J659*J656)+(K659*K656)+(L659*L656)</f>
        <v>1470</v>
      </c>
      <c r="H659" s="621">
        <v>0</v>
      </c>
      <c r="I659" s="621">
        <v>1</v>
      </c>
      <c r="J659" s="621">
        <v>1</v>
      </c>
      <c r="K659" s="621">
        <v>0</v>
      </c>
      <c r="L659" s="3651">
        <v>1</v>
      </c>
      <c r="M659" s="3193"/>
      <c r="N659" s="3193"/>
      <c r="O659" s="3193"/>
      <c r="P659" s="3193"/>
      <c r="Q659" s="3193"/>
    </row>
    <row r="660" spans="1:17">
      <c r="A660" s="3193"/>
      <c r="B660" s="3"/>
      <c r="C660" s="6990"/>
      <c r="D660" s="6979" t="s">
        <v>137</v>
      </c>
      <c r="E660" s="6979"/>
      <c r="F660" s="6979"/>
      <c r="G660" s="3650">
        <f>(H660*H656)+(I660*I656)+(J660*J656)+(K660*K656)+(L660*L656)</f>
        <v>850</v>
      </c>
      <c r="H660" s="621">
        <v>1</v>
      </c>
      <c r="I660" s="621">
        <v>0</v>
      </c>
      <c r="J660" s="621">
        <v>0</v>
      </c>
      <c r="K660" s="621">
        <v>2</v>
      </c>
      <c r="L660" s="3651">
        <v>0</v>
      </c>
      <c r="M660" s="3193"/>
      <c r="N660" s="3193"/>
      <c r="O660" s="3193"/>
      <c r="P660" s="3193"/>
      <c r="Q660" s="3193"/>
    </row>
    <row r="661" spans="1:17">
      <c r="A661" s="3193"/>
      <c r="B661" s="3"/>
      <c r="C661" s="6990"/>
      <c r="D661" s="6979" t="s">
        <v>136</v>
      </c>
      <c r="E661" s="6979"/>
      <c r="F661" s="6979"/>
      <c r="G661" s="3650">
        <f>(H661*H656)+(I661*I656)+(J661*J656)+(K661*K656)+(L661*L656)</f>
        <v>1895</v>
      </c>
      <c r="H661" s="622">
        <v>0.5</v>
      </c>
      <c r="I661" s="621">
        <v>1</v>
      </c>
      <c r="J661" s="621">
        <v>1</v>
      </c>
      <c r="K661" s="621">
        <v>1</v>
      </c>
      <c r="L661" s="3651">
        <v>1</v>
      </c>
      <c r="M661" s="3193"/>
      <c r="N661" s="3193"/>
      <c r="O661" s="3193"/>
      <c r="P661" s="3193"/>
      <c r="Q661" s="3193"/>
    </row>
    <row r="662" spans="1:17">
      <c r="A662" s="3193"/>
      <c r="B662" s="3"/>
      <c r="C662" s="6990"/>
      <c r="D662" s="6979" t="s">
        <v>135</v>
      </c>
      <c r="E662" s="6979"/>
      <c r="F662" s="6979"/>
      <c r="G662" s="3650">
        <f>(H662*H656)+(I662*I656)+(J662*J656)+(K662*K656)+(L662*L656)</f>
        <v>1190</v>
      </c>
      <c r="H662" s="621">
        <v>0</v>
      </c>
      <c r="I662" s="621">
        <v>0</v>
      </c>
      <c r="J662" s="621">
        <v>2</v>
      </c>
      <c r="K662" s="621">
        <v>2</v>
      </c>
      <c r="L662" s="3651">
        <v>1</v>
      </c>
      <c r="M662" s="3193"/>
      <c r="N662" s="3193"/>
      <c r="O662" s="3193"/>
      <c r="P662" s="3193"/>
      <c r="Q662" s="3193"/>
    </row>
    <row r="663" spans="1:17">
      <c r="A663" s="3193"/>
      <c r="B663" s="3"/>
      <c r="C663" s="6990"/>
      <c r="D663" s="6979" t="s">
        <v>134</v>
      </c>
      <c r="E663" s="6979"/>
      <c r="F663" s="6979"/>
      <c r="G663" s="3650">
        <f>(H663*H656)+(I663*I656)+(J663*J656)+(K663*K656)+(L663*L656)</f>
        <v>2540</v>
      </c>
      <c r="H663" s="621">
        <v>1</v>
      </c>
      <c r="I663" s="621">
        <v>2</v>
      </c>
      <c r="J663" s="621">
        <v>0</v>
      </c>
      <c r="K663" s="621">
        <v>1</v>
      </c>
      <c r="L663" s="3651">
        <v>0</v>
      </c>
      <c r="M663" s="3193"/>
      <c r="N663" s="3193"/>
      <c r="O663" s="3193"/>
      <c r="P663" s="3193"/>
      <c r="Q663" s="3193"/>
    </row>
    <row r="664" spans="1:17" ht="15.75">
      <c r="A664" s="3193"/>
      <c r="B664" s="3"/>
      <c r="C664" s="3648"/>
      <c r="D664" s="3652"/>
      <c r="E664" s="3193"/>
      <c r="F664" s="3"/>
      <c r="G664" s="3650"/>
      <c r="H664" s="618" t="s">
        <v>64</v>
      </c>
      <c r="I664" s="619" t="s">
        <v>63</v>
      </c>
      <c r="J664" s="619" t="s">
        <v>62</v>
      </c>
      <c r="K664" s="619" t="s">
        <v>61</v>
      </c>
      <c r="L664" s="3645" t="s">
        <v>133</v>
      </c>
      <c r="M664" s="3193"/>
      <c r="N664" s="3193"/>
      <c r="O664" s="3193"/>
      <c r="P664" s="3193"/>
      <c r="Q664" s="3193"/>
    </row>
    <row r="665" spans="1:17" ht="15.75">
      <c r="A665" s="3193"/>
      <c r="B665" s="3"/>
      <c r="C665" s="3648"/>
      <c r="D665" s="3652"/>
      <c r="E665" s="3193"/>
      <c r="F665" s="3"/>
      <c r="G665" s="3653" t="s">
        <v>3132</v>
      </c>
      <c r="H665" s="624">
        <f>SUM(H659:H664)</f>
        <v>2.5</v>
      </c>
      <c r="I665" s="624">
        <f>SUM(I659:I664)</f>
        <v>4</v>
      </c>
      <c r="J665" s="624">
        <f>SUM(J659:J664)</f>
        <v>4</v>
      </c>
      <c r="K665" s="624">
        <f>SUM(K659:K664)</f>
        <v>6</v>
      </c>
      <c r="L665" s="3654">
        <f>SUM(L659:L664)</f>
        <v>3</v>
      </c>
      <c r="M665" s="3193"/>
      <c r="N665" s="3193"/>
      <c r="O665" s="3193"/>
      <c r="P665" s="3193"/>
      <c r="Q665" s="3193"/>
    </row>
    <row r="666" spans="1:17">
      <c r="A666" s="3193"/>
      <c r="B666" s="3"/>
      <c r="C666" s="3655"/>
      <c r="D666" s="3652"/>
      <c r="E666" s="3193"/>
      <c r="F666" s="3"/>
      <c r="G666" s="3656"/>
      <c r="H666" s="625"/>
      <c r="I666" s="625"/>
      <c r="J666" s="625"/>
      <c r="K666" s="625"/>
      <c r="L666" s="3657"/>
      <c r="M666" s="3193"/>
      <c r="N666" s="3193"/>
      <c r="O666" s="3193"/>
      <c r="P666" s="3193"/>
      <c r="Q666" s="3193"/>
    </row>
    <row r="667" spans="1:17" ht="15.75">
      <c r="A667" s="3193"/>
      <c r="B667" s="3"/>
      <c r="C667" s="3658">
        <v>3</v>
      </c>
      <c r="D667" s="6979" t="s">
        <v>132</v>
      </c>
      <c r="E667" s="6979"/>
      <c r="F667" s="6979"/>
      <c r="G667" s="3659">
        <f>(H667*H656)+(I667*I656)+(J667*J656)+(K667*K656)+(L667*L656)</f>
        <v>208.60000000000002</v>
      </c>
      <c r="H667" s="626">
        <v>0.06</v>
      </c>
      <c r="I667" s="626">
        <v>0.08</v>
      </c>
      <c r="J667" s="626">
        <v>0.15</v>
      </c>
      <c r="K667" s="626">
        <v>0.2</v>
      </c>
      <c r="L667" s="3660">
        <v>0.1</v>
      </c>
      <c r="M667" s="3193"/>
      <c r="N667" s="3193"/>
      <c r="O667" s="3193"/>
      <c r="P667" s="3193"/>
      <c r="Q667" s="3193"/>
    </row>
    <row r="668" spans="1:17">
      <c r="A668" s="3193"/>
      <c r="B668" s="3"/>
      <c r="C668" s="3655"/>
      <c r="D668" s="3661"/>
      <c r="E668" s="3662"/>
      <c r="F668" s="3663"/>
      <c r="G668" s="3650"/>
      <c r="H668" s="625"/>
      <c r="I668" s="625"/>
      <c r="J668" s="625"/>
      <c r="K668" s="625"/>
      <c r="L668" s="3657"/>
      <c r="M668" s="3193"/>
      <c r="N668" s="3193"/>
      <c r="O668" s="3193"/>
      <c r="P668" s="3193"/>
      <c r="Q668" s="3193"/>
    </row>
    <row r="669" spans="1:17" ht="15.75">
      <c r="A669" s="3193"/>
      <c r="B669" s="3"/>
      <c r="C669" s="3658">
        <v>4</v>
      </c>
      <c r="D669" s="6979" t="s">
        <v>131</v>
      </c>
      <c r="E669" s="6979"/>
      <c r="F669" s="6979"/>
      <c r="G669" s="3659">
        <f>(H669*H656)+(I669*I656)+(J669*J656)+(K669*K656)+(L669*L656)</f>
        <v>213.5</v>
      </c>
      <c r="H669" s="626">
        <v>0.06</v>
      </c>
      <c r="I669" s="626">
        <v>0.1</v>
      </c>
      <c r="J669" s="626">
        <v>0.12</v>
      </c>
      <c r="K669" s="626">
        <v>0.15</v>
      </c>
      <c r="L669" s="3660">
        <v>0.12</v>
      </c>
      <c r="M669" s="3193"/>
      <c r="N669" s="3193"/>
      <c r="O669" s="3193"/>
      <c r="P669" s="3193"/>
      <c r="Q669" s="3193"/>
    </row>
    <row r="670" spans="1:17">
      <c r="A670" s="3193"/>
      <c r="B670" s="3"/>
      <c r="C670" s="3655"/>
      <c r="D670" s="3661"/>
      <c r="E670" s="3662"/>
      <c r="F670" s="3663"/>
      <c r="G670" s="3650"/>
      <c r="H670" s="625"/>
      <c r="I670" s="625"/>
      <c r="J670" s="625"/>
      <c r="K670" s="625"/>
      <c r="L670" s="3657"/>
      <c r="M670" s="3193"/>
      <c r="N670" s="3193"/>
      <c r="O670" s="3193"/>
      <c r="P670" s="3193"/>
      <c r="Q670" s="3193"/>
    </row>
    <row r="671" spans="1:17" ht="15.75">
      <c r="A671" s="3193"/>
      <c r="B671" s="3"/>
      <c r="C671" s="3658">
        <v>5</v>
      </c>
      <c r="D671" s="6979" t="s">
        <v>130</v>
      </c>
      <c r="E671" s="6979"/>
      <c r="F671" s="6979"/>
      <c r="G671" s="3659">
        <f>(H671*H656)+(I671*I656)+(J671*J656)+(K671*K656)+(L671*L656)</f>
        <v>237.5</v>
      </c>
      <c r="H671" s="626">
        <v>0.06</v>
      </c>
      <c r="I671" s="626">
        <v>0.1</v>
      </c>
      <c r="J671" s="626">
        <v>0.15</v>
      </c>
      <c r="K671" s="626">
        <v>0.2</v>
      </c>
      <c r="L671" s="3660">
        <v>0.15</v>
      </c>
      <c r="M671" s="3193"/>
      <c r="N671" s="3193"/>
      <c r="O671" s="3193"/>
      <c r="P671" s="3193"/>
      <c r="Q671" s="3193"/>
    </row>
    <row r="672" spans="1:17" ht="15.75" thickBot="1">
      <c r="A672" s="3193"/>
      <c r="B672" s="3"/>
      <c r="C672" s="3664"/>
      <c r="D672" s="3665"/>
      <c r="E672" s="3666"/>
      <c r="F672" s="3667"/>
      <c r="G672" s="3668"/>
      <c r="H672" s="3669"/>
      <c r="I672" s="3669"/>
      <c r="J672" s="3666"/>
      <c r="K672" s="3666"/>
      <c r="L672" s="3354"/>
      <c r="M672" s="3193"/>
      <c r="N672" s="3193"/>
      <c r="O672" s="3193"/>
      <c r="P672" s="3193"/>
      <c r="Q672" s="3193"/>
    </row>
    <row r="673" spans="1:17">
      <c r="A673" s="3193"/>
      <c r="B673" s="3"/>
      <c r="C673" s="3"/>
      <c r="D673" s="3"/>
      <c r="E673" s="3"/>
      <c r="F673" s="3"/>
      <c r="G673" s="3"/>
      <c r="H673" s="3"/>
      <c r="I673" s="3"/>
      <c r="J673" s="3"/>
      <c r="K673" s="3"/>
      <c r="L673" s="3"/>
      <c r="M673" s="3193"/>
      <c r="N673" s="3193"/>
      <c r="O673" s="3193"/>
      <c r="P673" s="3193"/>
      <c r="Q673" s="3193"/>
    </row>
    <row r="674" spans="1:17">
      <c r="A674" s="3228"/>
      <c r="B674" s="5"/>
      <c r="C674" s="6"/>
      <c r="D674" s="6"/>
      <c r="E674" s="6"/>
      <c r="F674" s="6"/>
      <c r="G674" s="6"/>
      <c r="H674" s="6"/>
      <c r="I674" s="6"/>
      <c r="J674" s="5"/>
      <c r="K674" s="5"/>
      <c r="L674" s="5"/>
      <c r="M674" s="3228"/>
      <c r="N674" s="3228"/>
      <c r="O674" s="3228"/>
      <c r="P674" s="3228"/>
      <c r="Q674" s="3228"/>
    </row>
    <row r="675" spans="1:17" ht="15.75" thickBot="1">
      <c r="A675" s="3193"/>
      <c r="B675" s="3"/>
      <c r="C675" s="3"/>
      <c r="D675" s="3"/>
      <c r="E675" s="3"/>
      <c r="F675" s="3"/>
      <c r="G675" s="3"/>
      <c r="H675" s="3"/>
      <c r="I675" s="3"/>
      <c r="J675" s="3"/>
      <c r="K675" s="3"/>
      <c r="L675" s="3"/>
      <c r="M675" s="3193"/>
      <c r="N675" s="3193"/>
      <c r="O675" s="3193"/>
      <c r="P675" s="3193"/>
      <c r="Q675" s="3193"/>
    </row>
    <row r="676" spans="1:17" ht="18">
      <c r="A676" s="3193"/>
      <c r="B676" s="3"/>
      <c r="C676" s="6980" t="s">
        <v>129</v>
      </c>
      <c r="D676" s="6981"/>
      <c r="E676" s="6981"/>
      <c r="F676" s="6981"/>
      <c r="G676" s="6981"/>
      <c r="H676" s="6981"/>
      <c r="I676" s="6981"/>
      <c r="J676" s="6981"/>
      <c r="K676" s="6981"/>
      <c r="L676" s="6982"/>
      <c r="M676" s="3193"/>
      <c r="N676" s="3193"/>
      <c r="O676" s="3193"/>
      <c r="P676" s="3193"/>
      <c r="Q676" s="3193"/>
    </row>
    <row r="677" spans="1:17">
      <c r="A677" s="3193"/>
      <c r="B677" s="3"/>
      <c r="C677" s="3670" t="s">
        <v>3133</v>
      </c>
      <c r="D677" s="3671"/>
      <c r="E677" s="3671"/>
      <c r="F677" s="3671"/>
      <c r="G677" s="3671"/>
      <c r="H677" s="3671"/>
      <c r="I677" s="3671"/>
      <c r="J677" s="3672"/>
      <c r="K677" s="3672"/>
      <c r="L677" s="3673"/>
      <c r="M677" s="3193"/>
      <c r="N677" s="3193"/>
      <c r="O677" s="3193"/>
      <c r="P677" s="3193"/>
      <c r="Q677" s="3193"/>
    </row>
    <row r="678" spans="1:17">
      <c r="A678" s="3193"/>
      <c r="B678" s="3"/>
      <c r="C678" s="6983" t="s">
        <v>128</v>
      </c>
      <c r="D678" s="6984"/>
      <c r="E678" s="6984"/>
      <c r="F678" s="6984"/>
      <c r="G678" s="6984"/>
      <c r="H678" s="6984"/>
      <c r="I678" s="6984"/>
      <c r="J678" s="6984"/>
      <c r="K678" s="6984"/>
      <c r="L678" s="6985"/>
      <c r="M678" s="3193"/>
      <c r="N678" s="3193"/>
      <c r="O678" s="3193"/>
      <c r="P678" s="3193"/>
      <c r="Q678" s="3193"/>
    </row>
    <row r="679" spans="1:17">
      <c r="A679" s="3193"/>
      <c r="B679" s="3"/>
      <c r="C679" s="6983"/>
      <c r="D679" s="6984"/>
      <c r="E679" s="6984"/>
      <c r="F679" s="6984"/>
      <c r="G679" s="6984"/>
      <c r="H679" s="6984"/>
      <c r="I679" s="6984"/>
      <c r="J679" s="6984"/>
      <c r="K679" s="6984"/>
      <c r="L679" s="6985"/>
      <c r="M679" s="3193"/>
      <c r="N679" s="3193"/>
      <c r="O679" s="3193"/>
      <c r="P679" s="3193"/>
      <c r="Q679" s="3193"/>
    </row>
    <row r="680" spans="1:17">
      <c r="A680" s="3193"/>
      <c r="B680" s="3"/>
      <c r="C680" s="6983"/>
      <c r="D680" s="6984"/>
      <c r="E680" s="6984"/>
      <c r="F680" s="6984"/>
      <c r="G680" s="6984"/>
      <c r="H680" s="6984"/>
      <c r="I680" s="6984"/>
      <c r="J680" s="6984"/>
      <c r="K680" s="6984"/>
      <c r="L680" s="6985"/>
      <c r="M680" s="3193"/>
      <c r="N680" s="3193"/>
      <c r="O680" s="3193"/>
      <c r="P680" s="3193"/>
      <c r="Q680" s="3193"/>
    </row>
    <row r="681" spans="1:17">
      <c r="A681" s="3193"/>
      <c r="B681" s="3"/>
      <c r="C681" s="6983"/>
      <c r="D681" s="6984"/>
      <c r="E681" s="6984"/>
      <c r="F681" s="6984"/>
      <c r="G681" s="6984"/>
      <c r="H681" s="6984"/>
      <c r="I681" s="6984"/>
      <c r="J681" s="6984"/>
      <c r="K681" s="6984"/>
      <c r="L681" s="6985"/>
      <c r="M681" s="3193"/>
      <c r="N681" s="3193"/>
      <c r="O681" s="3193"/>
      <c r="P681" s="3193"/>
      <c r="Q681" s="3193"/>
    </row>
    <row r="682" spans="1:17">
      <c r="A682" s="3193"/>
      <c r="B682" s="3"/>
      <c r="C682" s="6983" t="s">
        <v>127</v>
      </c>
      <c r="D682" s="6984"/>
      <c r="E682" s="6984"/>
      <c r="F682" s="6984"/>
      <c r="G682" s="6984"/>
      <c r="H682" s="6984"/>
      <c r="I682" s="6984"/>
      <c r="J682" s="6984"/>
      <c r="K682" s="6984"/>
      <c r="L682" s="6985"/>
      <c r="M682" s="3193"/>
      <c r="N682" s="3193"/>
      <c r="O682" s="3193"/>
      <c r="P682" s="3193"/>
      <c r="Q682" s="3193"/>
    </row>
    <row r="683" spans="1:17">
      <c r="A683" s="3193"/>
      <c r="B683" s="3"/>
      <c r="C683" s="6983"/>
      <c r="D683" s="6984"/>
      <c r="E683" s="6984"/>
      <c r="F683" s="6984"/>
      <c r="G683" s="6984"/>
      <c r="H683" s="6984"/>
      <c r="I683" s="6984"/>
      <c r="J683" s="6984"/>
      <c r="K683" s="6984"/>
      <c r="L683" s="6985"/>
      <c r="M683" s="3193"/>
      <c r="N683" s="3193"/>
      <c r="O683" s="3193"/>
      <c r="P683" s="3193"/>
      <c r="Q683" s="3193"/>
    </row>
    <row r="684" spans="1:17">
      <c r="A684" s="3193"/>
      <c r="B684" s="3"/>
      <c r="C684" s="6983"/>
      <c r="D684" s="6984"/>
      <c r="E684" s="6984"/>
      <c r="F684" s="6984"/>
      <c r="G684" s="6984"/>
      <c r="H684" s="6984"/>
      <c r="I684" s="6984"/>
      <c r="J684" s="6984"/>
      <c r="K684" s="6984"/>
      <c r="L684" s="6985"/>
      <c r="M684" s="3193"/>
      <c r="N684" s="3193"/>
      <c r="O684" s="3193"/>
      <c r="P684" s="3193"/>
      <c r="Q684" s="3193"/>
    </row>
    <row r="685" spans="1:17">
      <c r="A685" s="3193"/>
      <c r="B685" s="3"/>
      <c r="C685" s="6986"/>
      <c r="D685" s="6987"/>
      <c r="E685" s="6987"/>
      <c r="F685" s="6987"/>
      <c r="G685" s="6987"/>
      <c r="H685" s="6987"/>
      <c r="I685" s="6987"/>
      <c r="J685" s="6987"/>
      <c r="K685" s="6987"/>
      <c r="L685" s="6988"/>
      <c r="M685" s="3193"/>
      <c r="N685" s="3193"/>
      <c r="O685" s="3193"/>
      <c r="P685" s="3193"/>
      <c r="Q685" s="3193"/>
    </row>
    <row r="686" spans="1:17">
      <c r="A686" s="3193"/>
      <c r="B686" s="3"/>
      <c r="C686" s="4721" t="s">
        <v>3134</v>
      </c>
      <c r="D686" s="4722"/>
      <c r="E686" s="4722"/>
      <c r="F686" s="4722"/>
      <c r="G686" s="6991" t="s">
        <v>126</v>
      </c>
      <c r="H686" s="6991"/>
      <c r="I686" s="6992">
        <v>0.09</v>
      </c>
      <c r="J686" s="4728" t="s">
        <v>125</v>
      </c>
      <c r="K686" s="4728"/>
      <c r="L686" s="6993">
        <v>0.12</v>
      </c>
      <c r="M686" s="3193"/>
      <c r="N686" s="3193"/>
      <c r="O686" s="3193"/>
      <c r="P686" s="3193"/>
      <c r="Q686" s="3193"/>
    </row>
    <row r="687" spans="1:17">
      <c r="A687" s="3193"/>
      <c r="B687" s="3"/>
      <c r="C687" s="4721"/>
      <c r="D687" s="4722"/>
      <c r="E687" s="4722"/>
      <c r="F687" s="4722"/>
      <c r="G687" s="6991"/>
      <c r="H687" s="6991"/>
      <c r="I687" s="6992"/>
      <c r="J687" s="4728"/>
      <c r="K687" s="4728"/>
      <c r="L687" s="6993"/>
      <c r="M687" s="3193"/>
      <c r="N687" s="3193"/>
      <c r="O687" s="3193"/>
      <c r="P687" s="3193"/>
      <c r="Q687" s="3193"/>
    </row>
    <row r="688" spans="1:17" ht="18">
      <c r="A688" s="3193"/>
      <c r="B688" s="3"/>
      <c r="C688" s="3674"/>
      <c r="D688" s="3675"/>
      <c r="E688" s="3675"/>
      <c r="F688" s="3675"/>
      <c r="G688" s="3676"/>
      <c r="H688" s="3676"/>
      <c r="I688" s="3677"/>
      <c r="J688" s="3678"/>
      <c r="K688" s="3678"/>
      <c r="L688" s="3679"/>
      <c r="M688" s="3193"/>
      <c r="N688" s="3193"/>
      <c r="O688" s="3193"/>
      <c r="P688" s="3193"/>
      <c r="Q688" s="3193"/>
    </row>
    <row r="689" spans="1:17">
      <c r="A689" s="3193"/>
      <c r="B689" s="3"/>
      <c r="C689" s="6994" t="str">
        <f>IF(E689="","produit à servir","produits entiers à couper en ")</f>
        <v xml:space="preserve">produits entiers à couper en </v>
      </c>
      <c r="D689" s="6995"/>
      <c r="E689" s="6996">
        <f>IF(K696=1,"",K696)</f>
        <v>1.5</v>
      </c>
      <c r="F689" s="6989">
        <f>LARGE(F697:F701,1)</f>
        <v>3</v>
      </c>
      <c r="G689" s="6989" t="s">
        <v>124</v>
      </c>
      <c r="H689" s="6989" t="s">
        <v>108</v>
      </c>
      <c r="I689" s="6989">
        <f>LARGE(G697:G701,1)</f>
        <v>2</v>
      </c>
      <c r="J689" s="6989" t="s">
        <v>123</v>
      </c>
      <c r="K689" s="3680"/>
      <c r="L689" s="3681"/>
      <c r="M689" s="3193"/>
      <c r="N689" s="3193"/>
      <c r="O689" s="3193"/>
      <c r="P689" s="3193"/>
      <c r="Q689" s="3193"/>
    </row>
    <row r="690" spans="1:17">
      <c r="A690" s="3193"/>
      <c r="B690" s="3"/>
      <c r="C690" s="6994"/>
      <c r="D690" s="6995"/>
      <c r="E690" s="6996"/>
      <c r="F690" s="6989"/>
      <c r="G690" s="6989"/>
      <c r="H690" s="6989"/>
      <c r="I690" s="6989"/>
      <c r="J690" s="6989"/>
      <c r="K690" s="3680"/>
      <c r="L690" s="3681"/>
      <c r="M690" s="3193"/>
      <c r="N690" s="3193"/>
      <c r="O690" s="3193"/>
      <c r="P690" s="3193"/>
      <c r="Q690" s="3193"/>
    </row>
    <row r="691" spans="1:17" ht="15.75">
      <c r="A691" s="3193"/>
      <c r="B691" s="3"/>
      <c r="C691" s="3682"/>
      <c r="D691" s="3683"/>
      <c r="E691" s="3684"/>
      <c r="F691" s="3685"/>
      <c r="G691" s="3685"/>
      <c r="H691" s="3685"/>
      <c r="I691" s="3685"/>
      <c r="J691" s="3686"/>
      <c r="K691" s="3687"/>
      <c r="L691" s="3688"/>
      <c r="M691" s="3193"/>
      <c r="N691" s="3193"/>
      <c r="O691" s="3193"/>
      <c r="P691" s="3193"/>
      <c r="Q691" s="3193"/>
    </row>
    <row r="692" spans="1:17">
      <c r="A692" s="3193"/>
      <c r="B692" s="3"/>
      <c r="C692" s="7011" t="str">
        <f>IF(D692="","MOINS","Servir ")</f>
        <v xml:space="preserve">Servir </v>
      </c>
      <c r="D692" s="7015">
        <f>IF(F689-1=0,"",F689-1)</f>
        <v>2</v>
      </c>
      <c r="E692" s="7013" t="str">
        <f>IF(D692="","",IF(G692=1,"produits entiers de","produits coupés en "))</f>
        <v>produits entiers de</v>
      </c>
      <c r="F692" s="7013"/>
      <c r="G692" s="7015">
        <f>IF(D692="","",I689/D692)</f>
        <v>1</v>
      </c>
      <c r="H692" s="6989" t="str">
        <f>IF(D692="","","parts")</f>
        <v>parts</v>
      </c>
      <c r="I692" s="7013" t="str">
        <f>IF(D692="","","grammage unitaire")</f>
        <v>grammage unitaire</v>
      </c>
      <c r="J692" s="7013"/>
      <c r="K692" s="7009">
        <f>IF(D692="","",I686/G692)</f>
        <v>0.09</v>
      </c>
      <c r="L692" s="7010"/>
      <c r="M692" s="3193"/>
      <c r="N692" s="3193"/>
      <c r="O692" s="3193"/>
      <c r="P692" s="3193"/>
      <c r="Q692" s="3193"/>
    </row>
    <row r="693" spans="1:17">
      <c r="A693" s="3193"/>
      <c r="B693" s="3"/>
      <c r="C693" s="7011"/>
      <c r="D693" s="7015"/>
      <c r="E693" s="7013"/>
      <c r="F693" s="7013"/>
      <c r="G693" s="7015"/>
      <c r="H693" s="6989"/>
      <c r="I693" s="7013"/>
      <c r="J693" s="7013"/>
      <c r="K693" s="7009"/>
      <c r="L693" s="7010"/>
      <c r="M693" s="3193"/>
      <c r="N693" s="3193"/>
      <c r="O693" s="3193"/>
      <c r="P693" s="3193"/>
      <c r="Q693" s="3193"/>
    </row>
    <row r="694" spans="1:17">
      <c r="A694" s="3193"/>
      <c r="B694" s="3"/>
      <c r="C694" s="7011" t="str">
        <f>IF(D692="","","plus")</f>
        <v>plus</v>
      </c>
      <c r="D694" s="7012">
        <f>IF(D692="","",F689-D692)</f>
        <v>1</v>
      </c>
      <c r="E694" s="7013" t="str">
        <f>IF(D694="","","produit coupé en ")</f>
        <v xml:space="preserve">produit coupé en </v>
      </c>
      <c r="F694" s="7013"/>
      <c r="G694" s="7012">
        <f>IF(E694="","",I689)</f>
        <v>2</v>
      </c>
      <c r="H694" s="6989" t="str">
        <f>IF(E694="","","parts")</f>
        <v>parts</v>
      </c>
      <c r="I694" s="3689"/>
      <c r="J694" s="7014" t="str">
        <f>IF(D694="","moins"," de")</f>
        <v xml:space="preserve"> de</v>
      </c>
      <c r="K694" s="7009">
        <f>IF(E694="",I686-L686,I686/G694)</f>
        <v>4.4999999999999998E-2</v>
      </c>
      <c r="L694" s="7010"/>
      <c r="M694" s="3193"/>
      <c r="N694" s="3193"/>
      <c r="O694" s="3193"/>
      <c r="P694" s="3193"/>
      <c r="Q694" s="3193"/>
    </row>
    <row r="695" spans="1:17">
      <c r="A695" s="3193"/>
      <c r="B695" s="3"/>
      <c r="C695" s="7011"/>
      <c r="D695" s="7012"/>
      <c r="E695" s="7013"/>
      <c r="F695" s="7013"/>
      <c r="G695" s="7012"/>
      <c r="H695" s="6989"/>
      <c r="I695" s="3689"/>
      <c r="J695" s="7014"/>
      <c r="K695" s="7009"/>
      <c r="L695" s="7010"/>
      <c r="M695" s="3193"/>
      <c r="N695" s="3193"/>
      <c r="O695" s="3193"/>
      <c r="P695" s="3193"/>
      <c r="Q695" s="3193"/>
    </row>
    <row r="696" spans="1:17" ht="22.5">
      <c r="A696" s="3193"/>
      <c r="B696" s="3"/>
      <c r="C696" s="3690" t="s">
        <v>122</v>
      </c>
      <c r="D696" s="3691" t="s">
        <v>121</v>
      </c>
      <c r="E696" s="3691" t="s">
        <v>120</v>
      </c>
      <c r="F696" s="3692" t="s">
        <v>119</v>
      </c>
      <c r="G696" s="3692"/>
      <c r="H696" s="3693" t="s">
        <v>118</v>
      </c>
      <c r="I696" s="3694" t="s">
        <v>108</v>
      </c>
      <c r="J696" s="3694"/>
      <c r="K696" s="3695">
        <f>LARGE(L697:L701,1)</f>
        <v>1.5</v>
      </c>
      <c r="L696" s="3696">
        <f>SMALL(E697:E701,COUNTIF(E697:E701,0)+1)</f>
        <v>3.0000000000000027E-2</v>
      </c>
      <c r="M696" s="3193"/>
      <c r="N696" s="3193"/>
      <c r="O696" s="3193"/>
      <c r="P696" s="3193"/>
      <c r="Q696" s="3193"/>
    </row>
    <row r="697" spans="1:17">
      <c r="A697" s="3193"/>
      <c r="B697" s="3"/>
      <c r="C697" s="3697">
        <f>L686*I697</f>
        <v>0</v>
      </c>
      <c r="D697" s="3698">
        <f>I686*H697</f>
        <v>0.09</v>
      </c>
      <c r="E697" s="3698">
        <f>D697-C697</f>
        <v>0.09</v>
      </c>
      <c r="F697" s="3699">
        <f>IF(E697=L696,H697,0)</f>
        <v>0</v>
      </c>
      <c r="G697" s="3699">
        <f>IF(F697&gt;0,I697,0)</f>
        <v>0</v>
      </c>
      <c r="H697" s="3695">
        <v>1</v>
      </c>
      <c r="I697" s="3700">
        <f>INT(J697)</f>
        <v>0</v>
      </c>
      <c r="J697" s="3700">
        <f>D697/L686</f>
        <v>0.75</v>
      </c>
      <c r="K697" s="3695">
        <f>IF(F697=0,0,F697/G697)</f>
        <v>0</v>
      </c>
      <c r="L697" s="3701">
        <f>ROUNDDOWN(K697,1)</f>
        <v>0</v>
      </c>
      <c r="M697" s="3193"/>
      <c r="N697" s="3193"/>
      <c r="O697" s="3193"/>
      <c r="P697" s="3193"/>
      <c r="Q697" s="3193"/>
    </row>
    <row r="698" spans="1:17">
      <c r="A698" s="3193"/>
      <c r="B698" s="3"/>
      <c r="C698" s="3697">
        <f>L686*I698</f>
        <v>0.12</v>
      </c>
      <c r="D698" s="3698">
        <f>I686*H698</f>
        <v>0.18</v>
      </c>
      <c r="E698" s="3698">
        <f>D698-C698</f>
        <v>0.06</v>
      </c>
      <c r="F698" s="3699">
        <f>IF(E698=L696,H698,0)</f>
        <v>0</v>
      </c>
      <c r="G698" s="3699">
        <f>IF(F698&gt;0,I698,0)</f>
        <v>0</v>
      </c>
      <c r="H698" s="3695">
        <v>2</v>
      </c>
      <c r="I698" s="3700">
        <f>INT(J698)</f>
        <v>1</v>
      </c>
      <c r="J698" s="3700">
        <f>D698/L686</f>
        <v>1.5</v>
      </c>
      <c r="K698" s="3695">
        <f>IF(F698=0,0,F698/G698)</f>
        <v>0</v>
      </c>
      <c r="L698" s="3701">
        <f>ROUNDDOWN(K698,1)</f>
        <v>0</v>
      </c>
      <c r="M698" s="3193"/>
      <c r="N698" s="3193"/>
      <c r="O698" s="3193"/>
      <c r="P698" s="3193"/>
      <c r="Q698" s="3193"/>
    </row>
    <row r="699" spans="1:17">
      <c r="A699" s="3193"/>
      <c r="B699" s="3"/>
      <c r="C699" s="3697">
        <f>L686*I699</f>
        <v>0.24</v>
      </c>
      <c r="D699" s="3698">
        <f>I686*H699</f>
        <v>0.27</v>
      </c>
      <c r="E699" s="3698">
        <f>D699-C699</f>
        <v>3.0000000000000027E-2</v>
      </c>
      <c r="F699" s="3699">
        <f>IF(E699=L696,H699,0)</f>
        <v>3</v>
      </c>
      <c r="G699" s="3699">
        <f>IF(F699&gt;0,I699,0)</f>
        <v>2</v>
      </c>
      <c r="H699" s="3695">
        <v>3</v>
      </c>
      <c r="I699" s="3700">
        <f>INT(J699)</f>
        <v>2</v>
      </c>
      <c r="J699" s="3700">
        <f>D699/L686</f>
        <v>2.2500000000000004</v>
      </c>
      <c r="K699" s="3695">
        <f>IF(F699=0,0,F699/G699)</f>
        <v>1.5</v>
      </c>
      <c r="L699" s="3701">
        <f>ROUNDDOWN(K699,1)</f>
        <v>1.5</v>
      </c>
      <c r="M699" s="3193"/>
      <c r="N699" s="3193"/>
      <c r="O699" s="3193"/>
      <c r="P699" s="3193"/>
      <c r="Q699" s="3193"/>
    </row>
    <row r="700" spans="1:17">
      <c r="A700" s="3193"/>
      <c r="B700" s="3"/>
      <c r="C700" s="3697">
        <f>L686*I700</f>
        <v>0.36</v>
      </c>
      <c r="D700" s="3698">
        <f>I686*H700</f>
        <v>0.36</v>
      </c>
      <c r="E700" s="3698">
        <f>D700-C700</f>
        <v>0</v>
      </c>
      <c r="F700" s="3699">
        <f>IF(E700=L696,H700,0)</f>
        <v>0</v>
      </c>
      <c r="G700" s="3699">
        <f>IF(F700&gt;0,I700,0)</f>
        <v>0</v>
      </c>
      <c r="H700" s="3695">
        <v>4</v>
      </c>
      <c r="I700" s="3700">
        <f>INT(J700)</f>
        <v>3</v>
      </c>
      <c r="J700" s="3700">
        <f>D700/L686</f>
        <v>3</v>
      </c>
      <c r="K700" s="3695">
        <f>IF(F700=0,0,F700/G700)</f>
        <v>0</v>
      </c>
      <c r="L700" s="3701">
        <f>ROUNDDOWN(K700,1)</f>
        <v>0</v>
      </c>
      <c r="M700" s="3193"/>
      <c r="N700" s="3193"/>
      <c r="O700" s="3193"/>
      <c r="P700" s="3193"/>
      <c r="Q700" s="3193"/>
    </row>
    <row r="701" spans="1:17" ht="15.75" thickBot="1">
      <c r="A701" s="3193"/>
      <c r="B701" s="3"/>
      <c r="C701" s="3702">
        <f>L686*I701</f>
        <v>0.36</v>
      </c>
      <c r="D701" s="3703">
        <f>I686*H701</f>
        <v>0.44999999999999996</v>
      </c>
      <c r="E701" s="3703">
        <f>D701-C701</f>
        <v>8.9999999999999969E-2</v>
      </c>
      <c r="F701" s="3704">
        <f>IF(E701=L696,H701,0)</f>
        <v>0</v>
      </c>
      <c r="G701" s="3704">
        <f>IF(F701&gt;0,I701,0)</f>
        <v>0</v>
      </c>
      <c r="H701" s="3705">
        <v>5</v>
      </c>
      <c r="I701" s="3706">
        <f>INT(J701)</f>
        <v>3</v>
      </c>
      <c r="J701" s="3706">
        <f>D701/L686</f>
        <v>3.7499999999999996</v>
      </c>
      <c r="K701" s="3705">
        <f>IF(F701=0,0,F701/G701)</f>
        <v>0</v>
      </c>
      <c r="L701" s="3707">
        <f>ROUNDDOWN(K701,1)</f>
        <v>0</v>
      </c>
      <c r="M701" s="3193"/>
      <c r="N701" s="3193"/>
      <c r="O701" s="3193"/>
      <c r="P701" s="3193"/>
      <c r="Q701" s="3193"/>
    </row>
    <row r="702" spans="1:17">
      <c r="A702" s="3193"/>
      <c r="B702" s="3"/>
      <c r="C702" s="3"/>
      <c r="D702" s="3"/>
      <c r="E702" s="3"/>
      <c r="F702" s="3"/>
      <c r="G702" s="3"/>
      <c r="H702" s="3"/>
      <c r="I702" s="3"/>
      <c r="J702" s="3"/>
      <c r="K702" s="3"/>
      <c r="L702" s="3"/>
      <c r="M702" s="3193"/>
      <c r="N702" s="3193"/>
      <c r="O702" s="3193"/>
      <c r="P702" s="3193"/>
      <c r="Q702" s="3193"/>
    </row>
    <row r="703" spans="1:17">
      <c r="A703" s="3193"/>
      <c r="B703" s="3"/>
      <c r="C703" s="3"/>
      <c r="D703" s="3"/>
      <c r="E703" s="3"/>
      <c r="F703" s="3"/>
      <c r="G703" s="3"/>
      <c r="H703" s="3"/>
      <c r="I703" s="3"/>
      <c r="J703" s="3"/>
      <c r="K703" s="3"/>
      <c r="L703" s="3"/>
      <c r="M703" s="3193"/>
      <c r="N703" s="3193"/>
      <c r="O703" s="3193"/>
      <c r="P703" s="3193"/>
      <c r="Q703" s="3193"/>
    </row>
    <row r="704" spans="1:17" ht="18">
      <c r="A704" s="3193"/>
      <c r="B704" s="3"/>
      <c r="C704" s="6997" t="s">
        <v>117</v>
      </c>
      <c r="D704" s="6998"/>
      <c r="E704" s="6998"/>
      <c r="F704" s="6998"/>
      <c r="G704" s="6998"/>
      <c r="H704" s="6998"/>
      <c r="I704" s="6998"/>
      <c r="J704" s="6998"/>
      <c r="K704" s="6998"/>
      <c r="L704" s="6998"/>
      <c r="M704" s="6999"/>
      <c r="N704" s="3193"/>
      <c r="O704" s="3193"/>
      <c r="P704" s="3193"/>
      <c r="Q704" s="3193"/>
    </row>
    <row r="705" spans="1:17" ht="15.75">
      <c r="A705" s="3193"/>
      <c r="B705" s="3"/>
      <c r="C705" s="7000" t="s">
        <v>3135</v>
      </c>
      <c r="D705" s="7001"/>
      <c r="E705" s="7001"/>
      <c r="F705" s="7001"/>
      <c r="G705" s="7001"/>
      <c r="H705" s="7001"/>
      <c r="I705" s="7001"/>
      <c r="J705" s="7001"/>
      <c r="K705" s="7001"/>
      <c r="L705" s="7001"/>
      <c r="M705" s="7002"/>
      <c r="N705" s="3193"/>
      <c r="O705" s="3193"/>
      <c r="P705" s="3193"/>
      <c r="Q705" s="3193"/>
    </row>
    <row r="706" spans="1:17" ht="15.75">
      <c r="A706" s="3193"/>
      <c r="B706" s="3"/>
      <c r="C706" s="3708"/>
      <c r="D706" s="3709"/>
      <c r="E706" s="7003" t="s">
        <v>3136</v>
      </c>
      <c r="F706" s="7003"/>
      <c r="G706" s="7003"/>
      <c r="H706" s="7003"/>
      <c r="I706" s="7003"/>
      <c r="J706" s="7003"/>
      <c r="K706" s="7003"/>
      <c r="L706" s="7003"/>
      <c r="M706" s="7004"/>
      <c r="N706" s="3193"/>
      <c r="O706" s="3193"/>
      <c r="P706" s="3193"/>
      <c r="Q706" s="3193"/>
    </row>
    <row r="707" spans="1:17">
      <c r="A707" s="3193"/>
      <c r="B707" s="3"/>
      <c r="C707" s="7005" t="s">
        <v>104</v>
      </c>
      <c r="D707" s="7006"/>
      <c r="E707" s="7006"/>
      <c r="F707" s="7006"/>
      <c r="G707" s="7006"/>
      <c r="H707" s="7006"/>
      <c r="I707" s="7006"/>
      <c r="J707" s="7006"/>
      <c r="K707" s="7006"/>
      <c r="L707" s="7006"/>
      <c r="M707" s="7007"/>
      <c r="N707" s="3193"/>
      <c r="O707" s="3193"/>
      <c r="P707" s="3193"/>
      <c r="Q707" s="3193"/>
    </row>
    <row r="708" spans="1:17">
      <c r="A708" s="3193"/>
      <c r="B708" s="3"/>
      <c r="C708" s="7008" t="s">
        <v>114</v>
      </c>
      <c r="D708" s="4903"/>
      <c r="E708" s="4904" t="s">
        <v>116</v>
      </c>
      <c r="F708" s="4904"/>
      <c r="G708" s="3193"/>
      <c r="H708" s="3"/>
      <c r="I708" s="3"/>
      <c r="J708" s="3193"/>
      <c r="K708" s="3710"/>
      <c r="L708" s="3193"/>
      <c r="M708" s="3711"/>
      <c r="N708" s="3193"/>
      <c r="O708" s="3193"/>
      <c r="P708" s="3193"/>
      <c r="Q708" s="3193"/>
    </row>
    <row r="709" spans="1:17">
      <c r="A709" s="3193"/>
      <c r="B709" s="3"/>
      <c r="C709" s="7008"/>
      <c r="D709" s="4903"/>
      <c r="E709" s="4904"/>
      <c r="F709" s="4904"/>
      <c r="G709" s="3193"/>
      <c r="H709" s="3"/>
      <c r="I709" s="3"/>
      <c r="J709" s="3193"/>
      <c r="K709" s="3710"/>
      <c r="L709" s="3193"/>
      <c r="M709" s="3711"/>
      <c r="N709" s="3193"/>
      <c r="O709" s="3193"/>
      <c r="P709" s="3193"/>
      <c r="Q709" s="3193"/>
    </row>
    <row r="710" spans="1:17">
      <c r="A710" s="3193"/>
      <c r="B710" s="3"/>
      <c r="C710" s="7018">
        <v>10</v>
      </c>
      <c r="D710" s="7019"/>
      <c r="E710" s="7019">
        <v>0.1</v>
      </c>
      <c r="F710" s="7019"/>
      <c r="G710" s="3193"/>
      <c r="H710" s="3"/>
      <c r="I710" s="3"/>
      <c r="J710" s="3193"/>
      <c r="K710" s="3712" t="s">
        <v>115</v>
      </c>
      <c r="L710" s="3713">
        <f>C710/E710</f>
        <v>100</v>
      </c>
      <c r="M710" s="3711"/>
      <c r="N710" s="3193"/>
      <c r="O710" s="3193"/>
      <c r="P710" s="3193"/>
      <c r="Q710" s="3193"/>
    </row>
    <row r="711" spans="1:17">
      <c r="A711" s="3193"/>
      <c r="B711" s="3"/>
      <c r="C711" s="7018">
        <v>1</v>
      </c>
      <c r="D711" s="7019"/>
      <c r="E711" s="7019">
        <v>7.0000000000000007E-2</v>
      </c>
      <c r="F711" s="7019"/>
      <c r="G711" s="3193"/>
      <c r="H711" s="3"/>
      <c r="I711" s="3"/>
      <c r="J711" s="3193"/>
      <c r="K711" s="3712" t="s">
        <v>115</v>
      </c>
      <c r="L711" s="3713">
        <f>C711/E711</f>
        <v>14.285714285714285</v>
      </c>
      <c r="M711" s="3711"/>
      <c r="N711" s="3193"/>
      <c r="O711" s="3193"/>
      <c r="P711" s="3193"/>
      <c r="Q711" s="3193"/>
    </row>
    <row r="712" spans="1:17">
      <c r="A712" s="3193"/>
      <c r="B712" s="3"/>
      <c r="C712" s="3714"/>
      <c r="D712" s="121"/>
      <c r="E712" s="627"/>
      <c r="F712" s="121"/>
      <c r="G712" s="3193"/>
      <c r="H712" s="3"/>
      <c r="I712" s="3"/>
      <c r="J712" s="3193"/>
      <c r="K712" s="3193"/>
      <c r="L712" s="3193"/>
      <c r="M712" s="3711"/>
      <c r="N712" s="3193"/>
      <c r="O712" s="3193"/>
      <c r="P712" s="3193"/>
      <c r="Q712" s="3193"/>
    </row>
    <row r="713" spans="1:17" ht="15.75">
      <c r="A713" s="3193"/>
      <c r="B713" s="3"/>
      <c r="C713" s="7022" t="s">
        <v>3135</v>
      </c>
      <c r="D713" s="7023"/>
      <c r="E713" s="7023"/>
      <c r="F713" s="7023"/>
      <c r="G713" s="7023"/>
      <c r="H713" s="7023"/>
      <c r="I713" s="7023"/>
      <c r="J713" s="7023"/>
      <c r="K713" s="7023"/>
      <c r="L713" s="7023"/>
      <c r="M713" s="7024"/>
      <c r="N713" s="3193"/>
      <c r="O713" s="3193"/>
      <c r="P713" s="3193"/>
      <c r="Q713" s="3193"/>
    </row>
    <row r="714" spans="1:17" ht="15.75">
      <c r="A714" s="3193"/>
      <c r="B714" s="3"/>
      <c r="C714" s="3715"/>
      <c r="D714" s="3716"/>
      <c r="E714" s="7025" t="s">
        <v>3137</v>
      </c>
      <c r="F714" s="7025"/>
      <c r="G714" s="7025"/>
      <c r="H714" s="7025"/>
      <c r="I714" s="7025"/>
      <c r="J714" s="7025"/>
      <c r="K714" s="7025"/>
      <c r="L714" s="7025"/>
      <c r="M714" s="7026"/>
      <c r="N714" s="3193"/>
      <c r="O714" s="3193"/>
      <c r="P714" s="3193"/>
      <c r="Q714" s="3193"/>
    </row>
    <row r="715" spans="1:17">
      <c r="A715" s="3193"/>
      <c r="B715" s="3"/>
      <c r="C715" s="7008" t="s">
        <v>114</v>
      </c>
      <c r="D715" s="4903"/>
      <c r="E715" s="4904" t="s">
        <v>113</v>
      </c>
      <c r="F715" s="4904"/>
      <c r="G715" s="7016" t="s">
        <v>112</v>
      </c>
      <c r="H715" s="7016"/>
      <c r="I715" s="7016"/>
      <c r="J715" s="3717"/>
      <c r="K715" s="3717"/>
      <c r="L715" s="3717"/>
      <c r="M715" s="7017" t="s">
        <v>111</v>
      </c>
      <c r="N715" s="3193"/>
      <c r="O715" s="3193"/>
      <c r="P715" s="3193"/>
      <c r="Q715" s="3193"/>
    </row>
    <row r="716" spans="1:17">
      <c r="A716" s="3193"/>
      <c r="B716" s="3"/>
      <c r="C716" s="7008"/>
      <c r="D716" s="4903"/>
      <c r="E716" s="4904"/>
      <c r="F716" s="4904"/>
      <c r="G716" s="7016"/>
      <c r="H716" s="7016"/>
      <c r="I716" s="7016"/>
      <c r="J716" s="3717"/>
      <c r="K716" s="3717"/>
      <c r="L716" s="3717"/>
      <c r="M716" s="7017"/>
      <c r="N716" s="3193"/>
      <c r="O716" s="3193"/>
      <c r="P716" s="3193"/>
      <c r="Q716" s="3193"/>
    </row>
    <row r="717" spans="1:17">
      <c r="A717" s="3193"/>
      <c r="B717" s="3"/>
      <c r="C717" s="7018">
        <v>0.9</v>
      </c>
      <c r="D717" s="7019"/>
      <c r="E717" s="7020">
        <v>7</v>
      </c>
      <c r="F717" s="7020"/>
      <c r="G717" s="7021" t="s">
        <v>110</v>
      </c>
      <c r="H717" s="7021"/>
      <c r="I717" s="7021"/>
      <c r="J717" s="3718">
        <f>C717</f>
        <v>0.9</v>
      </c>
      <c r="K717" s="3650" t="s">
        <v>108</v>
      </c>
      <c r="L717" s="3719">
        <f>E717</f>
        <v>7</v>
      </c>
      <c r="M717" s="3720">
        <f>C717/E717</f>
        <v>0.12857142857142859</v>
      </c>
      <c r="N717" s="3193"/>
      <c r="O717" s="3193"/>
      <c r="P717" s="3193"/>
      <c r="Q717" s="3193"/>
    </row>
    <row r="718" spans="1:17">
      <c r="A718" s="3193"/>
      <c r="B718" s="3"/>
      <c r="C718" s="7018">
        <v>3.5</v>
      </c>
      <c r="D718" s="7019"/>
      <c r="E718" s="7020">
        <v>20</v>
      </c>
      <c r="F718" s="7020"/>
      <c r="G718" s="7021" t="s">
        <v>109</v>
      </c>
      <c r="H718" s="7021"/>
      <c r="I718" s="7021"/>
      <c r="J718" s="3718">
        <f>C718</f>
        <v>3.5</v>
      </c>
      <c r="K718" s="3650" t="s">
        <v>108</v>
      </c>
      <c r="L718" s="3719">
        <f>E718</f>
        <v>20</v>
      </c>
      <c r="M718" s="3720">
        <f>C718/E718</f>
        <v>0.17499999999999999</v>
      </c>
      <c r="N718" s="3193"/>
      <c r="O718" s="3193"/>
      <c r="P718" s="3193"/>
      <c r="Q718" s="3193"/>
    </row>
    <row r="719" spans="1:17">
      <c r="A719" s="3193"/>
      <c r="B719" s="3"/>
      <c r="C719" s="3721"/>
      <c r="D719" s="3722"/>
      <c r="E719" s="3491"/>
      <c r="F719" s="3722"/>
      <c r="G719" s="3491"/>
      <c r="H719" s="3722"/>
      <c r="I719" s="3722"/>
      <c r="J719" s="3491"/>
      <c r="K719" s="3491"/>
      <c r="L719" s="3491"/>
      <c r="M719" s="3723"/>
      <c r="N719" s="3193"/>
      <c r="O719" s="3193"/>
      <c r="P719" s="3193"/>
      <c r="Q719" s="3193"/>
    </row>
    <row r="720" spans="1:17">
      <c r="A720" s="3193"/>
      <c r="B720" s="3"/>
      <c r="C720" s="3193"/>
      <c r="D720" s="3193"/>
      <c r="E720" s="3193"/>
      <c r="F720" s="3193"/>
      <c r="G720" s="3193"/>
      <c r="H720" s="3193"/>
      <c r="I720" s="3193"/>
      <c r="J720" s="3193"/>
      <c r="K720" s="3193"/>
      <c r="L720" s="3"/>
      <c r="M720" s="3193"/>
      <c r="N720" s="3193"/>
      <c r="O720" s="3193"/>
      <c r="P720" s="3193"/>
      <c r="Q720" s="3193"/>
    </row>
    <row r="721" spans="1:17" ht="15.75" thickBot="1">
      <c r="A721" s="3193"/>
      <c r="B721" s="3"/>
      <c r="C721" s="3193"/>
      <c r="D721" s="3193"/>
      <c r="E721" s="3193"/>
      <c r="F721" s="3193"/>
      <c r="G721" s="3193"/>
      <c r="H721" s="3193"/>
      <c r="I721" s="3193"/>
      <c r="J721" s="3193"/>
      <c r="K721" s="3193"/>
      <c r="L721" s="3"/>
      <c r="M721" s="3193"/>
      <c r="N721" s="3193"/>
      <c r="O721" s="3193"/>
      <c r="P721" s="3193"/>
      <c r="Q721" s="3193"/>
    </row>
    <row r="722" spans="1:17">
      <c r="A722" s="3193"/>
      <c r="B722" s="3"/>
      <c r="C722" s="7039" t="s">
        <v>107</v>
      </c>
      <c r="D722" s="7040"/>
      <c r="E722" s="7043" t="s">
        <v>106</v>
      </c>
      <c r="F722" s="7043"/>
      <c r="G722" s="7045" t="s">
        <v>105</v>
      </c>
      <c r="H722" s="7046" t="s">
        <v>104</v>
      </c>
      <c r="I722" s="7046"/>
      <c r="J722" s="7046"/>
      <c r="K722" s="7046"/>
      <c r="L722" s="7046"/>
      <c r="M722" s="7047"/>
      <c r="N722" s="3193"/>
      <c r="O722" s="3193"/>
      <c r="P722" s="3193"/>
      <c r="Q722" s="3193"/>
    </row>
    <row r="723" spans="1:17">
      <c r="A723" s="3193"/>
      <c r="B723" s="3"/>
      <c r="C723" s="7041"/>
      <c r="D723" s="7042"/>
      <c r="E723" s="7044"/>
      <c r="F723" s="7044"/>
      <c r="G723" s="4919"/>
      <c r="H723" s="628"/>
      <c r="I723" s="628"/>
      <c r="J723" s="628"/>
      <c r="K723" s="628"/>
      <c r="L723" s="628"/>
      <c r="M723" s="984"/>
      <c r="N723" s="3193"/>
      <c r="O723" s="3193"/>
      <c r="P723" s="3193"/>
      <c r="Q723" s="3193"/>
    </row>
    <row r="724" spans="1:17">
      <c r="A724" s="3193"/>
      <c r="B724" s="3"/>
      <c r="C724" s="7027">
        <v>32</v>
      </c>
      <c r="D724" s="7028"/>
      <c r="E724" s="7029">
        <v>1.45</v>
      </c>
      <c r="F724" s="7029"/>
      <c r="G724" s="7030">
        <f>C724/E724</f>
        <v>22.068965517241381</v>
      </c>
      <c r="H724" s="7031" t="s">
        <v>103</v>
      </c>
      <c r="I724" s="7031"/>
      <c r="J724" s="7031"/>
      <c r="K724" s="7031"/>
      <c r="L724" s="7031"/>
      <c r="M724" s="7032"/>
      <c r="N724" s="3193"/>
      <c r="O724" s="3193"/>
      <c r="P724" s="3193"/>
      <c r="Q724" s="3193"/>
    </row>
    <row r="725" spans="1:17">
      <c r="A725" s="3193"/>
      <c r="B725" s="3"/>
      <c r="C725" s="7027"/>
      <c r="D725" s="7028"/>
      <c r="E725" s="7029"/>
      <c r="F725" s="7029"/>
      <c r="G725" s="7030"/>
      <c r="H725" s="7031"/>
      <c r="I725" s="7031"/>
      <c r="J725" s="7031"/>
      <c r="K725" s="7031"/>
      <c r="L725" s="7031"/>
      <c r="M725" s="7032"/>
      <c r="N725" s="3193"/>
      <c r="O725" s="3193"/>
      <c r="P725" s="3193"/>
      <c r="Q725" s="3193"/>
    </row>
    <row r="726" spans="1:17" ht="15.75">
      <c r="A726" s="3193"/>
      <c r="B726" s="3"/>
      <c r="C726" s="7033" t="s">
        <v>102</v>
      </c>
      <c r="D726" s="7034"/>
      <c r="E726" s="7034"/>
      <c r="F726" s="7034"/>
      <c r="G726" s="7034"/>
      <c r="H726" s="7034"/>
      <c r="I726" s="7034"/>
      <c r="J726" s="7034"/>
      <c r="K726" s="7034"/>
      <c r="L726" s="7034"/>
      <c r="M726" s="7035"/>
      <c r="N726" s="3193"/>
      <c r="O726" s="3193"/>
      <c r="P726" s="3193"/>
      <c r="Q726" s="3193"/>
    </row>
    <row r="727" spans="1:17" ht="15.75">
      <c r="A727" s="3193"/>
      <c r="B727" s="3"/>
      <c r="C727" s="7036">
        <v>32</v>
      </c>
      <c r="D727" s="7037"/>
      <c r="E727" s="7038">
        <v>1.2</v>
      </c>
      <c r="F727" s="7038"/>
      <c r="G727" s="824">
        <f t="shared" ref="G727:G738" si="6">C727/E727</f>
        <v>26.666666666666668</v>
      </c>
      <c r="H727" s="825" t="s">
        <v>101</v>
      </c>
      <c r="I727" s="3724"/>
      <c r="J727" s="3724"/>
      <c r="K727" s="3724"/>
      <c r="L727" s="3725"/>
      <c r="M727" s="3726"/>
      <c r="N727" s="3193"/>
      <c r="O727" s="3193"/>
      <c r="P727" s="3193"/>
      <c r="Q727" s="3193"/>
    </row>
    <row r="728" spans="1:17" ht="15.75">
      <c r="A728" s="3193"/>
      <c r="B728" s="3"/>
      <c r="C728" s="7036">
        <v>12</v>
      </c>
      <c r="D728" s="7037"/>
      <c r="E728" s="7038">
        <v>1</v>
      </c>
      <c r="F728" s="7038"/>
      <c r="G728" s="824">
        <f t="shared" si="6"/>
        <v>12</v>
      </c>
      <c r="H728" s="825" t="s">
        <v>100</v>
      </c>
      <c r="I728" s="3724"/>
      <c r="J728" s="3724"/>
      <c r="K728" s="3724"/>
      <c r="L728" s="3725"/>
      <c r="M728" s="3726"/>
      <c r="N728" s="3193"/>
      <c r="O728" s="3193"/>
      <c r="P728" s="3193"/>
      <c r="Q728" s="3193"/>
    </row>
    <row r="729" spans="1:17" ht="15.75">
      <c r="A729" s="3193"/>
      <c r="B729" s="3"/>
      <c r="C729" s="7036">
        <v>32</v>
      </c>
      <c r="D729" s="7037"/>
      <c r="E729" s="7038">
        <v>2</v>
      </c>
      <c r="F729" s="7038"/>
      <c r="G729" s="824">
        <f t="shared" si="6"/>
        <v>16</v>
      </c>
      <c r="H729" s="825" t="s">
        <v>99</v>
      </c>
      <c r="I729" s="3724"/>
      <c r="J729" s="3724"/>
      <c r="K729" s="3724"/>
      <c r="L729" s="3725"/>
      <c r="M729" s="3726"/>
      <c r="N729" s="3193"/>
      <c r="O729" s="3193"/>
      <c r="P729" s="3193"/>
      <c r="Q729" s="3193"/>
    </row>
    <row r="730" spans="1:17" ht="15.75">
      <c r="A730" s="3193"/>
      <c r="B730" s="3"/>
      <c r="C730" s="7036">
        <v>32</v>
      </c>
      <c r="D730" s="7037"/>
      <c r="E730" s="7038">
        <v>1.2</v>
      </c>
      <c r="F730" s="7038"/>
      <c r="G730" s="824">
        <f t="shared" si="6"/>
        <v>26.666666666666668</v>
      </c>
      <c r="H730" s="825" t="s">
        <v>99</v>
      </c>
      <c r="I730" s="3724"/>
      <c r="J730" s="3724"/>
      <c r="K730" s="3724"/>
      <c r="L730" s="3725"/>
      <c r="M730" s="3726"/>
      <c r="N730" s="3193"/>
      <c r="O730" s="3193"/>
      <c r="P730" s="3193"/>
      <c r="Q730" s="3193"/>
    </row>
    <row r="731" spans="1:17" ht="15.75">
      <c r="A731" s="3193"/>
      <c r="B731" s="3"/>
      <c r="C731" s="7036">
        <v>33</v>
      </c>
      <c r="D731" s="7037"/>
      <c r="E731" s="7038">
        <v>1.3</v>
      </c>
      <c r="F731" s="7038"/>
      <c r="G731" s="824">
        <f t="shared" si="6"/>
        <v>25.384615384615383</v>
      </c>
      <c r="H731" s="825" t="s">
        <v>98</v>
      </c>
      <c r="I731" s="3724"/>
      <c r="J731" s="3724"/>
      <c r="K731" s="3724"/>
      <c r="L731" s="3725"/>
      <c r="M731" s="3726"/>
      <c r="N731" s="3193"/>
      <c r="O731" s="3193"/>
      <c r="P731" s="3193"/>
      <c r="Q731" s="3193"/>
    </row>
    <row r="732" spans="1:17" ht="15.75">
      <c r="A732" s="3193"/>
      <c r="B732" s="3"/>
      <c r="C732" s="7036">
        <v>33</v>
      </c>
      <c r="D732" s="7037"/>
      <c r="E732" s="7038">
        <v>1.5</v>
      </c>
      <c r="F732" s="7038"/>
      <c r="G732" s="824">
        <f t="shared" si="6"/>
        <v>22</v>
      </c>
      <c r="H732" s="825" t="s">
        <v>97</v>
      </c>
      <c r="I732" s="3724"/>
      <c r="J732" s="3724"/>
      <c r="K732" s="3724"/>
      <c r="L732" s="3725"/>
      <c r="M732" s="3726"/>
      <c r="N732" s="3193"/>
      <c r="O732" s="3193"/>
      <c r="P732" s="3193"/>
      <c r="Q732" s="3193"/>
    </row>
    <row r="733" spans="1:17" ht="15.75">
      <c r="A733" s="3193"/>
      <c r="B733" s="3"/>
      <c r="C733" s="7036">
        <v>30</v>
      </c>
      <c r="D733" s="7037"/>
      <c r="E733" s="7038">
        <v>1.2</v>
      </c>
      <c r="F733" s="7038"/>
      <c r="G733" s="824">
        <f t="shared" si="6"/>
        <v>25</v>
      </c>
      <c r="H733" s="825" t="s">
        <v>96</v>
      </c>
      <c r="I733" s="3724"/>
      <c r="J733" s="3724"/>
      <c r="K733" s="3724"/>
      <c r="L733" s="3725"/>
      <c r="M733" s="3726"/>
      <c r="N733" s="3193"/>
      <c r="O733" s="3193"/>
      <c r="P733" s="3193"/>
      <c r="Q733" s="3193"/>
    </row>
    <row r="734" spans="1:17" ht="15.75">
      <c r="A734" s="3193"/>
      <c r="B734" s="3"/>
      <c r="C734" s="7036">
        <v>33</v>
      </c>
      <c r="D734" s="7037"/>
      <c r="E734" s="7038">
        <v>1.6</v>
      </c>
      <c r="F734" s="7038"/>
      <c r="G734" s="824">
        <f t="shared" si="6"/>
        <v>20.625</v>
      </c>
      <c r="H734" s="825" t="s">
        <v>95</v>
      </c>
      <c r="I734" s="3724"/>
      <c r="J734" s="3724"/>
      <c r="K734" s="3724"/>
      <c r="L734" s="3725"/>
      <c r="M734" s="3726"/>
      <c r="N734" s="3193"/>
      <c r="O734" s="3193"/>
      <c r="P734" s="3193"/>
      <c r="Q734" s="3193"/>
    </row>
    <row r="735" spans="1:17" ht="15.75">
      <c r="A735" s="3193"/>
      <c r="B735" s="3"/>
      <c r="C735" s="7036">
        <v>33</v>
      </c>
      <c r="D735" s="7037"/>
      <c r="E735" s="7038">
        <v>2</v>
      </c>
      <c r="F735" s="7038"/>
      <c r="G735" s="824">
        <f t="shared" si="6"/>
        <v>16.5</v>
      </c>
      <c r="H735" s="825" t="s">
        <v>94</v>
      </c>
      <c r="I735" s="3724"/>
      <c r="J735" s="3724"/>
      <c r="K735" s="3724"/>
      <c r="L735" s="3725"/>
      <c r="M735" s="3726"/>
      <c r="N735" s="3193"/>
      <c r="O735" s="3193"/>
      <c r="P735" s="3193"/>
      <c r="Q735" s="3193"/>
    </row>
    <row r="736" spans="1:17" ht="15.75">
      <c r="A736" s="3193"/>
      <c r="B736" s="3"/>
      <c r="C736" s="7036">
        <v>48</v>
      </c>
      <c r="D736" s="7037"/>
      <c r="E736" s="7038">
        <v>6</v>
      </c>
      <c r="F736" s="7038"/>
      <c r="G736" s="824">
        <f t="shared" si="6"/>
        <v>8</v>
      </c>
      <c r="H736" s="825" t="s">
        <v>93</v>
      </c>
      <c r="I736" s="3724"/>
      <c r="J736" s="3724"/>
      <c r="K736" s="3724"/>
      <c r="L736" s="3725"/>
      <c r="M736" s="3726"/>
      <c r="N736" s="3193"/>
      <c r="O736" s="3193"/>
      <c r="P736" s="3193"/>
      <c r="Q736" s="3193"/>
    </row>
    <row r="737" spans="1:17" ht="15.75">
      <c r="A737" s="3193"/>
      <c r="B737" s="3"/>
      <c r="C737" s="7036">
        <v>1</v>
      </c>
      <c r="D737" s="7037"/>
      <c r="E737" s="7038">
        <v>0.25</v>
      </c>
      <c r="F737" s="7038"/>
      <c r="G737" s="824">
        <f t="shared" si="6"/>
        <v>4</v>
      </c>
      <c r="H737" s="825" t="s">
        <v>92</v>
      </c>
      <c r="I737" s="3724"/>
      <c r="J737" s="3724"/>
      <c r="K737" s="3724"/>
      <c r="L737" s="3725"/>
      <c r="M737" s="3726"/>
      <c r="N737" s="3193"/>
      <c r="O737" s="3193"/>
      <c r="P737" s="3193"/>
      <c r="Q737" s="3193"/>
    </row>
    <row r="738" spans="1:17" ht="15.75">
      <c r="A738" s="3193"/>
      <c r="B738" s="3"/>
      <c r="C738" s="7036">
        <v>25</v>
      </c>
      <c r="D738" s="7037"/>
      <c r="E738" s="7038">
        <v>1</v>
      </c>
      <c r="F738" s="7038"/>
      <c r="G738" s="824">
        <f t="shared" si="6"/>
        <v>25</v>
      </c>
      <c r="H738" s="825" t="s">
        <v>91</v>
      </c>
      <c r="I738" s="3724"/>
      <c r="J738" s="3724"/>
      <c r="K738" s="3724"/>
      <c r="L738" s="3725"/>
      <c r="M738" s="3726"/>
      <c r="N738" s="3193"/>
      <c r="O738" s="3193"/>
      <c r="P738" s="3193"/>
      <c r="Q738" s="3193"/>
    </row>
    <row r="739" spans="1:17" ht="15.75">
      <c r="A739" s="3193"/>
      <c r="B739" s="3"/>
      <c r="C739" s="992"/>
      <c r="D739" s="3727"/>
      <c r="E739" s="820"/>
      <c r="F739" s="820"/>
      <c r="G739" s="824"/>
      <c r="H739" s="825"/>
      <c r="I739" s="3724"/>
      <c r="J739" s="3724"/>
      <c r="K739" s="3724"/>
      <c r="L739" s="3725"/>
      <c r="M739" s="3726"/>
      <c r="N739" s="3193"/>
      <c r="O739" s="3193"/>
      <c r="P739" s="3193"/>
      <c r="Q739" s="3193"/>
    </row>
    <row r="740" spans="1:17" ht="15.75">
      <c r="A740" s="3193"/>
      <c r="B740" s="3"/>
      <c r="C740" s="993" t="s">
        <v>90</v>
      </c>
      <c r="D740" s="3727"/>
      <c r="E740" s="820"/>
      <c r="F740" s="820"/>
      <c r="G740" s="824"/>
      <c r="H740" s="825"/>
      <c r="I740" s="3724"/>
      <c r="J740" s="3724"/>
      <c r="K740" s="3724"/>
      <c r="L740" s="3725"/>
      <c r="M740" s="3726"/>
      <c r="N740" s="3193"/>
      <c r="O740" s="3193"/>
      <c r="P740" s="3193"/>
      <c r="Q740" s="3193"/>
    </row>
    <row r="741" spans="1:17">
      <c r="A741" s="3193"/>
      <c r="B741" s="3"/>
      <c r="C741" s="4921" t="s">
        <v>89</v>
      </c>
      <c r="D741" s="4922"/>
      <c r="E741" s="4922"/>
      <c r="F741" s="4922"/>
      <c r="G741" s="4922"/>
      <c r="H741" s="4922"/>
      <c r="I741" s="4922"/>
      <c r="J741" s="4922"/>
      <c r="K741" s="4922"/>
      <c r="L741" s="4922"/>
      <c r="M741" s="4923"/>
      <c r="N741" s="3193"/>
      <c r="O741" s="3193"/>
      <c r="P741" s="3193"/>
      <c r="Q741" s="3193"/>
    </row>
    <row r="742" spans="1:17">
      <c r="A742" s="3193"/>
      <c r="B742" s="3"/>
      <c r="C742" s="4921"/>
      <c r="D742" s="4922"/>
      <c r="E742" s="4922"/>
      <c r="F742" s="4922"/>
      <c r="G742" s="4922"/>
      <c r="H742" s="4922"/>
      <c r="I742" s="4922"/>
      <c r="J742" s="4922"/>
      <c r="K742" s="4922"/>
      <c r="L742" s="4922"/>
      <c r="M742" s="4923"/>
      <c r="N742" s="3193"/>
      <c r="O742" s="3193"/>
      <c r="P742" s="3193"/>
      <c r="Q742" s="3193"/>
    </row>
    <row r="743" spans="1:17" ht="15.75" thickBot="1">
      <c r="A743" s="3193"/>
      <c r="B743" s="3"/>
      <c r="C743" s="7048"/>
      <c r="D743" s="7049"/>
      <c r="E743" s="7049"/>
      <c r="F743" s="7049"/>
      <c r="G743" s="7049"/>
      <c r="H743" s="7049"/>
      <c r="I743" s="7049"/>
      <c r="J743" s="7049"/>
      <c r="K743" s="7049"/>
      <c r="L743" s="7049"/>
      <c r="M743" s="7050"/>
      <c r="N743" s="3193"/>
      <c r="O743" s="3193"/>
      <c r="P743" s="3193"/>
      <c r="Q743" s="3193"/>
    </row>
    <row r="744" spans="1:17">
      <c r="A744" s="3193"/>
      <c r="B744" s="3"/>
      <c r="C744" s="3"/>
      <c r="D744" s="3"/>
      <c r="E744" s="3"/>
      <c r="F744" s="3"/>
      <c r="G744" s="3"/>
      <c r="H744" s="3"/>
      <c r="I744" s="3"/>
      <c r="J744" s="3"/>
      <c r="K744" s="3"/>
      <c r="L744" s="3"/>
      <c r="M744" s="3193"/>
      <c r="N744" s="3193"/>
      <c r="O744" s="3193"/>
      <c r="P744" s="3193"/>
      <c r="Q744" s="3193"/>
    </row>
    <row r="745" spans="1:17">
      <c r="A745" s="3228"/>
      <c r="B745" s="5"/>
      <c r="C745" s="6"/>
      <c r="D745" s="6"/>
      <c r="E745" s="6"/>
      <c r="F745" s="6"/>
      <c r="G745" s="6"/>
      <c r="H745" s="6"/>
      <c r="I745" s="6"/>
      <c r="J745" s="5"/>
      <c r="K745" s="5"/>
      <c r="L745" s="5"/>
      <c r="M745" s="3228"/>
      <c r="N745" s="3228"/>
      <c r="O745" s="3228"/>
      <c r="P745" s="3228"/>
      <c r="Q745" s="3228"/>
    </row>
    <row r="746" spans="1:17">
      <c r="A746" s="3193"/>
      <c r="B746" s="3"/>
      <c r="C746" s="3"/>
      <c r="D746" s="3"/>
      <c r="E746" s="3"/>
      <c r="F746" s="3"/>
      <c r="G746" s="3"/>
      <c r="H746" s="3"/>
      <c r="I746" s="3"/>
      <c r="J746" s="3"/>
      <c r="K746" s="3"/>
      <c r="L746" s="3"/>
      <c r="M746" s="3193"/>
      <c r="N746" s="3193"/>
      <c r="O746" s="3193"/>
      <c r="P746" s="3193"/>
      <c r="Q746" s="3193"/>
    </row>
    <row r="747" spans="1:17" ht="20.25">
      <c r="A747" s="3193"/>
      <c r="B747" s="7051" t="s">
        <v>88</v>
      </c>
      <c r="C747" s="7051"/>
      <c r="D747" s="7051"/>
      <c r="E747" s="7051"/>
      <c r="F747" s="7051"/>
      <c r="G747" s="7051"/>
      <c r="H747" s="7051"/>
      <c r="I747" s="7051"/>
      <c r="J747" s="7051"/>
      <c r="K747" s="7051"/>
      <c r="L747" s="7051"/>
      <c r="M747" s="7051"/>
      <c r="N747" s="7051"/>
      <c r="O747" s="3"/>
      <c r="P747" s="3"/>
      <c r="Q747" s="3"/>
    </row>
    <row r="748" spans="1:17">
      <c r="A748" s="3193"/>
      <c r="B748" s="3728"/>
      <c r="C748" s="3729"/>
      <c r="D748" s="3729"/>
      <c r="E748" s="3729"/>
      <c r="F748" s="3729"/>
      <c r="G748" s="3729"/>
      <c r="H748" s="3729"/>
      <c r="I748" s="3729"/>
      <c r="J748" s="3729"/>
      <c r="K748" s="3729"/>
      <c r="L748" s="3729"/>
      <c r="M748" s="3729"/>
      <c r="N748" s="3730"/>
      <c r="O748" s="3"/>
      <c r="P748" s="3"/>
      <c r="Q748" s="3"/>
    </row>
    <row r="749" spans="1:17" ht="18">
      <c r="A749" s="3193"/>
      <c r="B749" s="7052" t="s">
        <v>87</v>
      </c>
      <c r="C749" s="4707"/>
      <c r="D749" s="4707"/>
      <c r="E749" s="4707"/>
      <c r="F749" s="4707"/>
      <c r="G749" s="4707"/>
      <c r="H749" s="4707"/>
      <c r="I749" s="4707"/>
      <c r="J749" s="4707"/>
      <c r="K749" s="4707"/>
      <c r="L749" s="4707"/>
      <c r="M749" s="4707"/>
      <c r="N749" s="4708"/>
      <c r="O749" s="3"/>
      <c r="P749" s="3"/>
      <c r="Q749" s="3"/>
    </row>
    <row r="750" spans="1:17" ht="18">
      <c r="A750" s="3193"/>
      <c r="B750" s="3731"/>
      <c r="C750" s="117"/>
      <c r="D750" s="117"/>
      <c r="E750" s="117"/>
      <c r="F750" s="117"/>
      <c r="G750" s="117"/>
      <c r="H750" s="117"/>
      <c r="I750" s="117"/>
      <c r="J750" s="117"/>
      <c r="K750" s="117"/>
      <c r="L750" s="117"/>
      <c r="M750" s="117"/>
      <c r="N750" s="116"/>
      <c r="O750" s="3"/>
      <c r="P750" s="3"/>
      <c r="Q750" s="3"/>
    </row>
    <row r="751" spans="1:17" ht="15.75">
      <c r="A751" s="3193"/>
      <c r="B751" s="3732"/>
      <c r="C751" s="3733"/>
      <c r="D751" s="3733"/>
      <c r="E751" s="3734" t="s">
        <v>51</v>
      </c>
      <c r="F751" s="3735">
        <v>250</v>
      </c>
      <c r="G751" s="3735">
        <v>620</v>
      </c>
      <c r="H751" s="3735">
        <v>37</v>
      </c>
      <c r="I751" s="3735">
        <v>14</v>
      </c>
      <c r="J751" s="3685">
        <f>SUM(F751:I751)</f>
        <v>921</v>
      </c>
      <c r="K751" s="3736" t="s">
        <v>50</v>
      </c>
      <c r="L751" s="3737"/>
      <c r="M751" s="3193"/>
      <c r="N751" s="3738"/>
      <c r="O751" s="3"/>
      <c r="P751" s="3"/>
      <c r="Q751" s="3"/>
    </row>
    <row r="752" spans="1:17" ht="15.75">
      <c r="A752" s="3193"/>
      <c r="B752" s="3732"/>
      <c r="C752" s="3733"/>
      <c r="D752" s="3733"/>
      <c r="E752" s="3739" t="s">
        <v>86</v>
      </c>
      <c r="F752" s="3740">
        <v>4.4999999999999998E-2</v>
      </c>
      <c r="G752" s="3740">
        <v>7.0000000000000007E-2</v>
      </c>
      <c r="H752" s="3740">
        <v>0.11</v>
      </c>
      <c r="I752" s="3741">
        <v>0.13</v>
      </c>
      <c r="J752" s="3193"/>
      <c r="K752" s="3742" t="s">
        <v>48</v>
      </c>
      <c r="L752" s="3743">
        <v>25</v>
      </c>
      <c r="M752" s="106" t="s">
        <v>78</v>
      </c>
      <c r="N752" s="3738"/>
      <c r="O752" s="3"/>
      <c r="P752" s="3"/>
      <c r="Q752" s="3"/>
    </row>
    <row r="753" spans="1:17" ht="15.75">
      <c r="A753" s="3193"/>
      <c r="B753" s="3732"/>
      <c r="C753" s="3733"/>
      <c r="D753" s="3733"/>
      <c r="E753" s="105" t="s">
        <v>85</v>
      </c>
      <c r="F753" s="104" t="s">
        <v>64</v>
      </c>
      <c r="G753" s="3744" t="s">
        <v>63</v>
      </c>
      <c r="H753" s="3745" t="s">
        <v>62</v>
      </c>
      <c r="I753" s="3744" t="s">
        <v>61</v>
      </c>
      <c r="J753" s="4709" t="s">
        <v>84</v>
      </c>
      <c r="K753" s="4709"/>
      <c r="L753" s="4709"/>
      <c r="M753" s="3193"/>
      <c r="N753" s="3738"/>
      <c r="O753" s="3"/>
      <c r="P753" s="3"/>
      <c r="Q753" s="3"/>
    </row>
    <row r="754" spans="1:17">
      <c r="A754" s="3193"/>
      <c r="B754" s="3732"/>
      <c r="C754" s="3733"/>
      <c r="D754" s="3733"/>
      <c r="E754" s="3746" t="s">
        <v>83</v>
      </c>
      <c r="F754" s="3747">
        <f>F752*F751</f>
        <v>11.25</v>
      </c>
      <c r="G754" s="3747">
        <f>G752*G751</f>
        <v>43.400000000000006</v>
      </c>
      <c r="H754" s="3747">
        <f>H752*H751</f>
        <v>4.07</v>
      </c>
      <c r="I754" s="99">
        <f>I752*I751</f>
        <v>1.82</v>
      </c>
      <c r="J754" s="98">
        <f>SUM(F754:I754)</f>
        <v>60.540000000000006</v>
      </c>
      <c r="K754" s="98"/>
      <c r="L754" s="3748" t="s">
        <v>82</v>
      </c>
      <c r="M754" s="3193"/>
      <c r="N754" s="3711"/>
      <c r="O754" s="3"/>
      <c r="P754" s="3"/>
      <c r="Q754" s="3"/>
    </row>
    <row r="755" spans="1:17" ht="18">
      <c r="A755" s="3193"/>
      <c r="B755" s="3732"/>
      <c r="C755" s="3733"/>
      <c r="D755" s="3733"/>
      <c r="E755" s="3653" t="s">
        <v>47</v>
      </c>
      <c r="F755" s="3749">
        <f>F754/(100-L752)*100</f>
        <v>15</v>
      </c>
      <c r="G755" s="3749">
        <f>G754/(100-L752)*100</f>
        <v>57.866666666666674</v>
      </c>
      <c r="H755" s="3749">
        <f>H754/(100-L752)*100</f>
        <v>5.4266666666666667</v>
      </c>
      <c r="I755" s="94">
        <f>I754/(100-L752)*100</f>
        <v>2.4266666666666667</v>
      </c>
      <c r="J755" s="93">
        <f>SUM(F755:I755)</f>
        <v>80.72</v>
      </c>
      <c r="K755" s="92"/>
      <c r="L755" s="3686" t="s">
        <v>81</v>
      </c>
      <c r="M755" s="3193"/>
      <c r="N755" s="3711"/>
      <c r="O755" s="3"/>
      <c r="P755" s="3"/>
      <c r="Q755" s="3"/>
    </row>
    <row r="756" spans="1:17">
      <c r="A756" s="3193"/>
      <c r="B756" s="3732"/>
      <c r="C756" s="3733"/>
      <c r="D756" s="3733"/>
      <c r="E756" s="3733"/>
      <c r="F756" s="3733"/>
      <c r="G756" s="3733"/>
      <c r="H756" s="3733"/>
      <c r="I756" s="3733"/>
      <c r="J756" s="89">
        <f>J755-J754</f>
        <v>20.179999999999993</v>
      </c>
      <c r="K756" s="89"/>
      <c r="L756" s="3750" t="s">
        <v>80</v>
      </c>
      <c r="M756" s="3751"/>
      <c r="N756" s="3738"/>
      <c r="O756" s="3"/>
      <c r="P756" s="3"/>
      <c r="Q756" s="3"/>
    </row>
    <row r="757" spans="1:17">
      <c r="A757" s="3193"/>
      <c r="B757" s="3732"/>
      <c r="C757" s="3733"/>
      <c r="D757" s="3733"/>
      <c r="E757" s="3733"/>
      <c r="F757" s="3733"/>
      <c r="G757" s="3733"/>
      <c r="H757" s="3733"/>
      <c r="I757" s="3733"/>
      <c r="J757" s="90">
        <f>(J756/J751)*1000</f>
        <v>21.910966340933761</v>
      </c>
      <c r="K757" s="89"/>
      <c r="L757" s="3750" t="s">
        <v>79</v>
      </c>
      <c r="M757" s="3751"/>
      <c r="N757" s="3738"/>
      <c r="O757" s="3"/>
      <c r="P757" s="3"/>
      <c r="Q757" s="3"/>
    </row>
    <row r="758" spans="1:17">
      <c r="A758" s="3193"/>
      <c r="B758" s="3732"/>
      <c r="C758" s="86" t="s">
        <v>78</v>
      </c>
      <c r="D758" s="3752" t="s">
        <v>77</v>
      </c>
      <c r="E758" s="3733"/>
      <c r="F758" s="3733"/>
      <c r="G758" s="3733"/>
      <c r="H758" s="3733"/>
      <c r="I758" s="3733"/>
      <c r="J758" s="3733"/>
      <c r="K758" s="3733"/>
      <c r="L758" s="3733"/>
      <c r="M758" s="3733"/>
      <c r="N758" s="3738"/>
      <c r="O758" s="3"/>
      <c r="P758" s="3"/>
      <c r="Q758" s="3"/>
    </row>
    <row r="759" spans="1:17">
      <c r="A759" s="3193"/>
      <c r="B759" s="3732"/>
      <c r="C759" s="3753"/>
      <c r="D759" s="3752" t="s">
        <v>76</v>
      </c>
      <c r="E759" s="3733"/>
      <c r="F759" s="3733"/>
      <c r="G759" s="3733"/>
      <c r="H759" s="3733"/>
      <c r="I759" s="3733"/>
      <c r="J759" s="3733"/>
      <c r="K759" s="3733"/>
      <c r="L759" s="3733"/>
      <c r="M759" s="3733"/>
      <c r="N759" s="3738"/>
      <c r="O759" s="3"/>
      <c r="P759" s="3"/>
      <c r="Q759" s="3"/>
    </row>
    <row r="760" spans="1:17">
      <c r="A760" s="3193"/>
      <c r="B760" s="3754"/>
      <c r="C760" s="3642"/>
      <c r="D760" s="3642"/>
      <c r="E760" s="3642"/>
      <c r="F760" s="3642"/>
      <c r="G760" s="3642"/>
      <c r="H760" s="3642"/>
      <c r="I760" s="3642"/>
      <c r="J760" s="3642"/>
      <c r="K760" s="3642"/>
      <c r="L760" s="3642"/>
      <c r="M760" s="3642"/>
      <c r="N760" s="3643"/>
      <c r="O760" s="3"/>
      <c r="P760" s="3"/>
      <c r="Q760" s="3"/>
    </row>
    <row r="761" spans="1:17">
      <c r="A761" s="3193"/>
      <c r="B761" s="3"/>
      <c r="C761" s="3"/>
      <c r="D761" s="3"/>
      <c r="E761" s="3"/>
      <c r="F761" s="3"/>
      <c r="G761" s="3"/>
      <c r="H761" s="3"/>
      <c r="I761" s="3"/>
      <c r="J761" s="3"/>
      <c r="K761" s="3"/>
      <c r="L761" s="3"/>
      <c r="M761" s="3193"/>
      <c r="N761" s="3193"/>
      <c r="O761" s="3193"/>
      <c r="P761" s="3193"/>
      <c r="Q761" s="3193"/>
    </row>
    <row r="762" spans="1:17" ht="15.75" thickBot="1">
      <c r="A762" s="3193"/>
      <c r="B762" s="3"/>
      <c r="C762" s="3"/>
      <c r="D762" s="3"/>
      <c r="E762" s="3"/>
      <c r="F762" s="3"/>
      <c r="G762" s="3"/>
      <c r="H762" s="3"/>
      <c r="I762" s="3"/>
      <c r="J762" s="3"/>
      <c r="K762" s="3"/>
      <c r="L762" s="3"/>
      <c r="M762" s="3193"/>
      <c r="N762" s="3193"/>
      <c r="O762" s="3193"/>
      <c r="P762" s="3193"/>
      <c r="Q762" s="3193"/>
    </row>
    <row r="763" spans="1:17">
      <c r="A763" s="7053" t="s">
        <v>70</v>
      </c>
      <c r="B763" s="7054" t="s">
        <v>75</v>
      </c>
      <c r="C763" s="7055"/>
      <c r="D763" s="7055"/>
      <c r="E763" s="7055"/>
      <c r="F763" s="7055"/>
      <c r="G763" s="7055"/>
      <c r="H763" s="7055"/>
      <c r="I763" s="7055"/>
      <c r="J763" s="7055"/>
      <c r="K763" s="7055"/>
      <c r="L763" s="7055"/>
      <c r="M763" s="7055"/>
      <c r="N763" s="7056">
        <v>1</v>
      </c>
      <c r="O763" s="3193"/>
      <c r="P763" s="3193"/>
      <c r="Q763" s="3193"/>
    </row>
    <row r="764" spans="1:17">
      <c r="A764" s="4874"/>
      <c r="B764" s="4877"/>
      <c r="C764" s="4878"/>
      <c r="D764" s="4878"/>
      <c r="E764" s="4878"/>
      <c r="F764" s="4878"/>
      <c r="G764" s="4878"/>
      <c r="H764" s="4878"/>
      <c r="I764" s="4878"/>
      <c r="J764" s="4878"/>
      <c r="K764" s="4878"/>
      <c r="L764" s="4878"/>
      <c r="M764" s="4878"/>
      <c r="N764" s="4880"/>
      <c r="O764" s="3193"/>
      <c r="P764" s="3193"/>
      <c r="Q764" s="3193"/>
    </row>
    <row r="765" spans="1:17" ht="20.25">
      <c r="A765" s="7057"/>
      <c r="B765" s="7058" t="s">
        <v>68</v>
      </c>
      <c r="C765" s="7059"/>
      <c r="D765" s="7059"/>
      <c r="E765" s="7059"/>
      <c r="F765" s="7059"/>
      <c r="G765" s="7059"/>
      <c r="H765" s="7059"/>
      <c r="I765" s="7059"/>
      <c r="J765" s="7059"/>
      <c r="K765" s="7059"/>
      <c r="L765" s="7059"/>
      <c r="M765" s="7059"/>
      <c r="N765" s="7060"/>
      <c r="O765" s="3193"/>
      <c r="P765" s="3193"/>
      <c r="Q765" s="3193"/>
    </row>
    <row r="766" spans="1:17">
      <c r="A766" s="7057"/>
      <c r="B766" s="7061" t="s">
        <v>74</v>
      </c>
      <c r="C766" s="7062"/>
      <c r="D766" s="7062"/>
      <c r="E766" s="7062"/>
      <c r="F766" s="7062"/>
      <c r="G766" s="7062"/>
      <c r="H766" s="7062"/>
      <c r="I766" s="7062"/>
      <c r="J766" s="7062"/>
      <c r="K766" s="7062"/>
      <c r="L766" s="7062"/>
      <c r="M766" s="7062"/>
      <c r="N766" s="7063"/>
      <c r="O766" s="3193"/>
      <c r="P766" s="3193"/>
      <c r="Q766" s="3193"/>
    </row>
    <row r="767" spans="1:17">
      <c r="A767" s="7057"/>
      <c r="B767" s="7061"/>
      <c r="C767" s="7062"/>
      <c r="D767" s="7062"/>
      <c r="E767" s="7062"/>
      <c r="F767" s="7062"/>
      <c r="G767" s="7062"/>
      <c r="H767" s="7062"/>
      <c r="I767" s="7062"/>
      <c r="J767" s="7062"/>
      <c r="K767" s="7062"/>
      <c r="L767" s="7062"/>
      <c r="M767" s="7062"/>
      <c r="N767" s="7063"/>
      <c r="O767" s="3193"/>
      <c r="P767" s="3193"/>
      <c r="Q767" s="3193"/>
    </row>
    <row r="768" spans="1:17">
      <c r="A768" s="7057"/>
      <c r="B768" s="7061"/>
      <c r="C768" s="7062"/>
      <c r="D768" s="7062"/>
      <c r="E768" s="7062"/>
      <c r="F768" s="7062"/>
      <c r="G768" s="7062"/>
      <c r="H768" s="7062"/>
      <c r="I768" s="7062"/>
      <c r="J768" s="7062"/>
      <c r="K768" s="7062"/>
      <c r="L768" s="7062"/>
      <c r="M768" s="7062"/>
      <c r="N768" s="7063"/>
      <c r="O768" s="3193"/>
      <c r="P768" s="3193"/>
      <c r="Q768" s="3193"/>
    </row>
    <row r="769" spans="1:17">
      <c r="A769" s="7057"/>
      <c r="B769" s="7061"/>
      <c r="C769" s="7062"/>
      <c r="D769" s="7062"/>
      <c r="E769" s="7062"/>
      <c r="F769" s="7062"/>
      <c r="G769" s="7062"/>
      <c r="H769" s="7062"/>
      <c r="I769" s="7062"/>
      <c r="J769" s="7062"/>
      <c r="K769" s="7062"/>
      <c r="L769" s="7062"/>
      <c r="M769" s="7062"/>
      <c r="N769" s="7063"/>
      <c r="O769" s="3193"/>
      <c r="P769" s="3193"/>
      <c r="Q769" s="3193"/>
    </row>
    <row r="770" spans="1:17">
      <c r="A770" s="7057"/>
      <c r="B770" s="4888"/>
      <c r="C770" s="4889"/>
      <c r="D770" s="4889"/>
      <c r="E770" s="4889"/>
      <c r="F770" s="4889"/>
      <c r="G770" s="4889"/>
      <c r="H770" s="4889"/>
      <c r="I770" s="4889"/>
      <c r="J770" s="4889"/>
      <c r="K770" s="4889"/>
      <c r="L770" s="4889"/>
      <c r="M770" s="4889"/>
      <c r="N770" s="4890"/>
      <c r="O770" s="3193"/>
      <c r="P770" s="3193"/>
      <c r="Q770" s="3193"/>
    </row>
    <row r="771" spans="1:17">
      <c r="A771" s="7057"/>
      <c r="B771" s="3755"/>
      <c r="C771" s="3756"/>
      <c r="D771" s="3756"/>
      <c r="E771" s="3756"/>
      <c r="F771" s="3756"/>
      <c r="G771" s="3756"/>
      <c r="H771" s="3756"/>
      <c r="I771" s="3756"/>
      <c r="J771" s="3756"/>
      <c r="K771" s="3756"/>
      <c r="L771" s="7064" t="s">
        <v>55</v>
      </c>
      <c r="M771" s="7064"/>
      <c r="N771" s="3757"/>
      <c r="O771" s="3193"/>
      <c r="P771" s="3193"/>
      <c r="Q771" s="3193"/>
    </row>
    <row r="772" spans="1:17" ht="15.75">
      <c r="A772" s="7057"/>
      <c r="B772" s="3756"/>
      <c r="C772" s="3756"/>
      <c r="D772" s="3756"/>
      <c r="E772" s="3756"/>
      <c r="F772" s="3756"/>
      <c r="G772" s="3756"/>
      <c r="H772" s="3756"/>
      <c r="I772" s="3756"/>
      <c r="J772" s="3756"/>
      <c r="K772" s="3758" t="s">
        <v>52</v>
      </c>
      <c r="L772" s="7072" t="s">
        <v>73</v>
      </c>
      <c r="M772" s="7073"/>
      <c r="N772" s="3757"/>
      <c r="O772" s="3193"/>
      <c r="P772" s="3193"/>
      <c r="Q772" s="3193"/>
    </row>
    <row r="773" spans="1:17">
      <c r="A773" s="7057"/>
      <c r="B773" s="3755"/>
      <c r="C773" s="3756"/>
      <c r="D773" s="3756"/>
      <c r="E773" s="3756"/>
      <c r="F773" s="3756"/>
      <c r="G773" s="3756"/>
      <c r="H773" s="3756"/>
      <c r="I773" s="3756"/>
      <c r="J773" s="3756"/>
      <c r="K773" s="3756"/>
      <c r="L773" s="3756"/>
      <c r="M773" s="3759"/>
      <c r="N773" s="3757"/>
      <c r="O773" s="3193"/>
      <c r="P773" s="3193"/>
      <c r="Q773" s="3193"/>
    </row>
    <row r="774" spans="1:17" ht="18">
      <c r="A774" s="7057"/>
      <c r="B774" s="3755"/>
      <c r="C774" s="3756"/>
      <c r="D774" s="3756"/>
      <c r="E774" s="3756"/>
      <c r="F774" s="3760" t="s">
        <v>65</v>
      </c>
      <c r="G774" s="75" t="s">
        <v>64</v>
      </c>
      <c r="H774" s="3761" t="s">
        <v>63</v>
      </c>
      <c r="I774" s="3762" t="s">
        <v>62</v>
      </c>
      <c r="J774" s="3761" t="s">
        <v>61</v>
      </c>
      <c r="K774" s="3761" t="s">
        <v>60</v>
      </c>
      <c r="L774" s="3756"/>
      <c r="M774" s="3756"/>
      <c r="N774" s="3757"/>
      <c r="O774" s="3193"/>
      <c r="P774" s="3193"/>
      <c r="Q774" s="3193"/>
    </row>
    <row r="775" spans="1:17" ht="18.75">
      <c r="A775" s="7057"/>
      <c r="B775" s="3755"/>
      <c r="C775" s="3756"/>
      <c r="D775" s="3756"/>
      <c r="E775" s="3756"/>
      <c r="F775" s="3763" t="s">
        <v>51</v>
      </c>
      <c r="G775" s="37">
        <v>50</v>
      </c>
      <c r="H775" s="37">
        <v>500</v>
      </c>
      <c r="I775" s="37">
        <v>150</v>
      </c>
      <c r="J775" s="37">
        <v>13</v>
      </c>
      <c r="K775" s="37">
        <v>13</v>
      </c>
      <c r="L775" s="3685">
        <f>SUM(G775:K775)</f>
        <v>726</v>
      </c>
      <c r="M775" s="3764" t="s">
        <v>50</v>
      </c>
      <c r="N775" s="3757"/>
      <c r="O775" s="3193"/>
      <c r="P775" s="3193"/>
      <c r="Q775" s="3193"/>
    </row>
    <row r="776" spans="1:17" ht="18.75">
      <c r="A776" s="7057"/>
      <c r="B776" s="3755"/>
      <c r="C776" s="3756"/>
      <c r="D776" s="3756"/>
      <c r="E776" s="3756"/>
      <c r="F776" s="3765" t="s">
        <v>72</v>
      </c>
      <c r="G776" s="3766">
        <v>0.5</v>
      </c>
      <c r="H776" s="3766">
        <v>1</v>
      </c>
      <c r="I776" s="3766">
        <v>1</v>
      </c>
      <c r="J776" s="3766">
        <v>2</v>
      </c>
      <c r="K776" s="3766">
        <v>1</v>
      </c>
      <c r="L776" s="3767">
        <f>SUM(G776:K776)/COUNTIF(G776:K776,"&gt;0")</f>
        <v>1.1000000000000001</v>
      </c>
      <c r="M776" s="3764" t="s">
        <v>58</v>
      </c>
      <c r="N776" s="3757"/>
      <c r="O776" s="3193"/>
      <c r="P776" s="3193"/>
      <c r="Q776" s="3193"/>
    </row>
    <row r="777" spans="1:17" ht="18">
      <c r="A777" s="7057"/>
      <c r="B777" s="3755"/>
      <c r="C777" s="3756"/>
      <c r="D777" s="3756"/>
      <c r="E777" s="3756"/>
      <c r="F777" s="3768" t="s">
        <v>71</v>
      </c>
      <c r="G777" s="3769">
        <f>G776*G775</f>
        <v>25</v>
      </c>
      <c r="H777" s="70">
        <f>H776*H775</f>
        <v>500</v>
      </c>
      <c r="I777" s="70">
        <f>I776*I775</f>
        <v>150</v>
      </c>
      <c r="J777" s="70">
        <f>J776*J775</f>
        <v>26</v>
      </c>
      <c r="K777" s="70">
        <f>K776*K775</f>
        <v>13</v>
      </c>
      <c r="L777" s="3685">
        <f>SUM(G777:K777)</f>
        <v>714</v>
      </c>
      <c r="M777" s="3764" t="str">
        <f>L772</f>
        <v>pommes</v>
      </c>
      <c r="N777" s="3757"/>
      <c r="O777" s="3193"/>
      <c r="P777" s="3193"/>
      <c r="Q777" s="3193"/>
    </row>
    <row r="778" spans="1:17">
      <c r="A778" s="7057"/>
      <c r="B778" s="3755"/>
      <c r="C778" s="3756"/>
      <c r="D778" s="3756"/>
      <c r="E778" s="3756"/>
      <c r="F778" s="3756"/>
      <c r="G778" s="3770" t="str">
        <f>L772</f>
        <v>pommes</v>
      </c>
      <c r="H778" s="3770" t="str">
        <f>L772</f>
        <v>pommes</v>
      </c>
      <c r="I778" s="3770" t="str">
        <f>L772</f>
        <v>pommes</v>
      </c>
      <c r="J778" s="3770" t="str">
        <f>L772</f>
        <v>pommes</v>
      </c>
      <c r="K778" s="3770" t="str">
        <f>L772</f>
        <v>pommes</v>
      </c>
      <c r="L778" s="3756"/>
      <c r="M778" s="3759"/>
      <c r="N778" s="3757"/>
      <c r="O778" s="3193"/>
      <c r="P778" s="3193"/>
      <c r="Q778" s="3193"/>
    </row>
    <row r="779" spans="1:17" ht="18">
      <c r="A779" s="7057"/>
      <c r="B779" s="3771"/>
      <c r="C779" s="3772" t="s">
        <v>48</v>
      </c>
      <c r="D779" s="3773">
        <v>10</v>
      </c>
      <c r="E779" s="31" t="s">
        <v>44</v>
      </c>
      <c r="F779" s="3774"/>
      <c r="G779" s="3774"/>
      <c r="H779" s="3756"/>
      <c r="I779" s="3756"/>
      <c r="J779" s="3756"/>
      <c r="K779" s="3756"/>
      <c r="L779" s="3756"/>
      <c r="M779" s="3759"/>
      <c r="N779" s="3757"/>
      <c r="O779" s="3193"/>
      <c r="P779" s="3193"/>
      <c r="Q779" s="3193"/>
    </row>
    <row r="780" spans="1:17" ht="18">
      <c r="A780" s="7057"/>
      <c r="B780" s="3755"/>
      <c r="C780" s="3756"/>
      <c r="D780" s="3756"/>
      <c r="E780" s="3756"/>
      <c r="F780" s="3768" t="s">
        <v>47</v>
      </c>
      <c r="G780" s="29">
        <f>G777/(100-D779)*100</f>
        <v>27.777777777777779</v>
      </c>
      <c r="H780" s="29">
        <f>H777/(100-D779)*100</f>
        <v>555.55555555555554</v>
      </c>
      <c r="I780" s="29">
        <f>I777/(100-D779)*100</f>
        <v>166.66666666666669</v>
      </c>
      <c r="J780" s="29">
        <f>J777/(100-D779)*100</f>
        <v>28.888888888888886</v>
      </c>
      <c r="K780" s="29">
        <f>K777/(100-D779)*100</f>
        <v>14.444444444444443</v>
      </c>
      <c r="L780" s="3775">
        <f>SUM(G780:K780)</f>
        <v>793.33333333333337</v>
      </c>
      <c r="M780" s="3764" t="str">
        <f>L772</f>
        <v>pommes</v>
      </c>
      <c r="N780" s="3757"/>
      <c r="O780" s="3193"/>
      <c r="P780" s="3193"/>
      <c r="Q780" s="3193"/>
    </row>
    <row r="781" spans="1:17" ht="18">
      <c r="A781" s="7057"/>
      <c r="B781" s="3755"/>
      <c r="C781" s="3756"/>
      <c r="D781" s="3756"/>
      <c r="E781" s="3756"/>
      <c r="F781" s="3768"/>
      <c r="G781" s="3776" t="str">
        <f>L772</f>
        <v>pommes</v>
      </c>
      <c r="H781" s="3776" t="str">
        <f>L772</f>
        <v>pommes</v>
      </c>
      <c r="I781" s="3776" t="str">
        <f>L772</f>
        <v>pommes</v>
      </c>
      <c r="J781" s="3776" t="str">
        <f>L772</f>
        <v>pommes</v>
      </c>
      <c r="K781" s="3776" t="str">
        <f>L772</f>
        <v>pommes</v>
      </c>
      <c r="L781" s="3685"/>
      <c r="M781" s="3764"/>
      <c r="N781" s="3757"/>
      <c r="O781" s="3193"/>
      <c r="P781" s="3193"/>
      <c r="Q781" s="3193"/>
    </row>
    <row r="782" spans="1:17">
      <c r="A782" s="7057"/>
      <c r="B782" s="3777"/>
      <c r="C782" s="3778"/>
      <c r="D782" s="3778"/>
      <c r="E782" s="3778"/>
      <c r="F782" s="3778"/>
      <c r="G782" s="3778"/>
      <c r="H782" s="3778"/>
      <c r="I782" s="3778"/>
      <c r="J782" s="3778"/>
      <c r="K782" s="3778"/>
      <c r="L782" s="3778"/>
      <c r="M782" s="3778"/>
      <c r="N782" s="3779"/>
      <c r="O782" s="3193"/>
      <c r="P782" s="3193"/>
      <c r="Q782" s="3193"/>
    </row>
    <row r="783" spans="1:17" ht="18.75">
      <c r="A783" s="7057"/>
      <c r="B783" s="58" t="s">
        <v>55</v>
      </c>
      <c r="C783" s="3780" t="s">
        <v>43</v>
      </c>
      <c r="D783" s="16"/>
      <c r="E783" s="16"/>
      <c r="F783" s="16"/>
      <c r="G783" s="16"/>
      <c r="H783" s="16"/>
      <c r="I783" s="16"/>
      <c r="J783" s="16"/>
      <c r="K783" s="16"/>
      <c r="L783" s="16"/>
      <c r="M783" s="16"/>
      <c r="N783" s="15"/>
      <c r="O783" s="3193"/>
      <c r="P783" s="3193"/>
      <c r="Q783" s="3193"/>
    </row>
    <row r="784" spans="1:17" ht="18.75">
      <c r="A784" s="7057"/>
      <c r="B784" s="14"/>
      <c r="C784" s="7072" t="s">
        <v>39</v>
      </c>
      <c r="D784" s="7073"/>
      <c r="E784" s="3781"/>
      <c r="F784" s="7072" t="s">
        <v>42</v>
      </c>
      <c r="G784" s="7073"/>
      <c r="H784" s="3781"/>
      <c r="I784" s="7072" t="s">
        <v>41</v>
      </c>
      <c r="J784" s="7073"/>
      <c r="K784" s="3781"/>
      <c r="L784" s="7072" t="s">
        <v>40</v>
      </c>
      <c r="M784" s="7073"/>
      <c r="N784" s="3782"/>
      <c r="O784" s="3193"/>
      <c r="P784" s="3193"/>
      <c r="Q784" s="3193"/>
    </row>
    <row r="785" spans="1:17" ht="18.75">
      <c r="A785" s="7057"/>
      <c r="B785" s="56" t="s">
        <v>44</v>
      </c>
      <c r="C785" s="3783" t="s">
        <v>45</v>
      </c>
      <c r="D785" s="3781"/>
      <c r="E785" s="3781"/>
      <c r="F785" s="3781"/>
      <c r="G785" s="3781"/>
      <c r="H785" s="3781"/>
      <c r="I785" s="3781"/>
      <c r="J785" s="3781"/>
      <c r="K785" s="3781"/>
      <c r="L785" s="3781"/>
      <c r="M785" s="3781"/>
      <c r="N785" s="3782"/>
      <c r="O785" s="3193"/>
      <c r="P785" s="3193"/>
      <c r="Q785" s="3193"/>
    </row>
    <row r="786" spans="1:17">
      <c r="A786" s="7057"/>
      <c r="B786" s="7074" t="s">
        <v>38</v>
      </c>
      <c r="C786" s="7075"/>
      <c r="D786" s="7075"/>
      <c r="E786" s="7075"/>
      <c r="F786" s="7075"/>
      <c r="G786" s="7075"/>
      <c r="H786" s="7075"/>
      <c r="I786" s="7075"/>
      <c r="J786" s="7075"/>
      <c r="K786" s="7075"/>
      <c r="L786" s="7075"/>
      <c r="M786" s="7075"/>
      <c r="N786" s="7076"/>
      <c r="O786" s="3193"/>
      <c r="P786" s="3193"/>
      <c r="Q786" s="3193"/>
    </row>
    <row r="787" spans="1:17">
      <c r="A787" s="7057"/>
      <c r="B787" s="7077"/>
      <c r="C787" s="7078"/>
      <c r="D787" s="7078"/>
      <c r="E787" s="7078"/>
      <c r="F787" s="7078"/>
      <c r="G787" s="7078"/>
      <c r="H787" s="7078"/>
      <c r="I787" s="7078"/>
      <c r="J787" s="7078"/>
      <c r="K787" s="7078"/>
      <c r="L787" s="7078"/>
      <c r="M787" s="7078"/>
      <c r="N787" s="7079"/>
      <c r="O787" s="3193"/>
      <c r="P787" s="3193"/>
      <c r="Q787" s="3193"/>
    </row>
    <row r="788" spans="1:17">
      <c r="A788" s="7057"/>
      <c r="B788" s="3784" t="s">
        <v>37</v>
      </c>
      <c r="C788" s="7065" t="str">
        <f ca="1">CELL("nomfichier")</f>
        <v>D:\Données\Copie_ancien_DD\0-UPRT.fait\1-UPRT.FR-SITE-WEB\ff-fiches-fabrications\ff-fiches-fabrication-maj-08-2020\[ff-22-formats-formules-pourcentages.xlsx]Epurer.un.texte</v>
      </c>
      <c r="D788" s="7065"/>
      <c r="E788" s="7065"/>
      <c r="F788" s="7065"/>
      <c r="G788" s="7065"/>
      <c r="H788" s="7065"/>
      <c r="I788" s="7065"/>
      <c r="J788" s="7065"/>
      <c r="K788" s="7065"/>
      <c r="L788" s="7065"/>
      <c r="M788" s="7065"/>
      <c r="N788" s="7066"/>
      <c r="O788" s="3193"/>
      <c r="P788" s="3193"/>
      <c r="Q788" s="3193"/>
    </row>
    <row r="789" spans="1:17">
      <c r="A789" s="7057"/>
      <c r="B789" s="3785" t="s">
        <v>36</v>
      </c>
      <c r="C789" s="7067" t="s">
        <v>35</v>
      </c>
      <c r="D789" s="7067"/>
      <c r="E789" s="7067"/>
      <c r="F789" s="7067"/>
      <c r="G789" s="7067"/>
      <c r="H789" s="7067"/>
      <c r="I789" s="7067"/>
      <c r="J789" s="7067"/>
      <c r="K789" s="7067"/>
      <c r="L789" s="7067"/>
      <c r="M789" s="7067"/>
      <c r="N789" s="7068"/>
      <c r="O789" s="3193"/>
      <c r="P789" s="3193"/>
      <c r="Q789" s="3193"/>
    </row>
    <row r="790" spans="1:17" ht="15.75" thickBot="1">
      <c r="A790" s="7057"/>
      <c r="B790" s="7069" t="s">
        <v>34</v>
      </c>
      <c r="C790" s="7070"/>
      <c r="D790" s="7070"/>
      <c r="E790" s="7070"/>
      <c r="F790" s="7070"/>
      <c r="G790" s="7070"/>
      <c r="H790" s="7070"/>
      <c r="I790" s="7070"/>
      <c r="J790" s="7070"/>
      <c r="K790" s="7070"/>
      <c r="L790" s="7070"/>
      <c r="M790" s="7070"/>
      <c r="N790" s="7071"/>
      <c r="O790" s="3193"/>
      <c r="P790" s="3193"/>
      <c r="Q790" s="3193"/>
    </row>
    <row r="791" spans="1:17" ht="39.75" customHeight="1" thickBot="1">
      <c r="O791" s="3193"/>
      <c r="P791" s="3193"/>
      <c r="Q791" s="3193"/>
    </row>
    <row r="792" spans="1:17">
      <c r="A792" s="7053" t="s">
        <v>70</v>
      </c>
      <c r="B792" s="7054" t="s">
        <v>69</v>
      </c>
      <c r="C792" s="7055"/>
      <c r="D792" s="7055"/>
      <c r="E792" s="7055"/>
      <c r="F792" s="7055"/>
      <c r="G792" s="7055"/>
      <c r="H792" s="7055"/>
      <c r="I792" s="7055"/>
      <c r="J792" s="7055"/>
      <c r="K792" s="7055"/>
      <c r="L792" s="7055"/>
      <c r="M792" s="7055"/>
      <c r="N792" s="7056">
        <v>2</v>
      </c>
      <c r="O792" s="3193"/>
      <c r="P792" s="3193"/>
      <c r="Q792" s="3193"/>
    </row>
    <row r="793" spans="1:17">
      <c r="A793" s="4874"/>
      <c r="B793" s="4877"/>
      <c r="C793" s="4878"/>
      <c r="D793" s="4878"/>
      <c r="E793" s="4878"/>
      <c r="F793" s="4878"/>
      <c r="G793" s="4878"/>
      <c r="H793" s="4878"/>
      <c r="I793" s="4878"/>
      <c r="J793" s="4878"/>
      <c r="K793" s="4878"/>
      <c r="L793" s="4878"/>
      <c r="M793" s="4878"/>
      <c r="N793" s="4880"/>
      <c r="O793" s="3193"/>
      <c r="P793" s="3193"/>
      <c r="Q793" s="3193"/>
    </row>
    <row r="794" spans="1:17" ht="20.25">
      <c r="A794" s="7057"/>
      <c r="B794" s="7058" t="s">
        <v>68</v>
      </c>
      <c r="C794" s="7059"/>
      <c r="D794" s="7059"/>
      <c r="E794" s="7059"/>
      <c r="F794" s="7059"/>
      <c r="G794" s="7059"/>
      <c r="H794" s="7059"/>
      <c r="I794" s="7059"/>
      <c r="J794" s="7059"/>
      <c r="K794" s="7059"/>
      <c r="L794" s="7059"/>
      <c r="M794" s="7059"/>
      <c r="N794" s="7060"/>
      <c r="O794" s="3193"/>
      <c r="P794" s="3193"/>
      <c r="Q794" s="3193"/>
    </row>
    <row r="795" spans="1:17">
      <c r="A795" s="7057"/>
      <c r="B795" s="7061" t="s">
        <v>67</v>
      </c>
      <c r="C795" s="7062"/>
      <c r="D795" s="7062"/>
      <c r="E795" s="7062"/>
      <c r="F795" s="7062"/>
      <c r="G795" s="7062"/>
      <c r="H795" s="7062"/>
      <c r="I795" s="7062"/>
      <c r="J795" s="7062"/>
      <c r="K795" s="7062"/>
      <c r="L795" s="7062"/>
      <c r="M795" s="7062"/>
      <c r="N795" s="7063"/>
      <c r="O795" s="3193"/>
      <c r="P795" s="3193"/>
      <c r="Q795" s="3193"/>
    </row>
    <row r="796" spans="1:17">
      <c r="A796" s="7057"/>
      <c r="B796" s="7061"/>
      <c r="C796" s="7062"/>
      <c r="D796" s="7062"/>
      <c r="E796" s="7062"/>
      <c r="F796" s="7062"/>
      <c r="G796" s="7062"/>
      <c r="H796" s="7062"/>
      <c r="I796" s="7062"/>
      <c r="J796" s="7062"/>
      <c r="K796" s="7062"/>
      <c r="L796" s="7062"/>
      <c r="M796" s="7062"/>
      <c r="N796" s="7063"/>
      <c r="O796" s="3193"/>
      <c r="P796" s="3193"/>
      <c r="Q796" s="3193"/>
    </row>
    <row r="797" spans="1:17">
      <c r="A797" s="7057"/>
      <c r="B797" s="7061"/>
      <c r="C797" s="7062"/>
      <c r="D797" s="7062"/>
      <c r="E797" s="7062"/>
      <c r="F797" s="7062"/>
      <c r="G797" s="7062"/>
      <c r="H797" s="7062"/>
      <c r="I797" s="7062"/>
      <c r="J797" s="7062"/>
      <c r="K797" s="7062"/>
      <c r="L797" s="7062"/>
      <c r="M797" s="7062"/>
      <c r="N797" s="7063"/>
      <c r="O797" s="3193"/>
      <c r="P797" s="3193"/>
      <c r="Q797" s="3193"/>
    </row>
    <row r="798" spans="1:17">
      <c r="A798" s="7057"/>
      <c r="B798" s="7061"/>
      <c r="C798" s="7062"/>
      <c r="D798" s="7062"/>
      <c r="E798" s="7062"/>
      <c r="F798" s="7062"/>
      <c r="G798" s="7062"/>
      <c r="H798" s="7062"/>
      <c r="I798" s="7062"/>
      <c r="J798" s="7062"/>
      <c r="K798" s="7062"/>
      <c r="L798" s="7062"/>
      <c r="M798" s="7062"/>
      <c r="N798" s="7063"/>
      <c r="O798" s="3193"/>
      <c r="P798" s="3193"/>
      <c r="Q798" s="3193"/>
    </row>
    <row r="799" spans="1:17">
      <c r="A799" s="7057"/>
      <c r="B799" s="4888"/>
      <c r="C799" s="4889"/>
      <c r="D799" s="4889"/>
      <c r="E799" s="4889"/>
      <c r="F799" s="4889"/>
      <c r="G799" s="4889"/>
      <c r="H799" s="4889"/>
      <c r="I799" s="4889"/>
      <c r="J799" s="4889"/>
      <c r="K799" s="4889"/>
      <c r="L799" s="4889"/>
      <c r="M799" s="4889"/>
      <c r="N799" s="4890"/>
      <c r="O799" s="3193"/>
      <c r="P799" s="3193"/>
      <c r="Q799" s="3193"/>
    </row>
    <row r="800" spans="1:17">
      <c r="A800" s="7057"/>
      <c r="B800" s="3786"/>
      <c r="C800" s="3787"/>
      <c r="D800" s="3787"/>
      <c r="E800" s="3787"/>
      <c r="F800" s="3787"/>
      <c r="G800" s="3787"/>
      <c r="H800" s="3787"/>
      <c r="I800" s="3787"/>
      <c r="J800" s="3787"/>
      <c r="K800" s="3787"/>
      <c r="L800" s="4891" t="s">
        <v>55</v>
      </c>
      <c r="M800" s="4891"/>
      <c r="N800" s="3788"/>
      <c r="O800" s="3193"/>
      <c r="P800" s="3193"/>
      <c r="Q800" s="3193"/>
    </row>
    <row r="801" spans="1:17" ht="18">
      <c r="A801" s="7057"/>
      <c r="B801" s="3786"/>
      <c r="C801" s="3787"/>
      <c r="D801" s="3787"/>
      <c r="E801" s="3787"/>
      <c r="F801" s="3787"/>
      <c r="G801" s="3787"/>
      <c r="H801" s="3787"/>
      <c r="I801" s="3787"/>
      <c r="K801" s="3768" t="s">
        <v>66</v>
      </c>
      <c r="L801" s="7084">
        <v>2.4</v>
      </c>
      <c r="M801" s="7084"/>
      <c r="N801" s="3788"/>
      <c r="O801" s="3193"/>
      <c r="P801" s="3193"/>
      <c r="Q801" s="3193"/>
    </row>
    <row r="802" spans="1:17">
      <c r="A802" s="7057"/>
      <c r="B802" s="3789"/>
      <c r="C802" s="3790"/>
      <c r="D802" s="3790"/>
      <c r="E802" s="3790"/>
      <c r="F802" s="3787"/>
      <c r="G802" s="3787"/>
      <c r="H802" s="3787"/>
      <c r="I802" s="3787"/>
      <c r="J802" s="3787"/>
      <c r="K802" s="3791"/>
      <c r="L802" s="7084"/>
      <c r="M802" s="7084"/>
      <c r="N802" s="3788"/>
      <c r="O802" s="3193"/>
      <c r="P802" s="3193"/>
      <c r="Q802" s="3193"/>
    </row>
    <row r="803" spans="1:17">
      <c r="A803" s="7057"/>
      <c r="B803" s="3786"/>
      <c r="C803" s="3787"/>
      <c r="D803" s="3787"/>
      <c r="E803" s="3787"/>
      <c r="F803" s="3787"/>
      <c r="G803" s="3787"/>
      <c r="H803" s="3787"/>
      <c r="I803" s="3787"/>
      <c r="J803" s="3787"/>
      <c r="K803" s="3787"/>
      <c r="L803" s="3787"/>
      <c r="M803" s="3787"/>
      <c r="N803" s="3788"/>
      <c r="O803" s="3193"/>
      <c r="P803" s="3193"/>
      <c r="Q803" s="3193"/>
    </row>
    <row r="804" spans="1:17" ht="18">
      <c r="A804" s="7057"/>
      <c r="B804" s="3786"/>
      <c r="C804" s="3787"/>
      <c r="D804" s="3787"/>
      <c r="E804" s="3787"/>
      <c r="F804" s="3792" t="s">
        <v>65</v>
      </c>
      <c r="G804" s="3793" t="s">
        <v>64</v>
      </c>
      <c r="H804" s="3793" t="s">
        <v>63</v>
      </c>
      <c r="I804" s="3794" t="s">
        <v>62</v>
      </c>
      <c r="J804" s="3793" t="s">
        <v>61</v>
      </c>
      <c r="K804" s="3793" t="s">
        <v>60</v>
      </c>
      <c r="L804" s="3787"/>
      <c r="M804" s="3787"/>
      <c r="N804" s="3788"/>
      <c r="O804" s="3193"/>
      <c r="P804" s="3193"/>
      <c r="Q804" s="3193"/>
    </row>
    <row r="805" spans="1:17" ht="18">
      <c r="A805" s="7057"/>
      <c r="B805" s="3786"/>
      <c r="C805" s="3787"/>
      <c r="D805" s="3787"/>
      <c r="E805" s="3787"/>
      <c r="F805" s="3765" t="s">
        <v>59</v>
      </c>
      <c r="G805" s="3795">
        <v>0.05</v>
      </c>
      <c r="H805" s="3795">
        <v>0.08</v>
      </c>
      <c r="I805" s="3795">
        <v>0.11</v>
      </c>
      <c r="J805" s="3795">
        <v>0.125</v>
      </c>
      <c r="K805" s="3795">
        <v>7.0000000000000007E-2</v>
      </c>
      <c r="L805" s="3767">
        <f>SUM(G805:K805)/COUNTIF(G805:K805,"&gt;0")</f>
        <v>8.6999999999999994E-2</v>
      </c>
      <c r="M805" s="3764" t="s">
        <v>58</v>
      </c>
      <c r="N805" s="3788"/>
      <c r="O805" s="3193"/>
      <c r="P805" s="3193"/>
      <c r="Q805" s="3193"/>
    </row>
    <row r="806" spans="1:17" ht="18.75">
      <c r="A806" s="7057"/>
      <c r="B806" s="3786"/>
      <c r="C806" s="3787"/>
      <c r="D806" s="3787"/>
      <c r="E806" s="3787"/>
      <c r="F806" s="3768" t="s">
        <v>57</v>
      </c>
      <c r="G806" s="3796">
        <f>L801/G805</f>
        <v>47.999999999999993</v>
      </c>
      <c r="H806" s="3796">
        <f>L801/H805</f>
        <v>30</v>
      </c>
      <c r="I806" s="3796">
        <f>L801/I805</f>
        <v>21.818181818181817</v>
      </c>
      <c r="J806" s="3796">
        <f>L801/J805</f>
        <v>19.2</v>
      </c>
      <c r="K806" s="3796">
        <f>L801/K805</f>
        <v>34.285714285714285</v>
      </c>
      <c r="L806" s="3686" t="s">
        <v>56</v>
      </c>
      <c r="M806" s="3764"/>
      <c r="N806" s="3788"/>
      <c r="O806" s="3193"/>
      <c r="P806" s="3193"/>
      <c r="Q806" s="3193"/>
    </row>
    <row r="807" spans="1:17" ht="18.75">
      <c r="A807" s="7057"/>
      <c r="B807" s="45" t="s">
        <v>55</v>
      </c>
      <c r="C807" s="44" t="s">
        <v>54</v>
      </c>
      <c r="D807" s="3787"/>
      <c r="E807" s="3787"/>
      <c r="F807" s="3768"/>
      <c r="G807" s="3797"/>
      <c r="H807" s="3797"/>
      <c r="I807" s="3797"/>
      <c r="J807" s="3797"/>
      <c r="K807" s="3797"/>
      <c r="L807" s="3686"/>
      <c r="M807" s="3764"/>
      <c r="N807" s="3788"/>
      <c r="O807" s="3193"/>
      <c r="P807" s="3193"/>
      <c r="Q807" s="3193"/>
    </row>
    <row r="808" spans="1:17">
      <c r="A808" s="7057"/>
      <c r="B808" s="4895" t="s">
        <v>53</v>
      </c>
      <c r="C808" s="4896"/>
      <c r="D808" s="4896"/>
      <c r="E808" s="4896"/>
      <c r="F808" s="4896"/>
      <c r="G808" s="4896"/>
      <c r="H808" s="4896"/>
      <c r="I808" s="4896"/>
      <c r="J808" s="4896"/>
      <c r="K808" s="4896"/>
      <c r="L808" s="4896"/>
      <c r="M808" s="4896"/>
      <c r="N808" s="4897"/>
      <c r="O808" s="3193"/>
      <c r="P808" s="3193"/>
      <c r="Q808" s="3193"/>
    </row>
    <row r="809" spans="1:17" ht="15.75">
      <c r="A809" s="7057"/>
      <c r="B809" s="3798"/>
      <c r="C809" s="3799"/>
      <c r="D809" s="3799"/>
      <c r="E809" s="3799"/>
      <c r="F809" s="3787"/>
      <c r="G809" s="3787"/>
      <c r="H809" s="3685"/>
      <c r="I809" s="3685"/>
      <c r="J809" s="3685"/>
      <c r="K809" s="3685"/>
      <c r="L809" s="4898" t="s">
        <v>44</v>
      </c>
      <c r="M809" s="4898"/>
      <c r="N809" s="3788"/>
      <c r="O809" s="3193"/>
      <c r="P809" s="3193"/>
      <c r="Q809" s="3193"/>
    </row>
    <row r="810" spans="1:17" ht="15.75">
      <c r="A810" s="7057"/>
      <c r="B810" s="3798"/>
      <c r="C810" s="3799"/>
      <c r="D810" s="3799"/>
      <c r="E810" s="3799"/>
      <c r="F810" s="3787"/>
      <c r="G810" s="3787"/>
      <c r="H810" s="3685"/>
      <c r="I810" s="3685"/>
      <c r="J810" s="3685"/>
      <c r="K810" s="3800" t="s">
        <v>52</v>
      </c>
      <c r="L810" s="7082" t="s">
        <v>42</v>
      </c>
      <c r="M810" s="7083"/>
      <c r="N810" s="3788"/>
      <c r="O810" s="3193"/>
      <c r="P810" s="3193"/>
      <c r="Q810" s="3193"/>
    </row>
    <row r="811" spans="1:17" ht="18">
      <c r="A811" s="7057"/>
      <c r="B811" s="3786"/>
      <c r="C811" s="3787"/>
      <c r="D811" s="3685"/>
      <c r="E811" s="3685"/>
      <c r="F811" s="3685"/>
      <c r="G811" s="3685"/>
      <c r="H811" s="3685"/>
      <c r="I811" s="3685"/>
      <c r="J811" s="3685"/>
      <c r="K811" s="3685"/>
      <c r="L811" s="3685"/>
      <c r="M811" s="3764"/>
      <c r="N811" s="3788"/>
      <c r="O811" s="3193"/>
      <c r="P811" s="3193"/>
      <c r="Q811" s="3193"/>
    </row>
    <row r="812" spans="1:17" ht="18.75">
      <c r="A812" s="7057"/>
      <c r="B812" s="3786"/>
      <c r="C812" s="3787"/>
      <c r="D812" s="3787"/>
      <c r="E812" s="3787"/>
      <c r="F812" s="3763" t="s">
        <v>51</v>
      </c>
      <c r="G812" s="37">
        <v>50</v>
      </c>
      <c r="H812" s="37">
        <v>500</v>
      </c>
      <c r="I812" s="37">
        <v>150</v>
      </c>
      <c r="J812" s="37">
        <v>13</v>
      </c>
      <c r="K812" s="37">
        <v>13</v>
      </c>
      <c r="L812" s="3685">
        <f>SUM(G812:K812)</f>
        <v>726</v>
      </c>
      <c r="M812" s="3764" t="s">
        <v>50</v>
      </c>
      <c r="N812" s="3788"/>
      <c r="O812" s="3193"/>
      <c r="P812" s="3193"/>
      <c r="Q812" s="3193"/>
    </row>
    <row r="813" spans="1:17" ht="18.75">
      <c r="A813" s="7057"/>
      <c r="B813" s="3786"/>
      <c r="C813" s="3787"/>
      <c r="D813" s="3787"/>
      <c r="E813" s="3787"/>
      <c r="F813" s="3768" t="s">
        <v>49</v>
      </c>
      <c r="G813" s="3801">
        <f>G805*G812</f>
        <v>2.5</v>
      </c>
      <c r="H813" s="3801">
        <f>H805*H812</f>
        <v>40</v>
      </c>
      <c r="I813" s="3801">
        <f>I805*I812</f>
        <v>16.5</v>
      </c>
      <c r="J813" s="3801">
        <f>J805*J812</f>
        <v>1.625</v>
      </c>
      <c r="K813" s="3801">
        <f>K805*K812</f>
        <v>0.91000000000000014</v>
      </c>
      <c r="L813" s="3685">
        <f>SUM(G813:K813)</f>
        <v>61.534999999999997</v>
      </c>
      <c r="M813" s="3764" t="str">
        <f>L810</f>
        <v>Kg</v>
      </c>
      <c r="N813" s="3788"/>
      <c r="O813" s="3193"/>
      <c r="P813" s="3193"/>
      <c r="Q813" s="3193"/>
    </row>
    <row r="814" spans="1:17">
      <c r="A814" s="7057"/>
      <c r="B814" s="3786"/>
      <c r="C814" s="3787"/>
      <c r="D814" s="3787"/>
      <c r="E814" s="3787"/>
      <c r="F814" s="3787"/>
      <c r="G814" s="3770" t="str">
        <f>L810</f>
        <v>Kg</v>
      </c>
      <c r="H814" s="3770" t="str">
        <f>L810</f>
        <v>Kg</v>
      </c>
      <c r="I814" s="3770" t="str">
        <f>L810</f>
        <v>Kg</v>
      </c>
      <c r="J814" s="3770" t="str">
        <f>L810</f>
        <v>Kg</v>
      </c>
      <c r="K814" s="3770" t="str">
        <f>L810</f>
        <v>Kg</v>
      </c>
      <c r="L814" s="3787"/>
      <c r="M814" s="3802"/>
      <c r="N814" s="3788"/>
      <c r="O814" s="3193"/>
      <c r="P814" s="3193"/>
      <c r="Q814" s="3193"/>
    </row>
    <row r="815" spans="1:17" ht="18">
      <c r="A815" s="7057"/>
      <c r="B815" s="3361"/>
      <c r="C815" s="3772" t="s">
        <v>48</v>
      </c>
      <c r="D815" s="3773">
        <v>50</v>
      </c>
      <c r="E815" s="31" t="s">
        <v>46</v>
      </c>
      <c r="H815" s="3787"/>
      <c r="I815" s="3787"/>
      <c r="J815" s="3787"/>
      <c r="K815" s="3787"/>
      <c r="L815" s="3787"/>
      <c r="M815" s="3802"/>
      <c r="N815" s="3788"/>
      <c r="O815" s="3193"/>
      <c r="P815" s="3193"/>
      <c r="Q815" s="3193"/>
    </row>
    <row r="816" spans="1:17" ht="18">
      <c r="A816" s="7057"/>
      <c r="B816" s="3786"/>
      <c r="C816" s="3787"/>
      <c r="D816" s="3787"/>
      <c r="E816" s="3787"/>
      <c r="F816" s="3768" t="s">
        <v>47</v>
      </c>
      <c r="G816" s="29">
        <f>G813/(100-D815)*100</f>
        <v>5</v>
      </c>
      <c r="H816" s="29">
        <f>H813/(100-D815)*100</f>
        <v>80</v>
      </c>
      <c r="I816" s="29">
        <f>I813/(100-D815)*100</f>
        <v>33</v>
      </c>
      <c r="J816" s="29">
        <f>J813/(100-D815)*100</f>
        <v>3.25</v>
      </c>
      <c r="K816" s="29">
        <f>K813/(100-D815)*100</f>
        <v>1.8200000000000005</v>
      </c>
      <c r="L816" s="3685">
        <f>SUM(G816:K816)</f>
        <v>123.07000000000001</v>
      </c>
      <c r="M816" s="3764" t="str">
        <f>L810</f>
        <v>Kg</v>
      </c>
      <c r="N816" s="3788"/>
      <c r="O816" s="3193"/>
      <c r="P816" s="3193"/>
      <c r="Q816" s="3193"/>
    </row>
    <row r="817" spans="1:17" ht="18">
      <c r="A817" s="7057"/>
      <c r="B817" s="3786"/>
      <c r="C817" s="3787"/>
      <c r="D817" s="3787"/>
      <c r="E817" s="3787"/>
      <c r="F817" s="3768"/>
      <c r="G817" s="3776" t="str">
        <f>L810</f>
        <v>Kg</v>
      </c>
      <c r="H817" s="3776" t="str">
        <f>L810</f>
        <v>Kg</v>
      </c>
      <c r="I817" s="3776" t="str">
        <f>L810</f>
        <v>Kg</v>
      </c>
      <c r="J817" s="3776" t="str">
        <f>L810</f>
        <v>Kg</v>
      </c>
      <c r="K817" s="3776" t="str">
        <f>L810</f>
        <v>Kg</v>
      </c>
      <c r="L817" s="3685"/>
      <c r="M817" s="3764"/>
      <c r="N817" s="3788"/>
      <c r="O817" s="3193"/>
      <c r="P817" s="3193"/>
      <c r="Q817" s="3193"/>
    </row>
    <row r="818" spans="1:17" ht="15.75">
      <c r="A818" s="7057"/>
      <c r="B818" s="3803" t="s">
        <v>46</v>
      </c>
      <c r="C818" s="3783" t="s">
        <v>45</v>
      </c>
      <c r="D818" s="3804"/>
      <c r="E818" s="3804"/>
      <c r="F818" s="3804"/>
      <c r="G818" s="3804"/>
      <c r="H818" s="3804"/>
      <c r="I818" s="3804"/>
      <c r="J818" s="3804"/>
      <c r="K818" s="3804"/>
      <c r="L818" s="3804"/>
      <c r="M818" s="3804"/>
      <c r="N818" s="3805"/>
      <c r="O818" s="3193"/>
      <c r="P818" s="3193"/>
      <c r="Q818" s="3193"/>
    </row>
    <row r="819" spans="1:17" ht="18.75">
      <c r="A819" s="7057"/>
      <c r="B819" s="18" t="s">
        <v>44</v>
      </c>
      <c r="C819" s="3806" t="s">
        <v>43</v>
      </c>
      <c r="D819" s="16"/>
      <c r="E819" s="16"/>
      <c r="F819" s="16"/>
      <c r="G819" s="16"/>
      <c r="H819" s="16"/>
      <c r="I819" s="16"/>
      <c r="J819" s="16"/>
      <c r="K819" s="16"/>
      <c r="L819" s="16"/>
      <c r="M819" s="16"/>
      <c r="N819" s="15"/>
      <c r="O819" s="3193"/>
      <c r="P819" s="3193"/>
      <c r="Q819" s="3193"/>
    </row>
    <row r="820" spans="1:17" ht="18.75">
      <c r="A820" s="7057"/>
      <c r="B820" s="14"/>
      <c r="C820" s="7082" t="s">
        <v>42</v>
      </c>
      <c r="D820" s="7083"/>
      <c r="E820" s="3781"/>
      <c r="F820" s="7082" t="s">
        <v>41</v>
      </c>
      <c r="G820" s="7083"/>
      <c r="H820" s="3781"/>
      <c r="I820" s="7082" t="s">
        <v>40</v>
      </c>
      <c r="J820" s="7083"/>
      <c r="K820" s="3781"/>
      <c r="L820" s="7082" t="s">
        <v>39</v>
      </c>
      <c r="M820" s="7083"/>
      <c r="N820" s="3782"/>
      <c r="O820" s="3193"/>
      <c r="P820" s="3193"/>
      <c r="Q820" s="3193"/>
    </row>
    <row r="821" spans="1:17" ht="18.75">
      <c r="A821" s="7057"/>
      <c r="B821" s="14"/>
      <c r="C821" s="3781"/>
      <c r="D821" s="3781"/>
      <c r="E821" s="3781"/>
      <c r="F821" s="3781"/>
      <c r="G821" s="3781"/>
      <c r="H821" s="3781"/>
      <c r="I821" s="3781"/>
      <c r="J821" s="3781"/>
      <c r="K821" s="3781"/>
      <c r="L821" s="3781"/>
      <c r="M821" s="3781"/>
      <c r="N821" s="3782"/>
      <c r="O821" s="3193"/>
      <c r="P821" s="3193"/>
      <c r="Q821" s="3193"/>
    </row>
    <row r="822" spans="1:17">
      <c r="A822" s="7057"/>
      <c r="B822" s="7074" t="s">
        <v>38</v>
      </c>
      <c r="C822" s="7075"/>
      <c r="D822" s="7075"/>
      <c r="E822" s="7075"/>
      <c r="F822" s="7075"/>
      <c r="G822" s="7075"/>
      <c r="H822" s="7075"/>
      <c r="I822" s="7075"/>
      <c r="J822" s="7075"/>
      <c r="K822" s="7075"/>
      <c r="L822" s="7075"/>
      <c r="M822" s="7075"/>
      <c r="N822" s="7076"/>
      <c r="O822" s="3193"/>
      <c r="P822" s="3193"/>
      <c r="Q822" s="3193"/>
    </row>
    <row r="823" spans="1:17">
      <c r="A823" s="7057"/>
      <c r="B823" s="7077"/>
      <c r="C823" s="7078"/>
      <c r="D823" s="7078"/>
      <c r="E823" s="7078"/>
      <c r="F823" s="7078"/>
      <c r="G823" s="7078"/>
      <c r="H823" s="7078"/>
      <c r="I823" s="7078"/>
      <c r="J823" s="7078"/>
      <c r="K823" s="7078"/>
      <c r="L823" s="7078"/>
      <c r="M823" s="7078"/>
      <c r="N823" s="7079"/>
      <c r="O823" s="3193"/>
      <c r="P823" s="3193"/>
      <c r="Q823" s="3193"/>
    </row>
    <row r="824" spans="1:17">
      <c r="A824" s="7057"/>
      <c r="B824" s="3784" t="s">
        <v>37</v>
      </c>
      <c r="C824" s="7065" t="str">
        <f ca="1">CELL("nomfichier")</f>
        <v>D:\Données\Copie_ancien_DD\0-UPRT.fait\1-UPRT.FR-SITE-WEB\ff-fiches-fabrications\ff-fiches-fabrication-maj-08-2020\[ff-22-formats-formules-pourcentages.xlsx]Epurer.un.texte</v>
      </c>
      <c r="D824" s="7065"/>
      <c r="E824" s="7065"/>
      <c r="F824" s="7065"/>
      <c r="G824" s="7065"/>
      <c r="H824" s="7065"/>
      <c r="I824" s="7065"/>
      <c r="J824" s="7065"/>
      <c r="K824" s="7065"/>
      <c r="L824" s="7065"/>
      <c r="M824" s="7065"/>
      <c r="N824" s="7066"/>
      <c r="O824" s="3193"/>
      <c r="P824" s="3193"/>
      <c r="Q824" s="3193"/>
    </row>
    <row r="825" spans="1:17">
      <c r="A825" s="7057"/>
      <c r="B825" s="3785" t="s">
        <v>36</v>
      </c>
      <c r="C825" s="7067" t="s">
        <v>35</v>
      </c>
      <c r="D825" s="7067"/>
      <c r="E825" s="7067"/>
      <c r="F825" s="7067"/>
      <c r="G825" s="7067"/>
      <c r="H825" s="7067"/>
      <c r="I825" s="7067"/>
      <c r="J825" s="7067"/>
      <c r="K825" s="7067"/>
      <c r="L825" s="7067"/>
      <c r="M825" s="7067"/>
      <c r="N825" s="7068"/>
      <c r="O825" s="3193"/>
      <c r="P825" s="3193"/>
      <c r="Q825" s="3193"/>
    </row>
    <row r="826" spans="1:17" ht="15.75" thickBot="1">
      <c r="A826" s="7057"/>
      <c r="B826" s="7069" t="s">
        <v>34</v>
      </c>
      <c r="C826" s="7070"/>
      <c r="D826" s="7070"/>
      <c r="E826" s="7070"/>
      <c r="F826" s="7070"/>
      <c r="G826" s="7070"/>
      <c r="H826" s="7070"/>
      <c r="I826" s="7070"/>
      <c r="J826" s="7070"/>
      <c r="K826" s="7070"/>
      <c r="L826" s="7070"/>
      <c r="M826" s="7070"/>
      <c r="N826" s="7071"/>
      <c r="O826" s="3193"/>
      <c r="P826" s="3193"/>
      <c r="Q826" s="3193"/>
    </row>
    <row r="827" spans="1:17">
      <c r="A827" s="3193"/>
      <c r="B827" s="3"/>
      <c r="C827" s="3"/>
      <c r="D827" s="3"/>
      <c r="E827" s="3"/>
      <c r="F827" s="3"/>
      <c r="G827" s="3"/>
      <c r="H827" s="3"/>
      <c r="I827" s="3"/>
      <c r="J827" s="3"/>
      <c r="K827" s="3"/>
      <c r="L827" s="3"/>
      <c r="M827" s="3193"/>
      <c r="N827" s="3193"/>
      <c r="O827" s="3193"/>
      <c r="P827" s="3193"/>
      <c r="Q827" s="3193"/>
    </row>
    <row r="828" spans="1:17">
      <c r="A828" s="3193"/>
      <c r="B828" s="3"/>
      <c r="C828" s="3"/>
      <c r="D828" s="3"/>
      <c r="E828" s="3"/>
      <c r="F828" s="3"/>
      <c r="G828" s="3"/>
      <c r="H828" s="3"/>
      <c r="I828" s="3"/>
      <c r="J828" s="3"/>
      <c r="K828" s="3"/>
      <c r="L828" s="3"/>
      <c r="M828" s="3193"/>
      <c r="N828" s="3193"/>
      <c r="O828" s="3193"/>
      <c r="P828" s="3193"/>
      <c r="Q828" s="3193"/>
    </row>
    <row r="829" spans="1:17">
      <c r="A829" s="3193"/>
      <c r="B829" s="3"/>
      <c r="C829" s="3193"/>
      <c r="D829" s="3193"/>
      <c r="E829" s="3193"/>
      <c r="F829" s="3193"/>
      <c r="G829" s="3193"/>
      <c r="H829" s="3193"/>
      <c r="I829" s="3193"/>
      <c r="J829" s="3193"/>
      <c r="K829" s="3193"/>
      <c r="L829" s="3193"/>
      <c r="M829" s="3193"/>
      <c r="N829" s="3193"/>
      <c r="O829" s="3193"/>
      <c r="P829" s="3193"/>
      <c r="Q829" s="3193"/>
    </row>
    <row r="830" spans="1:17" ht="15" customHeight="1">
      <c r="A830" s="7080" t="s">
        <v>33</v>
      </c>
      <c r="B830" s="7081"/>
      <c r="C830" s="7081"/>
      <c r="D830" s="7081"/>
      <c r="E830" s="7081"/>
      <c r="F830" s="7081"/>
      <c r="G830" s="7081"/>
      <c r="H830" s="7081"/>
      <c r="I830" s="7081"/>
      <c r="J830" s="7081"/>
      <c r="K830" s="7081"/>
      <c r="L830" s="7081"/>
      <c r="M830" s="7081"/>
      <c r="N830" s="7081"/>
      <c r="O830" s="7081"/>
      <c r="P830" s="7081"/>
      <c r="Q830" s="7081"/>
    </row>
    <row r="831" spans="1:17" ht="15.75" customHeight="1">
      <c r="A831" s="7080"/>
      <c r="B831" s="7081"/>
      <c r="C831" s="7081"/>
      <c r="D831" s="7081"/>
      <c r="E831" s="7081"/>
      <c r="F831" s="7081"/>
      <c r="G831" s="7081"/>
      <c r="H831" s="7081"/>
      <c r="I831" s="7081"/>
      <c r="J831" s="7081"/>
      <c r="K831" s="7081"/>
      <c r="L831" s="7081"/>
      <c r="M831" s="7081"/>
      <c r="N831" s="7081"/>
      <c r="O831" s="7081"/>
      <c r="P831" s="7081"/>
      <c r="Q831" s="7081"/>
    </row>
    <row r="832" spans="1:17" ht="20.100000000000001" customHeight="1">
      <c r="A832" s="3193"/>
      <c r="B832" s="3193"/>
      <c r="C832" s="3193"/>
      <c r="D832" s="3193"/>
      <c r="E832" s="3193"/>
      <c r="F832" s="3193"/>
      <c r="G832" s="3193"/>
      <c r="H832" s="3193"/>
      <c r="I832" s="3193"/>
      <c r="J832" s="3193"/>
      <c r="K832" s="3193"/>
      <c r="L832" s="3193"/>
      <c r="M832" s="3193"/>
      <c r="N832" s="3193"/>
      <c r="O832" s="3193"/>
      <c r="P832" s="3193"/>
      <c r="Q832" s="3193"/>
    </row>
    <row r="833" spans="1:17" ht="20.100000000000001" customHeight="1">
      <c r="A833" s="3193"/>
      <c r="B833" s="3193"/>
      <c r="C833" s="3193"/>
      <c r="D833" s="3193"/>
      <c r="E833" s="3807" t="s">
        <v>32</v>
      </c>
      <c r="F833" s="3807"/>
      <c r="G833" s="3807"/>
      <c r="H833" s="3193"/>
      <c r="I833" s="3193"/>
      <c r="J833" s="3193"/>
      <c r="K833" s="3193"/>
      <c r="L833" s="3193"/>
      <c r="M833" s="3193"/>
      <c r="N833" s="3193"/>
      <c r="O833" s="3193"/>
      <c r="P833" s="3193"/>
      <c r="Q833" s="3193"/>
    </row>
    <row r="834" spans="1:17" ht="20.100000000000001" customHeight="1">
      <c r="A834" s="3193"/>
      <c r="B834" s="3193"/>
      <c r="C834" s="3193"/>
      <c r="D834" s="3193"/>
      <c r="E834" s="3807"/>
      <c r="F834" s="3807" t="s">
        <v>31</v>
      </c>
      <c r="G834" s="3807"/>
      <c r="H834" s="3193"/>
      <c r="I834" s="3193"/>
      <c r="J834" s="3193"/>
      <c r="K834" s="3193"/>
      <c r="L834" s="3193"/>
      <c r="M834" s="3193"/>
      <c r="N834" s="3193"/>
      <c r="O834" s="3193"/>
      <c r="P834" s="3193"/>
      <c r="Q834" s="3193"/>
    </row>
    <row r="835" spans="1:17" ht="20.100000000000001" customHeight="1">
      <c r="A835" s="3193"/>
      <c r="B835" s="3193"/>
      <c r="C835" s="3193"/>
      <c r="D835" s="3193"/>
      <c r="E835" s="3807"/>
      <c r="F835" s="3807" t="s">
        <v>30</v>
      </c>
      <c r="G835" s="3807"/>
      <c r="H835" s="3193"/>
      <c r="I835" s="3193"/>
      <c r="J835" s="3193"/>
      <c r="K835" s="3193"/>
      <c r="L835" s="3193"/>
      <c r="M835" s="3193"/>
      <c r="N835" s="3193"/>
      <c r="O835" s="3193"/>
      <c r="P835" s="3193"/>
      <c r="Q835" s="3193"/>
    </row>
    <row r="836" spans="1:17" ht="20.100000000000001" customHeight="1">
      <c r="A836" s="3193"/>
      <c r="B836" s="3193"/>
      <c r="C836" s="3193"/>
      <c r="D836" s="3193"/>
      <c r="E836" s="3807"/>
      <c r="F836" s="3807" t="s">
        <v>29</v>
      </c>
      <c r="G836" s="3807"/>
      <c r="H836" s="3193"/>
      <c r="I836" s="3193"/>
      <c r="J836" s="3193"/>
      <c r="K836" s="3193"/>
      <c r="L836" s="3193"/>
      <c r="M836" s="3193"/>
      <c r="N836" s="3193"/>
      <c r="O836" s="3193"/>
      <c r="P836" s="3193"/>
      <c r="Q836" s="3193"/>
    </row>
    <row r="837" spans="1:17" ht="20.100000000000001" customHeight="1">
      <c r="A837" s="3193"/>
      <c r="B837" s="3193"/>
      <c r="C837" s="3193"/>
      <c r="D837" s="3193"/>
      <c r="E837" s="3193"/>
      <c r="F837" s="3807" t="s">
        <v>28</v>
      </c>
      <c r="G837" s="3193"/>
      <c r="H837" s="3193"/>
      <c r="I837" s="3193"/>
      <c r="J837" s="3193"/>
      <c r="K837" s="3193"/>
      <c r="L837" s="3193"/>
      <c r="M837" s="3193"/>
      <c r="N837" s="3193"/>
      <c r="O837" s="3193"/>
      <c r="P837" s="3193"/>
      <c r="Q837" s="3193"/>
    </row>
    <row r="838" spans="1:17" ht="20.100000000000001" customHeight="1">
      <c r="A838" s="3193"/>
      <c r="B838" s="3193"/>
      <c r="C838" s="3193"/>
      <c r="D838" s="3193"/>
      <c r="E838" s="3807" t="s">
        <v>27</v>
      </c>
      <c r="F838" s="3193"/>
      <c r="G838" s="3193"/>
      <c r="H838" s="3193"/>
      <c r="I838" s="3193"/>
      <c r="J838" s="3193"/>
      <c r="K838" s="3193"/>
      <c r="L838" s="3193"/>
      <c r="M838" s="3193"/>
      <c r="N838" s="3193"/>
      <c r="O838" s="3193"/>
      <c r="P838" s="3193"/>
      <c r="Q838" s="3193"/>
    </row>
    <row r="839" spans="1:17" ht="20.100000000000001" customHeight="1">
      <c r="A839" s="3193"/>
      <c r="B839" s="3193"/>
      <c r="C839" s="3193"/>
      <c r="D839" s="3193"/>
      <c r="E839" s="3193"/>
      <c r="F839" s="3193"/>
      <c r="G839" s="3193"/>
      <c r="H839" s="3193"/>
      <c r="I839" s="3193"/>
      <c r="J839" s="3193"/>
      <c r="K839" s="3193"/>
      <c r="L839" s="3193"/>
      <c r="M839" s="3193"/>
      <c r="N839" s="3193"/>
      <c r="O839" s="3193"/>
      <c r="P839" s="3193"/>
      <c r="Q839" s="3193"/>
    </row>
    <row r="840" spans="1:17" ht="20.100000000000001" customHeight="1">
      <c r="A840" s="3193"/>
      <c r="B840" s="3193"/>
      <c r="C840" s="3193"/>
      <c r="D840" s="3193"/>
      <c r="E840" s="3193"/>
      <c r="F840" s="3193"/>
      <c r="G840" s="3193"/>
      <c r="H840" s="3193"/>
      <c r="I840" s="3193"/>
      <c r="J840" s="3193"/>
      <c r="K840" s="3193"/>
      <c r="L840" s="3193"/>
      <c r="M840" s="3193"/>
      <c r="N840" s="3193"/>
      <c r="O840" s="3193"/>
      <c r="P840" s="3193"/>
      <c r="Q840" s="3193"/>
    </row>
    <row r="841" spans="1:17" ht="20.100000000000001" customHeight="1">
      <c r="A841" s="3193"/>
      <c r="B841" s="3193"/>
      <c r="C841" s="3193"/>
      <c r="D841" s="3193"/>
      <c r="E841" s="3193"/>
      <c r="F841" s="3193"/>
      <c r="G841" s="3193"/>
      <c r="H841" s="3193"/>
      <c r="I841" s="3193"/>
      <c r="J841" s="3193"/>
      <c r="K841" s="3193"/>
      <c r="L841" s="3193"/>
      <c r="M841" s="3193"/>
      <c r="N841" s="3193"/>
      <c r="O841" s="3193"/>
      <c r="P841" s="3193"/>
      <c r="Q841" s="3193"/>
    </row>
    <row r="842" spans="1:17" ht="20.100000000000001" customHeight="1">
      <c r="A842" s="3193"/>
      <c r="B842" s="3193"/>
      <c r="C842" s="3193"/>
      <c r="D842" s="3193"/>
      <c r="E842" s="3193"/>
      <c r="F842" s="3193"/>
      <c r="G842" s="3193"/>
      <c r="H842" s="3193"/>
      <c r="I842" s="3193"/>
      <c r="J842" s="3193"/>
      <c r="K842" s="3193"/>
      <c r="L842" s="3193"/>
      <c r="M842" s="3193"/>
      <c r="N842" s="3193"/>
      <c r="O842" s="3193"/>
      <c r="P842" s="3193"/>
      <c r="Q842" s="3193"/>
    </row>
    <row r="843" spans="1:17" ht="20.100000000000001" customHeight="1">
      <c r="A843" s="3193"/>
      <c r="B843" s="3193"/>
      <c r="C843" s="3808" t="s">
        <v>26</v>
      </c>
      <c r="D843" s="3808"/>
      <c r="E843" s="3808"/>
      <c r="F843" s="3808"/>
      <c r="G843" s="3808"/>
      <c r="H843" s="3808"/>
      <c r="I843" s="3808" t="s">
        <v>3138</v>
      </c>
      <c r="J843" s="3193"/>
      <c r="K843" s="3193"/>
      <c r="L843" s="3193"/>
      <c r="M843" s="3193"/>
      <c r="N843" s="3193"/>
      <c r="O843" s="3193"/>
      <c r="P843" s="3193"/>
      <c r="Q843" s="3193"/>
    </row>
    <row r="844" spans="1:17" ht="20.100000000000001" customHeight="1">
      <c r="A844" s="3193"/>
      <c r="B844" s="3193"/>
      <c r="C844" s="3193"/>
      <c r="D844" s="3193"/>
      <c r="E844" s="3193"/>
      <c r="F844" s="3193"/>
      <c r="G844" s="3193"/>
      <c r="H844" s="3193"/>
      <c r="I844" s="3193"/>
      <c r="J844" s="3193"/>
      <c r="K844" s="3193"/>
      <c r="L844" s="3193"/>
      <c r="M844" s="3193"/>
      <c r="N844" s="3193"/>
      <c r="O844" s="3193"/>
      <c r="P844" s="3193"/>
      <c r="Q844" s="3193"/>
    </row>
    <row r="845" spans="1:17" ht="20.100000000000001" customHeight="1">
      <c r="A845" s="3193"/>
      <c r="B845" s="3193"/>
      <c r="C845" s="3193"/>
      <c r="D845" s="3808" t="s">
        <v>25</v>
      </c>
      <c r="E845" s="3193"/>
      <c r="F845" s="3193"/>
      <c r="G845" s="3193"/>
      <c r="H845" s="3193"/>
      <c r="I845" s="3808"/>
      <c r="J845" s="3193"/>
      <c r="K845" s="3193"/>
      <c r="L845" s="3193"/>
      <c r="M845" s="3193"/>
      <c r="N845" s="3193"/>
      <c r="O845" s="3193"/>
      <c r="P845" s="3193"/>
      <c r="Q845" s="3193"/>
    </row>
    <row r="846" spans="1:17" ht="20.100000000000001" customHeight="1">
      <c r="A846" s="3193"/>
      <c r="B846" s="3193"/>
      <c r="C846" s="3193"/>
      <c r="D846" s="3808" t="s">
        <v>24</v>
      </c>
      <c r="E846" s="3193"/>
      <c r="F846" s="3193"/>
      <c r="G846" s="3193"/>
      <c r="H846" s="3809" t="s">
        <v>6</v>
      </c>
      <c r="I846" s="3808"/>
      <c r="J846" s="3193"/>
      <c r="K846" s="3193"/>
      <c r="L846" s="3193"/>
      <c r="M846" s="3193"/>
      <c r="N846" s="3193"/>
      <c r="O846" s="3193"/>
      <c r="P846" s="3193"/>
      <c r="Q846" s="3193"/>
    </row>
    <row r="847" spans="1:17" ht="20.100000000000001" customHeight="1">
      <c r="A847" s="3193"/>
      <c r="B847" s="3193"/>
      <c r="C847" s="3193"/>
      <c r="D847" s="3808" t="s">
        <v>21</v>
      </c>
      <c r="E847" s="3193"/>
      <c r="F847" s="3193"/>
      <c r="G847" s="3193"/>
      <c r="H847" s="3810"/>
      <c r="I847" s="3810" t="s">
        <v>16</v>
      </c>
      <c r="J847" s="3193"/>
      <c r="K847" s="3193"/>
      <c r="L847" s="3193"/>
      <c r="M847" s="3193"/>
      <c r="N847" s="3193"/>
      <c r="O847" s="3193"/>
      <c r="P847" s="3193"/>
      <c r="Q847" s="3193"/>
    </row>
    <row r="848" spans="1:17" ht="20.100000000000001" customHeight="1">
      <c r="A848" s="3193"/>
      <c r="B848" s="3193"/>
      <c r="C848" s="3193"/>
      <c r="D848" s="3808" t="s">
        <v>6</v>
      </c>
      <c r="E848" s="3193"/>
      <c r="F848" s="3193"/>
      <c r="G848" s="3193"/>
      <c r="H848" s="3810"/>
      <c r="I848" s="3810" t="s">
        <v>13</v>
      </c>
      <c r="J848" s="3193"/>
      <c r="K848" s="3193"/>
      <c r="L848" s="3193"/>
      <c r="M848" s="3193"/>
      <c r="N848" s="3193"/>
      <c r="O848" s="3193"/>
      <c r="P848" s="3193"/>
      <c r="Q848" s="3193"/>
    </row>
    <row r="849" spans="1:17" ht="20.100000000000001" customHeight="1">
      <c r="A849" s="3193"/>
      <c r="B849" s="3193"/>
      <c r="C849" s="3193"/>
      <c r="D849" s="3808" t="s">
        <v>713</v>
      </c>
      <c r="E849" s="3193"/>
      <c r="F849" s="3193"/>
      <c r="G849" s="3193"/>
      <c r="H849" s="3809" t="s">
        <v>23</v>
      </c>
      <c r="I849" s="3193"/>
      <c r="J849" s="3193"/>
      <c r="K849" s="3193"/>
      <c r="L849" s="3193"/>
      <c r="M849" s="3193"/>
      <c r="N849" s="3193"/>
      <c r="O849" s="3193"/>
      <c r="P849" s="3193"/>
      <c r="Q849" s="3193"/>
    </row>
    <row r="850" spans="1:17" ht="20.100000000000001" customHeight="1">
      <c r="A850" s="3193"/>
      <c r="B850" s="3193"/>
      <c r="C850" s="3193"/>
      <c r="D850" s="3808" t="s">
        <v>2</v>
      </c>
      <c r="E850" s="3193"/>
      <c r="F850" s="3193"/>
      <c r="G850" s="3193"/>
      <c r="H850" s="3810"/>
      <c r="I850" s="3810" t="s">
        <v>22</v>
      </c>
      <c r="J850" s="3193"/>
      <c r="K850" s="3193"/>
      <c r="L850" s="3808"/>
      <c r="M850" s="3193"/>
      <c r="N850" s="3193"/>
      <c r="O850" s="3193"/>
      <c r="P850" s="3193"/>
      <c r="Q850" s="3193"/>
    </row>
    <row r="851" spans="1:17" ht="20.100000000000001" customHeight="1">
      <c r="A851" s="3193"/>
      <c r="B851" s="3193"/>
      <c r="C851" s="3193"/>
      <c r="D851" s="3193"/>
      <c r="E851" s="3193"/>
      <c r="F851" s="3193"/>
      <c r="G851" s="3193"/>
      <c r="H851" s="3809" t="s">
        <v>20</v>
      </c>
      <c r="I851" s="3808"/>
      <c r="J851" s="3808"/>
      <c r="K851" s="3193"/>
      <c r="L851" s="3808"/>
      <c r="M851" s="3193"/>
      <c r="N851" s="3193"/>
      <c r="O851" s="3193"/>
      <c r="P851" s="3193"/>
      <c r="Q851" s="3193"/>
    </row>
    <row r="852" spans="1:17" ht="20.100000000000001" customHeight="1">
      <c r="A852" s="3193"/>
      <c r="B852" s="3193"/>
      <c r="C852" s="3193"/>
      <c r="D852" s="3808" t="s">
        <v>4</v>
      </c>
      <c r="E852" s="3193"/>
      <c r="F852" s="3193"/>
      <c r="G852" s="3193"/>
      <c r="H852" s="3810"/>
      <c r="I852" s="3810" t="s">
        <v>19</v>
      </c>
      <c r="J852" s="3810"/>
      <c r="K852" s="3193"/>
      <c r="L852" s="3808"/>
      <c r="M852" s="3193"/>
      <c r="N852" s="3193"/>
      <c r="O852" s="3193"/>
      <c r="P852" s="3193"/>
      <c r="Q852" s="3193"/>
    </row>
    <row r="853" spans="1:17" ht="20.100000000000001" customHeight="1">
      <c r="A853" s="3193"/>
      <c r="B853" s="3193"/>
      <c r="C853" s="3193"/>
      <c r="D853" s="3808" t="s">
        <v>24</v>
      </c>
      <c r="E853" s="3193"/>
      <c r="F853" s="3193"/>
      <c r="G853" s="3193"/>
      <c r="H853" s="3809" t="s">
        <v>18</v>
      </c>
      <c r="I853" s="3808"/>
      <c r="J853" s="3193"/>
      <c r="K853" s="3193"/>
      <c r="L853" s="3808"/>
      <c r="M853" s="3193"/>
      <c r="N853" s="3193"/>
      <c r="O853" s="3193"/>
      <c r="P853" s="3193"/>
      <c r="Q853" s="3193"/>
    </row>
    <row r="854" spans="1:17" ht="20.100000000000001" customHeight="1">
      <c r="A854" s="3193"/>
      <c r="B854" s="3193"/>
      <c r="C854" s="3193"/>
      <c r="D854" s="3808" t="s">
        <v>21</v>
      </c>
      <c r="E854" s="3193"/>
      <c r="F854" s="3193"/>
      <c r="G854" s="3193"/>
      <c r="H854" s="3810"/>
      <c r="I854" s="3810" t="s">
        <v>17</v>
      </c>
      <c r="J854" s="3193"/>
      <c r="K854" s="3193"/>
      <c r="L854" s="3808"/>
      <c r="M854" s="3193"/>
      <c r="N854" s="3193"/>
      <c r="O854" s="3193"/>
      <c r="P854" s="3193"/>
      <c r="Q854" s="3193"/>
    </row>
    <row r="855" spans="1:17" ht="20.100000000000001" customHeight="1">
      <c r="A855" s="3193"/>
      <c r="B855" s="3193"/>
      <c r="C855" s="3193"/>
      <c r="D855" s="3808" t="s">
        <v>6</v>
      </c>
      <c r="E855" s="3193"/>
      <c r="F855" s="3193"/>
      <c r="G855" s="3193"/>
      <c r="H855" s="3809" t="s">
        <v>15</v>
      </c>
      <c r="I855" s="3808"/>
      <c r="J855" s="3193"/>
      <c r="K855" s="3193"/>
      <c r="L855" s="3808"/>
      <c r="M855" s="3193"/>
      <c r="N855" s="3193"/>
      <c r="O855" s="3193"/>
      <c r="P855" s="3193"/>
      <c r="Q855" s="3193"/>
    </row>
    <row r="856" spans="1:17" ht="20.100000000000001" customHeight="1">
      <c r="A856" s="3193"/>
      <c r="B856" s="3193"/>
      <c r="C856" s="3193"/>
      <c r="D856" s="3808" t="s">
        <v>713</v>
      </c>
      <c r="E856" s="3193"/>
      <c r="F856" s="3193"/>
      <c r="G856" s="3193"/>
      <c r="H856" s="3810"/>
      <c r="I856" s="3810" t="s">
        <v>14</v>
      </c>
      <c r="J856" s="3193"/>
      <c r="K856" s="3193"/>
      <c r="L856" s="3808"/>
      <c r="M856" s="3193"/>
      <c r="N856" s="3193"/>
      <c r="O856" s="3193"/>
      <c r="P856" s="3193"/>
      <c r="Q856" s="3193"/>
    </row>
    <row r="857" spans="1:17" ht="20.100000000000001" customHeight="1">
      <c r="A857" s="3193"/>
      <c r="B857" s="3193"/>
      <c r="C857" s="3193"/>
      <c r="D857" s="3808" t="s">
        <v>2</v>
      </c>
      <c r="E857" s="3193"/>
      <c r="F857" s="3193"/>
      <c r="G857" s="3193"/>
      <c r="H857" s="3809" t="s">
        <v>12</v>
      </c>
      <c r="I857" s="3808"/>
      <c r="J857" s="3193"/>
      <c r="K857" s="3193"/>
      <c r="L857" s="3193"/>
      <c r="M857" s="3193"/>
      <c r="N857" s="3193"/>
      <c r="O857" s="3193"/>
      <c r="P857" s="3193"/>
      <c r="Q857" s="3193"/>
    </row>
    <row r="858" spans="1:17" ht="20.100000000000001" customHeight="1">
      <c r="A858" s="3193"/>
      <c r="B858" s="3193"/>
      <c r="C858" s="3193"/>
      <c r="D858" s="3808"/>
      <c r="E858" s="3193"/>
      <c r="F858" s="3193"/>
      <c r="G858" s="3193"/>
      <c r="H858" s="3810"/>
      <c r="I858" s="3810" t="s">
        <v>11</v>
      </c>
      <c r="J858" s="3193"/>
      <c r="K858" s="3193"/>
      <c r="L858" s="3808"/>
      <c r="M858" s="3193"/>
      <c r="N858" s="3193"/>
      <c r="O858" s="3193"/>
      <c r="P858" s="3193"/>
      <c r="Q858" s="3193"/>
    </row>
    <row r="859" spans="1:17" ht="20.100000000000001" customHeight="1">
      <c r="A859" s="3193"/>
      <c r="B859" s="3193"/>
      <c r="C859" s="3193"/>
      <c r="D859" s="3808" t="s">
        <v>7</v>
      </c>
      <c r="E859" s="3193"/>
      <c r="F859" s="3193"/>
      <c r="G859" s="3193"/>
      <c r="H859" s="3810"/>
      <c r="I859" s="3810" t="s">
        <v>10</v>
      </c>
      <c r="J859" s="3193"/>
      <c r="K859" s="3193"/>
      <c r="L859" s="3193"/>
      <c r="M859" s="3193"/>
      <c r="N859" s="3193"/>
      <c r="O859" s="3193"/>
      <c r="P859" s="3193"/>
      <c r="Q859" s="3193"/>
    </row>
    <row r="860" spans="1:17" ht="20.100000000000001" customHeight="1">
      <c r="A860" s="3193"/>
      <c r="B860" s="3193"/>
      <c r="C860" s="3193"/>
      <c r="D860" s="3808" t="s">
        <v>24</v>
      </c>
      <c r="E860" s="3193"/>
      <c r="F860" s="3193"/>
      <c r="G860" s="3193"/>
      <c r="H860" s="3810"/>
      <c r="I860" s="3810" t="s">
        <v>9</v>
      </c>
      <c r="J860" s="3193"/>
      <c r="K860" s="3193"/>
      <c r="L860" s="3193"/>
      <c r="M860" s="3193"/>
      <c r="N860" s="3193"/>
      <c r="O860" s="3193"/>
      <c r="P860" s="3193"/>
      <c r="Q860" s="3193"/>
    </row>
    <row r="861" spans="1:17" ht="20.100000000000001" customHeight="1">
      <c r="A861" s="3193"/>
      <c r="B861" s="3193"/>
      <c r="C861" s="3193"/>
      <c r="D861" s="3808" t="s">
        <v>21</v>
      </c>
      <c r="E861" s="3193"/>
      <c r="F861" s="3193"/>
      <c r="G861" s="3193"/>
      <c r="H861" s="3810"/>
      <c r="I861" s="3810" t="s">
        <v>8</v>
      </c>
      <c r="J861" s="3193"/>
      <c r="K861" s="3193"/>
      <c r="L861" s="3193"/>
      <c r="M861" s="3193"/>
      <c r="N861" s="3193"/>
      <c r="O861" s="3193"/>
      <c r="P861" s="3193"/>
      <c r="Q861" s="3193"/>
    </row>
    <row r="862" spans="1:17" ht="20.100000000000001" customHeight="1">
      <c r="A862" s="3193"/>
      <c r="B862" s="3193"/>
      <c r="C862" s="3193"/>
      <c r="D862" s="3808" t="s">
        <v>6</v>
      </c>
      <c r="E862" s="3193"/>
      <c r="F862" s="3193"/>
      <c r="G862" s="3193"/>
      <c r="H862" s="3193"/>
      <c r="I862" s="3193"/>
      <c r="J862" s="3193"/>
      <c r="K862" s="3193"/>
      <c r="L862" s="3193"/>
      <c r="M862" s="3193"/>
      <c r="N862" s="3193"/>
      <c r="O862" s="3193"/>
      <c r="P862" s="3193"/>
      <c r="Q862" s="3193"/>
    </row>
    <row r="863" spans="1:17" ht="20.100000000000001" customHeight="1">
      <c r="A863" s="3193"/>
      <c r="B863" s="3193"/>
      <c r="C863" s="3193"/>
      <c r="D863" s="3811" t="s">
        <v>5</v>
      </c>
      <c r="E863" s="3811"/>
      <c r="F863" s="3193"/>
      <c r="G863" s="3193"/>
      <c r="H863" s="3193"/>
      <c r="I863" s="3193"/>
      <c r="J863" s="3193"/>
      <c r="K863" s="3193"/>
      <c r="L863" s="3193"/>
      <c r="M863" s="3193"/>
      <c r="N863" s="3193"/>
      <c r="O863" s="3193"/>
      <c r="P863" s="3193"/>
      <c r="Q863" s="3193"/>
    </row>
    <row r="864" spans="1:17" ht="20.100000000000001" customHeight="1">
      <c r="A864" s="3193"/>
      <c r="B864" s="3193"/>
      <c r="C864" s="3193"/>
      <c r="D864" s="3808" t="s">
        <v>713</v>
      </c>
      <c r="E864" s="3193"/>
      <c r="F864" s="3193"/>
      <c r="G864" s="3193"/>
      <c r="H864" s="3193"/>
      <c r="I864" s="3193"/>
      <c r="J864" s="3193"/>
      <c r="K864" s="3193"/>
      <c r="L864" s="3193"/>
      <c r="M864" s="3193"/>
      <c r="N864" s="3193"/>
      <c r="O864" s="3193"/>
      <c r="P864" s="3193"/>
      <c r="Q864" s="3193"/>
    </row>
    <row r="865" spans="1:17" ht="20.100000000000001" customHeight="1">
      <c r="A865" s="3193"/>
      <c r="B865" s="3193"/>
      <c r="C865" s="3193"/>
      <c r="D865" s="3808" t="s">
        <v>2</v>
      </c>
      <c r="E865" s="3193"/>
      <c r="F865" s="3193"/>
      <c r="G865" s="3193"/>
      <c r="H865" s="3193"/>
      <c r="I865" s="3193"/>
      <c r="J865" s="3193"/>
      <c r="K865" s="3193"/>
      <c r="L865" s="3193"/>
      <c r="M865" s="3193"/>
      <c r="N865" s="3193"/>
      <c r="O865" s="3193"/>
      <c r="P865" s="3193"/>
      <c r="Q865" s="3193"/>
    </row>
    <row r="866" spans="1:17" ht="20.100000000000001" customHeight="1">
      <c r="A866" s="3193"/>
      <c r="B866" s="3193"/>
      <c r="C866" s="3193"/>
      <c r="D866" s="3808"/>
      <c r="E866" s="3193"/>
      <c r="F866" s="3193"/>
      <c r="G866" s="3193"/>
      <c r="H866" s="3193"/>
      <c r="I866" s="3193"/>
      <c r="J866" s="3193"/>
      <c r="K866" s="3193"/>
      <c r="L866" s="3193"/>
      <c r="M866" s="3193"/>
      <c r="N866" s="3193"/>
      <c r="O866" s="3193"/>
      <c r="P866" s="3193"/>
      <c r="Q866" s="3193"/>
    </row>
    <row r="867" spans="1:17" ht="20.100000000000001" customHeight="1">
      <c r="A867" s="3193"/>
      <c r="B867" s="3193"/>
      <c r="C867" s="3193"/>
      <c r="D867" s="3808" t="s">
        <v>3</v>
      </c>
      <c r="E867" s="3193"/>
      <c r="F867" s="3193"/>
      <c r="G867" s="3193"/>
      <c r="H867" s="3193"/>
      <c r="I867" s="3193"/>
      <c r="J867" s="3193"/>
      <c r="K867" s="3193"/>
      <c r="L867" s="3193"/>
      <c r="M867" s="3193"/>
      <c r="N867" s="3193"/>
      <c r="O867" s="3193"/>
      <c r="P867" s="3193"/>
      <c r="Q867" s="3193"/>
    </row>
    <row r="868" spans="1:17" ht="20.100000000000001" customHeight="1">
      <c r="A868" s="3193"/>
      <c r="B868" s="3193"/>
      <c r="C868" s="3193"/>
      <c r="D868" s="3808" t="s">
        <v>24</v>
      </c>
      <c r="E868" s="3193"/>
      <c r="F868" s="3193"/>
      <c r="G868" s="3193"/>
      <c r="H868" s="3193"/>
      <c r="I868" s="3193"/>
      <c r="J868" s="3193"/>
      <c r="K868" s="3193"/>
      <c r="L868" s="3193"/>
      <c r="M868" s="3193"/>
      <c r="N868" s="3193"/>
      <c r="O868" s="3193"/>
      <c r="P868" s="3193"/>
      <c r="Q868" s="3193"/>
    </row>
    <row r="869" spans="1:17" ht="20.100000000000001" customHeight="1">
      <c r="A869" s="3193"/>
      <c r="B869" s="3193"/>
      <c r="C869" s="3193"/>
      <c r="D869" s="3808" t="s">
        <v>21</v>
      </c>
      <c r="E869" s="3193"/>
      <c r="F869" s="3193"/>
      <c r="G869" s="3193"/>
      <c r="H869" s="3193"/>
      <c r="I869" s="3193"/>
      <c r="J869" s="3193"/>
      <c r="K869" s="3193"/>
      <c r="L869" s="3193"/>
      <c r="M869" s="3193"/>
      <c r="N869" s="3193"/>
      <c r="O869" s="3193"/>
      <c r="P869" s="3193"/>
      <c r="Q869" s="3193"/>
    </row>
    <row r="870" spans="1:17" ht="20.100000000000001" customHeight="1">
      <c r="A870" s="3193"/>
      <c r="B870" s="3193"/>
      <c r="C870" s="3193"/>
      <c r="D870" s="3808" t="s">
        <v>6</v>
      </c>
      <c r="E870" s="3193"/>
      <c r="F870" s="3193"/>
      <c r="G870" s="3193"/>
      <c r="H870" s="3193"/>
      <c r="I870" s="3193"/>
      <c r="J870" s="3193"/>
      <c r="K870" s="3193"/>
      <c r="L870" s="3193"/>
      <c r="M870" s="3193"/>
      <c r="N870" s="3193"/>
      <c r="O870" s="3193"/>
      <c r="P870" s="3193"/>
      <c r="Q870" s="3193"/>
    </row>
    <row r="871" spans="1:17" ht="20.100000000000001" customHeight="1">
      <c r="A871" s="3193"/>
      <c r="B871" s="3193"/>
      <c r="C871" s="3193"/>
      <c r="D871" s="3808" t="s">
        <v>713</v>
      </c>
      <c r="E871" s="3193"/>
      <c r="F871" s="3193"/>
      <c r="G871" s="3193"/>
      <c r="H871" s="3193"/>
      <c r="I871" s="3193"/>
      <c r="J871" s="3193"/>
      <c r="K871" s="3193"/>
      <c r="L871" s="3193"/>
      <c r="M871" s="3193"/>
      <c r="N871" s="3193"/>
      <c r="O871" s="3193"/>
      <c r="P871" s="3193"/>
      <c r="Q871" s="3193"/>
    </row>
    <row r="872" spans="1:17" ht="20.100000000000001" customHeight="1">
      <c r="A872" s="3193"/>
      <c r="B872" s="3193"/>
      <c r="C872" s="3193"/>
      <c r="D872" s="3808" t="s">
        <v>2</v>
      </c>
      <c r="E872" s="3193"/>
      <c r="F872" s="3193"/>
      <c r="G872" s="3193"/>
      <c r="H872" s="3193"/>
      <c r="I872" s="3193"/>
      <c r="J872" s="3193"/>
      <c r="K872" s="3193"/>
      <c r="L872" s="3193"/>
      <c r="M872" s="3193"/>
      <c r="N872" s="3193"/>
      <c r="O872" s="3193"/>
      <c r="P872" s="3193"/>
      <c r="Q872" s="3193"/>
    </row>
    <row r="873" spans="1:17" ht="20.100000000000001" customHeight="1">
      <c r="A873" s="3193"/>
      <c r="B873" s="3193"/>
      <c r="C873" s="3193"/>
      <c r="D873" s="3808"/>
      <c r="E873" s="3193"/>
      <c r="F873" s="3193"/>
      <c r="G873" s="3193"/>
      <c r="H873" s="3193"/>
      <c r="I873" s="3193"/>
      <c r="J873" s="3193"/>
      <c r="K873" s="3193"/>
      <c r="L873" s="3193"/>
      <c r="M873" s="3193"/>
      <c r="N873" s="3193"/>
      <c r="O873" s="3193"/>
      <c r="P873" s="3193"/>
      <c r="Q873" s="3193"/>
    </row>
    <row r="874" spans="1:17">
      <c r="A874" s="3787"/>
      <c r="B874" s="8"/>
      <c r="C874" s="8"/>
      <c r="D874" s="8"/>
      <c r="E874" s="8"/>
      <c r="F874" s="8"/>
      <c r="G874" s="8"/>
      <c r="H874" s="8"/>
      <c r="I874" s="8"/>
      <c r="J874" s="8"/>
      <c r="K874" s="8"/>
      <c r="L874" s="8"/>
      <c r="M874" s="8"/>
      <c r="N874" s="8"/>
      <c r="O874" s="8"/>
      <c r="P874" s="8"/>
      <c r="Q874" s="8"/>
    </row>
    <row r="875" spans="1:17" ht="18">
      <c r="A875" s="3193"/>
      <c r="B875" s="3"/>
      <c r="C875" s="7" t="s">
        <v>1</v>
      </c>
      <c r="D875" s="3"/>
      <c r="E875" s="3"/>
      <c r="F875" s="3"/>
      <c r="G875" s="3"/>
      <c r="H875" s="3"/>
      <c r="I875" s="3"/>
      <c r="J875" s="3"/>
      <c r="K875" s="3"/>
      <c r="L875" s="3"/>
      <c r="M875" s="3"/>
      <c r="N875" s="3"/>
      <c r="O875" s="3"/>
      <c r="P875" s="3"/>
      <c r="Q875" s="3"/>
    </row>
    <row r="876" spans="1:17">
      <c r="A876" s="3193"/>
      <c r="B876" s="3"/>
      <c r="C876" s="3"/>
      <c r="D876" s="3"/>
      <c r="E876" s="3"/>
      <c r="F876" s="3"/>
      <c r="G876" s="3"/>
      <c r="H876" s="3"/>
      <c r="I876" s="3"/>
      <c r="J876" s="3"/>
      <c r="K876" s="3"/>
      <c r="L876" s="3"/>
      <c r="M876" s="3193"/>
      <c r="N876" s="3193"/>
      <c r="O876" s="3193"/>
      <c r="P876" s="3193"/>
      <c r="Q876" s="3193"/>
    </row>
    <row r="877" spans="1:17" ht="18">
      <c r="A877" s="3193"/>
      <c r="B877" s="3193"/>
      <c r="C877" s="7" t="s">
        <v>0</v>
      </c>
      <c r="D877" s="3193"/>
      <c r="E877" s="3193"/>
      <c r="F877" s="3193"/>
      <c r="G877" s="3193"/>
      <c r="H877" s="3193"/>
      <c r="I877" s="3193"/>
      <c r="J877" s="3193"/>
      <c r="K877" s="3193"/>
      <c r="L877" s="3193"/>
      <c r="M877" s="3193"/>
      <c r="N877" s="3193"/>
      <c r="O877" s="3193"/>
      <c r="P877" s="3193"/>
      <c r="Q877" s="3193"/>
    </row>
    <row r="878" spans="1:17">
      <c r="A878" s="3193"/>
      <c r="B878" s="3193"/>
      <c r="C878" s="3193"/>
      <c r="D878" s="3193"/>
      <c r="E878" s="3193"/>
      <c r="F878" s="3193"/>
      <c r="G878" s="3193"/>
      <c r="H878" s="3193"/>
      <c r="I878" s="3193"/>
      <c r="J878" s="3193"/>
      <c r="K878" s="3193"/>
      <c r="L878" s="3193"/>
      <c r="M878" s="3193"/>
      <c r="N878" s="3193"/>
      <c r="O878" s="3193"/>
      <c r="P878" s="3193"/>
      <c r="Q878" s="3193"/>
    </row>
    <row r="879" spans="1:17">
      <c r="A879" s="3228"/>
      <c r="B879" s="5"/>
      <c r="C879" s="6"/>
      <c r="D879" s="6"/>
      <c r="E879" s="6"/>
      <c r="F879" s="6"/>
      <c r="G879" s="6"/>
      <c r="H879" s="6"/>
      <c r="I879" s="6"/>
      <c r="J879" s="5"/>
      <c r="K879" s="5"/>
      <c r="L879" s="5"/>
      <c r="M879" s="3228"/>
      <c r="N879" s="3228"/>
      <c r="O879" s="3228"/>
      <c r="P879" s="3228"/>
      <c r="Q879" s="3228"/>
    </row>
    <row r="881" spans="1:17" ht="20.100000000000001" customHeight="1">
      <c r="A881" s="3193"/>
      <c r="B881" s="3193"/>
      <c r="M881" s="3193"/>
      <c r="N881" s="3193"/>
      <c r="O881" s="3193"/>
      <c r="P881" s="3193"/>
      <c r="Q881" s="3193"/>
    </row>
    <row r="882" spans="1:17" ht="20.100000000000001" customHeight="1">
      <c r="A882" s="3193"/>
      <c r="B882" s="3193"/>
      <c r="M882" s="3193"/>
      <c r="N882" s="3193"/>
      <c r="O882" s="3193"/>
      <c r="P882" s="3193"/>
      <c r="Q882" s="3193"/>
    </row>
    <row r="883" spans="1:17" ht="20.100000000000001" customHeight="1">
      <c r="A883" s="3193"/>
      <c r="B883" s="3193"/>
      <c r="M883" s="3193"/>
      <c r="N883" s="3193"/>
      <c r="O883" s="3193"/>
      <c r="P883" s="3193"/>
      <c r="Q883" s="3193"/>
    </row>
    <row r="884" spans="1:17" ht="20.100000000000001" customHeight="1">
      <c r="A884" s="3193"/>
      <c r="B884" s="3193"/>
      <c r="M884" s="3193"/>
      <c r="N884" s="3193"/>
      <c r="O884" s="3193"/>
      <c r="P884" s="3193"/>
      <c r="Q884" s="3193"/>
    </row>
    <row r="885" spans="1:17" ht="20.100000000000001" customHeight="1">
      <c r="A885" s="3193"/>
      <c r="B885" s="3193"/>
      <c r="M885" s="3193"/>
      <c r="N885" s="3193"/>
      <c r="O885" s="3193"/>
      <c r="P885" s="3193"/>
      <c r="Q885" s="3193"/>
    </row>
    <row r="886" spans="1:17" ht="20.100000000000001" customHeight="1">
      <c r="A886" s="3193"/>
      <c r="B886" s="3193"/>
      <c r="M886" s="3193"/>
      <c r="N886" s="3193"/>
      <c r="O886" s="3193"/>
      <c r="P886" s="3193"/>
      <c r="Q886" s="3193"/>
    </row>
    <row r="887" spans="1:17" ht="20.100000000000001" customHeight="1">
      <c r="A887" s="3193"/>
      <c r="B887" s="3193"/>
      <c r="M887" s="3193"/>
      <c r="N887" s="3193"/>
      <c r="O887" s="3193"/>
      <c r="P887" s="3193"/>
      <c r="Q887" s="3193"/>
    </row>
    <row r="888" spans="1:17" ht="20.100000000000001" customHeight="1">
      <c r="A888" s="3193"/>
      <c r="B888" s="3193"/>
      <c r="M888" s="3193"/>
      <c r="N888" s="3193"/>
      <c r="O888" s="3193"/>
      <c r="P888" s="3193"/>
      <c r="Q888" s="3193"/>
    </row>
    <row r="889" spans="1:17" ht="20.100000000000001" customHeight="1">
      <c r="A889" s="3193"/>
      <c r="B889" s="3193"/>
      <c r="M889" s="3193"/>
      <c r="N889" s="3193"/>
      <c r="O889" s="3193"/>
      <c r="P889" s="3193"/>
      <c r="Q889" s="3193"/>
    </row>
    <row r="890" spans="1:17" ht="20.100000000000001" customHeight="1">
      <c r="A890" s="3193"/>
      <c r="B890" s="3193"/>
      <c r="M890" s="3193"/>
      <c r="N890" s="3193"/>
      <c r="O890" s="3193"/>
      <c r="P890" s="3193"/>
      <c r="Q890" s="3193"/>
    </row>
    <row r="891" spans="1:17">
      <c r="A891" s="3193"/>
      <c r="B891" s="3"/>
      <c r="M891" s="3193"/>
      <c r="N891" s="3193"/>
      <c r="O891" s="3193"/>
      <c r="P891" s="3193"/>
      <c r="Q891" s="3193"/>
    </row>
    <row r="892" spans="1:17">
      <c r="A892" s="3193"/>
      <c r="B892" s="3"/>
      <c r="M892" s="3193"/>
      <c r="N892" s="3193"/>
      <c r="O892" s="3193"/>
      <c r="P892" s="3193"/>
      <c r="Q892" s="3193"/>
    </row>
    <row r="893" spans="1:17">
      <c r="A893" s="3193"/>
      <c r="B893" s="3"/>
      <c r="M893" s="3193"/>
      <c r="N893" s="3193"/>
      <c r="O893" s="3193"/>
      <c r="P893" s="3193"/>
      <c r="Q893" s="3193"/>
    </row>
    <row r="894" spans="1:17">
      <c r="A894" s="3193"/>
      <c r="B894" s="3"/>
      <c r="M894" s="3193"/>
      <c r="N894" s="3193"/>
      <c r="O894" s="3193"/>
      <c r="P894" s="3193"/>
      <c r="Q894" s="3193"/>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F689:F690"/>
    <mergeCell ref="G689:G690"/>
    <mergeCell ref="H689:H690"/>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692:C693"/>
    <mergeCell ref="D692:D693"/>
    <mergeCell ref="E692:F693"/>
    <mergeCell ref="G692:G693"/>
    <mergeCell ref="H692:H693"/>
    <mergeCell ref="I692:J693"/>
    <mergeCell ref="D667:F667"/>
    <mergeCell ref="D669:F669"/>
    <mergeCell ref="D671:F671"/>
    <mergeCell ref="C676:L676"/>
    <mergeCell ref="C678:L681"/>
    <mergeCell ref="C682:L685"/>
    <mergeCell ref="I689:I690"/>
    <mergeCell ref="J689:J690"/>
    <mergeCell ref="C654:C656"/>
    <mergeCell ref="D655:F655"/>
    <mergeCell ref="D656:F656"/>
    <mergeCell ref="C658:C663"/>
    <mergeCell ref="D659:F659"/>
    <mergeCell ref="D660:F660"/>
    <mergeCell ref="D661:F661"/>
    <mergeCell ref="D662:F662"/>
    <mergeCell ref="D663:F663"/>
    <mergeCell ref="C686:F687"/>
    <mergeCell ref="G686:H687"/>
    <mergeCell ref="I686:I687"/>
    <mergeCell ref="J686:K687"/>
    <mergeCell ref="L686:L687"/>
    <mergeCell ref="C689:D690"/>
    <mergeCell ref="E689:E690"/>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C356:M358"/>
    <mergeCell ref="C364:M365"/>
    <mergeCell ref="C371:M372"/>
    <mergeCell ref="B374:J374"/>
    <mergeCell ref="B375:J375"/>
    <mergeCell ref="I343:I344"/>
    <mergeCell ref="L343:L344"/>
    <mergeCell ref="M343:M344"/>
    <mergeCell ref="D345:I345"/>
    <mergeCell ref="J350:K351"/>
    <mergeCell ref="L350:M351"/>
    <mergeCell ref="D341:M341"/>
    <mergeCell ref="C342:L342"/>
    <mergeCell ref="C343:C344"/>
    <mergeCell ref="D343:D344"/>
    <mergeCell ref="E343:E344"/>
    <mergeCell ref="F343:F344"/>
    <mergeCell ref="G343:G344"/>
    <mergeCell ref="H343:H344"/>
    <mergeCell ref="D355:M355"/>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 ref="C66:F66"/>
    <mergeCell ref="C68:D68"/>
    <mergeCell ref="M68:P68"/>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00000000-0004-0000-1D00-000000000000}"/>
    <hyperlink ref="C438" r:id="rId2" xr:uid="{00000000-0004-0000-1D00-000001000000}"/>
    <hyperlink ref="C59" r:id="rId3" xr:uid="{00000000-0004-0000-1D00-000002000000}"/>
    <hyperlink ref="C61" r:id="rId4" xr:uid="{00000000-0004-0000-1D00-000003000000}"/>
    <hyperlink ref="B604" r:id="rId5" xr:uid="{00000000-0004-0000-1D00-000004000000}"/>
    <hyperlink ref="B610" r:id="rId6" xr:uid="{00000000-0004-0000-1D00-000005000000}"/>
    <hyperlink ref="B618" r:id="rId7" xr:uid="{00000000-0004-0000-1D00-000006000000}"/>
    <hyperlink ref="B617" r:id="rId8" xr:uid="{00000000-0004-0000-1D00-000007000000}"/>
    <hyperlink ref="B624" r:id="rId9" xr:uid="{00000000-0004-0000-1D00-000008000000}"/>
    <hyperlink ref="B628" r:id="rId10" xr:uid="{00000000-0004-0000-1D00-000009000000}"/>
    <hyperlink ref="B613" r:id="rId11" xr:uid="{00000000-0004-0000-1D00-00000A000000}"/>
    <hyperlink ref="J611" r:id="rId12" xr:uid="{00000000-0004-0000-1D00-00000B000000}"/>
    <hyperlink ref="J612" r:id="rId13" xr:uid="{00000000-0004-0000-1D00-00000C000000}"/>
    <hyperlink ref="J605" r:id="rId14" xr:uid="{00000000-0004-0000-1D00-00000D000000}"/>
    <hyperlink ref="J618" r:id="rId15" xr:uid="{00000000-0004-0000-1D00-00000E000000}"/>
    <hyperlink ref="J624" r:id="rId16" xr:uid="{00000000-0004-0000-1D00-00000F000000}"/>
    <hyperlink ref="J615" r:id="rId17" xr:uid="{00000000-0004-0000-1D00-000010000000}"/>
    <hyperlink ref="J629" r:id="rId18" xr:uid="{00000000-0004-0000-1D00-000011000000}"/>
    <hyperlink ref="J625" r:id="rId19" xr:uid="{00000000-0004-0000-1D00-000012000000}"/>
    <hyperlink ref="J626" r:id="rId20" xr:uid="{00000000-0004-0000-1D00-000013000000}"/>
    <hyperlink ref="J621" r:id="rId21" xr:uid="{00000000-0004-0000-1D00-000014000000}"/>
    <hyperlink ref="J552" r:id="rId22" xr:uid="{00000000-0004-0000-1D00-000015000000}"/>
    <hyperlink ref="K554" r:id="rId23" xr:uid="{00000000-0004-0000-1D00-000016000000}"/>
    <hyperlink ref="K556" r:id="rId24" xr:uid="{00000000-0004-0000-1D00-000017000000}"/>
    <hyperlink ref="K557" r:id="rId25" xr:uid="{00000000-0004-0000-1D00-000018000000}"/>
    <hyperlink ref="K553" r:id="rId26" xr:uid="{00000000-0004-0000-1D00-000019000000}"/>
    <hyperlink ref="K558" r:id="rId27" xr:uid="{00000000-0004-0000-1D00-00001A000000}"/>
    <hyperlink ref="K559" r:id="rId28" xr:uid="{00000000-0004-0000-1D00-00001B000000}"/>
    <hyperlink ref="K555" r:id="rId29" xr:uid="{00000000-0004-0000-1D00-00001C000000}"/>
    <hyperlink ref="C152" r:id="rId30" xr:uid="{00000000-0004-0000-1D00-00001D000000}"/>
    <hyperlink ref="C154" r:id="rId31" xr:uid="{00000000-0004-0000-1D00-00001E000000}"/>
    <hyperlink ref="C156" r:id="rId32" xr:uid="{00000000-0004-0000-1D00-00001F000000}"/>
    <hyperlink ref="B556" r:id="rId33" xr:uid="{00000000-0004-0000-1D00-000020000000}"/>
    <hyperlink ref="B557" r:id="rId34" xr:uid="{00000000-0004-0000-1D00-000021000000}"/>
    <hyperlink ref="B560" r:id="rId35" xr:uid="{00000000-0004-0000-1D00-000022000000}"/>
    <hyperlink ref="C179" r:id="rId36" display="http://www.mdf-xlpages.com/modules/publisher/item.php?itemid=167" xr:uid="{00000000-0004-0000-1D00-000023000000}"/>
    <hyperlink ref="C180" r:id="rId37" display="http://www.mdf-xlpages.com/modules/publisher/item.php?itemid=149" xr:uid="{00000000-0004-0000-1D00-000024000000}"/>
    <hyperlink ref="C181" r:id="rId38" display="http://www.mdf-xlpages.com/modules/publisher/item.php?itemid=152" xr:uid="{00000000-0004-0000-1D00-000025000000}"/>
    <hyperlink ref="C182" r:id="rId39" display="http://www.mdf-xlpages.com/modules/publisher/item.php?itemid=153" xr:uid="{00000000-0004-0000-1D00-000026000000}"/>
    <hyperlink ref="C184" r:id="rId40" display="http://www.mdf-xlpages.com/modules/publisher/item.php?itemid=134" xr:uid="{00000000-0004-0000-1D00-000027000000}"/>
    <hyperlink ref="C185" r:id="rId41" display="http://www.mdf-xlpages.com/modules/publisher/item.php?itemid=105" xr:uid="{00000000-0004-0000-1D00-000028000000}"/>
    <hyperlink ref="C186" r:id="rId42" display="http://www.mdf-xlpages.com/modules/publisher/item.php?itemid=91" xr:uid="{00000000-0004-0000-1D00-000029000000}"/>
    <hyperlink ref="C187" r:id="rId43" display="http://www.mdf-xlpages.com/modules/publisher/item.php?itemid=99" xr:uid="{00000000-0004-0000-1D00-00002A000000}"/>
    <hyperlink ref="C188" r:id="rId44" display="http://www.mdf-xlpages.com/modules/publisher/item.php?itemid=98" xr:uid="{00000000-0004-0000-1D00-00002B000000}"/>
    <hyperlink ref="C189" r:id="rId45" display="http://www.mdf-xlpages.com/modules/publisher/item.php?itemid=86" xr:uid="{00000000-0004-0000-1D00-00002C000000}"/>
    <hyperlink ref="C190" r:id="rId46" display="http://www.mdf-xlpages.com/modules/publisher/item.php?itemid=97" xr:uid="{00000000-0004-0000-1D00-00002D000000}"/>
    <hyperlink ref="C191" r:id="rId47" display="http://www.mdf-xlpages.com/modules/publisher/item.php?itemid=93" xr:uid="{00000000-0004-0000-1D00-00002E000000}"/>
    <hyperlink ref="C192" r:id="rId48" display="http://www.mdf-xlpages.com/modules/publisher/item.php?itemid=84" xr:uid="{00000000-0004-0000-1D00-00002F000000}"/>
    <hyperlink ref="C193" r:id="rId49" display="http://www.mdf-xlpages.com/modules/publisher/item.php?itemid=94" xr:uid="{00000000-0004-0000-1D00-000030000000}"/>
    <hyperlink ref="C194" r:id="rId50" display="http://www.mdf-xlpages.com/modules/publisher/item.php?itemid=83" xr:uid="{00000000-0004-0000-1D00-000031000000}"/>
    <hyperlink ref="C195" r:id="rId51" display="http://www.mdf-xlpages.com/modules/publisher/item.php?itemid=87" xr:uid="{00000000-0004-0000-1D00-000032000000}"/>
    <hyperlink ref="C196" r:id="rId52" display="http://www.mdf-xlpages.com/modules/publisher/item.php?itemid=85" xr:uid="{00000000-0004-0000-1D00-000033000000}"/>
    <hyperlink ref="C197" r:id="rId53" display="http://www.mdf-xlpages.com/modules/publisher/item.php?itemid=81" xr:uid="{00000000-0004-0000-1D00-000034000000}"/>
    <hyperlink ref="C198" r:id="rId54" display="http://www.mdf-xlpages.com/modules/publisher/item.php?itemid=82" xr:uid="{00000000-0004-0000-1D00-000035000000}"/>
    <hyperlink ref="C199" r:id="rId55" display="http://www.mdf-xlpages.com/modules/publisher/item.php?itemid=90" xr:uid="{00000000-0004-0000-1D00-000036000000}"/>
    <hyperlink ref="C200" r:id="rId56" display="http://www.mdf-xlpages.com/modules/publisher/item.php?itemid=76" xr:uid="{00000000-0004-0000-1D00-000037000000}"/>
    <hyperlink ref="C201" r:id="rId57" display="http://www.mdf-xlpages.com/modules/publisher/item.php?itemid=64" xr:uid="{00000000-0004-0000-1D00-000038000000}"/>
    <hyperlink ref="C202" r:id="rId58" display="http://www.mdf-xlpages.com/modules/publisher/item.php?itemid=63" xr:uid="{00000000-0004-0000-1D00-000039000000}"/>
    <hyperlink ref="C203" r:id="rId59" display="http://www.mdf-xlpages.com/modules/publisher/item.php?itemid=62" xr:uid="{00000000-0004-0000-1D00-00003A000000}"/>
    <hyperlink ref="C204" r:id="rId60" display="http://www.mdf-xlpages.com/modules/publisher/item.php?itemid=25" xr:uid="{00000000-0004-0000-1D00-00003B000000}"/>
    <hyperlink ref="D176" r:id="rId61" xr:uid="{00000000-0004-0000-1D00-00003C000000}"/>
    <hyperlink ref="C158" r:id="rId62" xr:uid="{00000000-0004-0000-1D00-00003D000000}"/>
    <hyperlink ref="C64" r:id="rId63" xr:uid="{00000000-0004-0000-1D00-00003E000000}"/>
    <hyperlink ref="C66" r:id="rId64" display="http://www.uprt.fr/mesimages/fichiers-uprt/ff-fiches-fabrication/ff-fiches-fabrication-maj-02-2015/ff-documents-divers-maj-02-2015/ff-fiches-apprentis-Patissiers-07-03-2016.xlsx" xr:uid="{00000000-0004-0000-1D00-00003F000000}"/>
    <hyperlink ref="C68" r:id="rId65" display="http://www.uprt.fr/mesimages/fichiers-uprt/ff-fiches-fabrication/ff-fiches-fabrication-maj-02-2015/ff-documents-divers-maj-02-2015/ff-Croquis.xlsx" xr:uid="{00000000-0004-0000-1D00-000040000000}"/>
    <hyperlink ref="C70" r:id="rId66" display="http://www.uprt.fr/mesimages/fichiers-uprt/ff-fiches-fabrication/ff-fiches-fabrication-maj-02-2015/ff-documents-divers-maj-02-2015/ff-qualiterecettes2007.xls" xr:uid="{00000000-0004-0000-1D00-000041000000}"/>
    <hyperlink ref="C72" r:id="rId67" display="http://www.uprt.fr/mesimages/fichiers-uprt/ff-fiches-fabrication/ff-fiches-fabrication-maj-02-2015/ff-documents-divers-maj-02-2015/ff-tableau-cuisson.pdf" xr:uid="{00000000-0004-0000-1D00-000042000000}"/>
    <hyperlink ref="C76" r:id="rId68" xr:uid="{00000000-0004-0000-1D00-000043000000}"/>
    <hyperlink ref="K431" r:id="rId69" xr:uid="{00000000-0004-0000-1D00-000044000000}"/>
    <hyperlink ref="F431" r:id="rId70" xr:uid="{00000000-0004-0000-1D00-000045000000}"/>
    <hyperlink ref="C132" r:id="rId71" xr:uid="{00000000-0004-0000-1D00-000046000000}"/>
    <hyperlink ref="C134" r:id="rId72" xr:uid="{00000000-0004-0000-1D00-000047000000}"/>
    <hyperlink ref="C137" r:id="rId73" xr:uid="{00000000-0004-0000-1D00-000048000000}"/>
    <hyperlink ref="C140" r:id="rId74" tooltip="Télécharger" display="http://joseph.larmarange.net/IMG/pdf/memo_caracteres_speciaux_windows.pdf" xr:uid="{00000000-0004-0000-1D00-000049000000}"/>
    <hyperlink ref="C143" r:id="rId75" xr:uid="{00000000-0004-0000-1D00-00004A000000}"/>
    <hyperlink ref="C148" r:id="rId76" xr:uid="{00000000-0004-0000-1D00-00004B000000}"/>
    <hyperlink ref="C6" r:id="rId77" xr:uid="{00000000-0004-0000-1D00-00004C000000}"/>
    <hyperlink ref="C127" r:id="rId78" xr:uid="{00000000-0004-0000-1D00-00004D000000}"/>
    <hyperlink ref="C129:F129" r:id="rId79" display="visualiseur d'Emoji et de symboles" xr:uid="{00000000-0004-0000-1D00-00004E000000}"/>
    <hyperlink ref="C145" r:id="rId80" xr:uid="{00000000-0004-0000-1D00-00004F000000}"/>
    <hyperlink ref="C125:H125" r:id="rId81" display="caractères  Alphanumériques cerclés" xr:uid="{00000000-0004-0000-1D00-000050000000}"/>
    <hyperlink ref="C74" r:id="rId82" display="http://www.uprt.fr/mesimages/fichiers-uprt/pt-procedures-techniques/PT-bonnes-pratiques.doc" xr:uid="{00000000-0004-0000-1D00-000051000000}"/>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1D00-000052000000}"/>
    <hyperlink ref="H491" r:id="rId84" xr:uid="{00000000-0004-0000-1D00-000053000000}"/>
    <hyperlink ref="H492" r:id="rId85" xr:uid="{00000000-0004-0000-1D00-000054000000}"/>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1D00-000055000000}"/>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1D00-000056000000}"/>
    <hyperlink ref="B223" r:id="rId88" xr:uid="{00000000-0004-0000-1D00-000057000000}"/>
    <hyperlink ref="B228" r:id="rId89" location="6" display="http://matoumatheux.ac-rennes.fr/num/numeration/doigt.htm - 6" xr:uid="{00000000-0004-0000-1D00-000058000000}"/>
    <hyperlink ref="B229" r:id="rId90" location="6" display="http://matoumatheux.ac-rennes.fr/num/probleme/classer.htm - 6" xr:uid="{00000000-0004-0000-1D00-000059000000}"/>
    <hyperlink ref="B230" r:id="rId91" location="6" display="http://matoumatheux.ac-rennes.fr/num/probleme/seringue.htm - 6" xr:uid="{00000000-0004-0000-1D00-00005A000000}"/>
    <hyperlink ref="B231" r:id="rId92" location="6" display="http://matoumatheux.ac-rennes.fr/num/probleme/etiquettes.htm - 6" xr:uid="{00000000-0004-0000-1D00-00005B000000}"/>
    <hyperlink ref="G223" r:id="rId93" location="6" display="http://matoumatheux.ac-rennes.fr/num/fractions/6/menthe1.htm - 6" xr:uid="{00000000-0004-0000-1D00-00005C000000}"/>
    <hyperlink ref="G225" r:id="rId94" location="6" display="http://matoumatheux.ac-rennes.fr/num/fractions/6/cocktail2.htm - 6" xr:uid="{00000000-0004-0000-1D00-00005D000000}"/>
    <hyperlink ref="G224" r:id="rId95" location="6" display="http://matoumatheux.ac-rennes.fr/num/fractions/6/cocktail1.htm - 6" xr:uid="{00000000-0004-0000-1D00-00005E000000}"/>
    <hyperlink ref="G226" r:id="rId96" location="6" display="http://matoumatheux.ac-rennes.fr/num/fractions/6/cocktail3.htm - 6" xr:uid="{00000000-0004-0000-1D00-00005F000000}"/>
    <hyperlink ref="G227" r:id="rId97" location="6" display="http://matoumatheux.ac-rennes.fr/num/fractions/6/cocktail4.htm - 6" xr:uid="{00000000-0004-0000-1D00-000060000000}"/>
    <hyperlink ref="G229" r:id="rId98" location="6" display="http://matoumatheux.ac-rennes.fr/num/fractions/6/fractionsM.htm - 6" xr:uid="{00000000-0004-0000-1D00-000061000000}"/>
    <hyperlink ref="G230" r:id="rId99" location="6" display="http://matoumatheux.ac-rennes.fr/num/fractions/6/fractionsM2.htm - 6" xr:uid="{00000000-0004-0000-1D00-000062000000}"/>
    <hyperlink ref="G228" r:id="rId100" location="6" display="http://matoumatheux.ac-rennes.fr/num/fractions/6/menthe.htm - 6" xr:uid="{00000000-0004-0000-1D00-000063000000}"/>
    <hyperlink ref="G231" r:id="rId101" location="6" display="http://matoumatheux.ac-rennes.fr/num/fractions/6/poisson.htm - 6" xr:uid="{00000000-0004-0000-1D00-000064000000}"/>
    <hyperlink ref="G232" r:id="rId102" location="6" display="http://matoumatheux.ac-rennes.fr/num/proportionnalite/6/creme.htm - 6" xr:uid="{00000000-0004-0000-1D00-000065000000}"/>
    <hyperlink ref="K223" r:id="rId103" location="6" display="http://matoumatheux.ac-rennes.fr/num/proportionnalite/6/gateauriz.htm - 6" xr:uid="{00000000-0004-0000-1D00-000066000000}"/>
    <hyperlink ref="K224" r:id="rId104" location="6" display="http://matoumatheux.ac-rennes.fr/num/proportionnalite/6/far.htm - 6" xr:uid="{00000000-0004-0000-1D00-000067000000}"/>
    <hyperlink ref="K225" r:id="rId105" location="6" display="http://matoumatheux.ac-rennes.fr/num/proportionnalite/6/boulangerie.htm - 6" xr:uid="{00000000-0004-0000-1D00-000068000000}"/>
    <hyperlink ref="B232" r:id="rId106" location="6" display="http://matoumatheux.ac-rennes.fr/geom/unite/mesureur.htm - 6" xr:uid="{00000000-0004-0000-1D00-000069000000}"/>
    <hyperlink ref="K228" r:id="rId107" location="6" display="http://matoumatheux.ac-rennes.fr/cours/mesures/convlong.htm - 6" xr:uid="{00000000-0004-0000-1D00-00006A000000}"/>
    <hyperlink ref="K229" r:id="rId108" location="6" display="http://matoumatheux.ac-rennes.fr/cours/mesures/convmasse.htm - 6" xr:uid="{00000000-0004-0000-1D00-00006B000000}"/>
    <hyperlink ref="K230" r:id="rId109" location="6" display="http://matoumatheux.ac-rennes.fr/geom/cercle/Bebert11.htm - 6" xr:uid="{00000000-0004-0000-1D00-00006C000000}"/>
    <hyperlink ref="K231" r:id="rId110" location="6" display="http://matoumatheux.ac-rennes.fr/geom/cercle/Bebert21.htm - 6" xr:uid="{00000000-0004-0000-1D00-00006D000000}"/>
    <hyperlink ref="K232" r:id="rId111" location="6" display="http://matoumatheux.ac-rennes.fr/geom/cercle/chien.htm - 6" xr:uid="{00000000-0004-0000-1D00-00006E000000}"/>
    <hyperlink ref="O223" r:id="rId112" location="6" display="http://matoumatheux.ac-rennes.fr/geom/solides/6/ruban.htm - 6" xr:uid="{00000000-0004-0000-1D00-00006F000000}"/>
    <hyperlink ref="O224" r:id="rId113" location="5" display="http://matoumatheux.ac-rennes.fr/geom/cercle/5/aire.htm - 5" xr:uid="{00000000-0004-0000-1D00-000070000000}"/>
    <hyperlink ref="O225" r:id="rId114" location="5" display="http://matoumatheux.ac-rennes.fr/geom/cercle/5/rayon.htm - 5" xr:uid="{00000000-0004-0000-1D00-000071000000}"/>
    <hyperlink ref="O226" r:id="rId115" location="5" display="http://matoumatheux.ac-rennes.fr/geom/cercle/5/couronne.htm - 5" xr:uid="{00000000-0004-0000-1D00-000072000000}"/>
    <hyperlink ref="O227" r:id="rId116" location="5" display="http://matoumatheux.ac-rennes.fr/geom/solides/5/airecylindre.htm - 5" xr:uid="{00000000-0004-0000-1D00-000073000000}"/>
    <hyperlink ref="O228" r:id="rId117" location="5" display="http://matoumatheux.ac-rennes.fr/geom/solides/5/volcylindre.htm - 5" xr:uid="{00000000-0004-0000-1D00-000074000000}"/>
    <hyperlink ref="O230" r:id="rId118" location="4" display="http://matoumatheux.ac-rennes.fr/num/puissances/gateau.htm - 4" xr:uid="{00000000-0004-0000-1D00-000075000000}"/>
    <hyperlink ref="O229" r:id="rId119" location="4" display="http://matoumatheux.ac-rennes.fr/cours/volume/cylindre.htm - 4" xr:uid="{00000000-0004-0000-1D00-000076000000}"/>
    <hyperlink ref="O231" r:id="rId120" location="4" display="http://matoumatheux.ac-rennes.fr/cours/aire/airerect.htm - 4" xr:uid="{00000000-0004-0000-1D00-000077000000}"/>
    <hyperlink ref="O232" r:id="rId121" location="3" display="http://matoumatheux.ac-rennes.fr/num/diviseur/probleme1.htm - 3" xr:uid="{00000000-0004-0000-1D00-000078000000}"/>
    <hyperlink ref="O233" r:id="rId122" location="3" display="http://matoumatheux.ac-rennes.fr/num/courbe/casserole.htm - 3" xr:uid="{00000000-0004-0000-1D00-000079000000}"/>
    <hyperlink ref="B236" r:id="rId123" xr:uid="{00000000-0004-0000-1D00-00007A000000}"/>
    <hyperlink ref="G236" r:id="rId124" xr:uid="{00000000-0004-0000-1D00-00007B000000}"/>
    <hyperlink ref="K236" r:id="rId125" xr:uid="{00000000-0004-0000-1D00-00007C000000}"/>
    <hyperlink ref="O236" r:id="rId126" location="q=RECETTES+PATISSERIE" xr:uid="{00000000-0004-0000-1D00-00007D000000}"/>
    <hyperlink ref="E239" r:id="rId127" xr:uid="{00000000-0004-0000-1D00-00007E000000}"/>
    <hyperlink ref="G239" r:id="rId128" xr:uid="{00000000-0004-0000-1D00-00007F000000}"/>
    <hyperlink ref="J239" r:id="rId129" xr:uid="{00000000-0004-0000-1D00-000080000000}"/>
    <hyperlink ref="M239" r:id="rId130" xr:uid="{00000000-0004-0000-1D00-000081000000}"/>
    <hyperlink ref="J280" r:id="rId131" xr:uid="{00000000-0004-0000-1D00-000082000000}"/>
    <hyperlink ref="B404" r:id="rId132" xr:uid="{00000000-0004-0000-1D00-000083000000}"/>
    <hyperlink ref="D369" r:id="rId133" xr:uid="{00000000-0004-0000-1D00-000084000000}"/>
  </hyperlinks>
  <pageMargins left="0.7" right="0.7" top="0.75" bottom="0.75" header="0.3" footer="0.3"/>
  <pageSetup paperSize="9" orientation="portrait" r:id="rId134"/>
  <drawing r:id="rId13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X131"/>
  <sheetViews>
    <sheetView showZeros="0" showWhiteSpace="0" zoomScaleNormal="100" zoomScalePageLayoutView="58" workbookViewId="0">
      <selection activeCell="AN8" sqref="AN8"/>
    </sheetView>
  </sheetViews>
  <sheetFormatPr baseColWidth="10" defaultRowHeight="15"/>
  <cols>
    <col min="1" max="1" width="3.25" style="2089" customWidth="1"/>
    <col min="2" max="2" width="4.75" style="2100" customWidth="1"/>
    <col min="3" max="3" width="26.125" style="2100" customWidth="1"/>
    <col min="4" max="4" width="4.75" style="2100" customWidth="1"/>
    <col min="5" max="5" width="31.125" style="2100" customWidth="1"/>
    <col min="6" max="6" width="4.75" style="2100" customWidth="1"/>
    <col min="7" max="7" width="29.125" style="2100" customWidth="1"/>
    <col min="8" max="8" width="4.75" style="2100" customWidth="1"/>
    <col min="9" max="9" width="28.25" style="2100" customWidth="1"/>
    <col min="10" max="10" width="3" style="2100" customWidth="1"/>
    <col min="11" max="11" width="3.625" style="2100" customWidth="1"/>
    <col min="12" max="12" width="4.75" style="2100" customWidth="1"/>
    <col min="13" max="13" width="17.75" style="2100" customWidth="1"/>
    <col min="14" max="14" width="4.75" style="2100" customWidth="1"/>
    <col min="15" max="15" width="16.375" style="2100" customWidth="1"/>
    <col min="16" max="16" width="4.75" style="2100" customWidth="1"/>
    <col min="17" max="17" width="16.5" style="2100" customWidth="1"/>
    <col min="18" max="18" width="4.75" style="2100" customWidth="1"/>
    <col min="19" max="19" width="14.25" style="2100" customWidth="1"/>
    <col min="20" max="20" width="2.5" style="2100" customWidth="1"/>
    <col min="21" max="21" width="4.75" style="2089" customWidth="1"/>
    <col min="22" max="22" width="4.125" style="2089" customWidth="1"/>
    <col min="23" max="23" width="29.875" style="2089" customWidth="1"/>
    <col min="24" max="24" width="5" style="2089" customWidth="1"/>
    <col min="25" max="25" width="22.5" style="2089" customWidth="1"/>
    <col min="26" max="26" width="4.875" style="2089" bestFit="1" customWidth="1"/>
    <col min="27" max="27" width="24" style="2089" customWidth="1"/>
    <col min="28" max="28" width="4.875" style="2089" bestFit="1" customWidth="1"/>
    <col min="29" max="29" width="32.125" style="2089" customWidth="1"/>
    <col min="30" max="30" width="4.875" style="2089" bestFit="1" customWidth="1"/>
    <col min="31" max="31" width="29.75" style="2089" customWidth="1"/>
    <col min="32" max="32" width="4.875" style="2089" bestFit="1" customWidth="1"/>
    <col min="33" max="33" width="22.5" style="2089" customWidth="1"/>
    <col min="34" max="40" width="11" style="2089"/>
    <col min="41" max="41" width="11" style="3191"/>
    <col min="42" max="42" width="147.375" style="3191" customWidth="1"/>
    <col min="43" max="43" width="11" style="2089"/>
    <col min="44" max="44" width="4.125" style="3817" customWidth="1"/>
    <col min="45" max="45" width="35.625" style="3817" customWidth="1"/>
    <col min="46" max="46" width="11.125" style="3817" customWidth="1"/>
    <col min="47" max="47" width="4.25" style="3817" customWidth="1"/>
    <col min="48" max="48" width="4.125" style="3817" customWidth="1"/>
    <col min="49" max="49" width="35.625" style="3817" customWidth="1"/>
    <col min="50" max="50" width="11.125" style="3817" customWidth="1"/>
    <col min="51" max="254" width="11" style="2089"/>
    <col min="255" max="255" width="4.75" style="2089" customWidth="1"/>
    <col min="256" max="256" width="38.125" style="2089" customWidth="1"/>
    <col min="257" max="257" width="4.75" style="2089" customWidth="1"/>
    <col min="258" max="258" width="38.125" style="2089" customWidth="1"/>
    <col min="259" max="259" width="4.75" style="2089" customWidth="1"/>
    <col min="260" max="260" width="38.125" style="2089" customWidth="1"/>
    <col min="261" max="261" width="4.75" style="2089" customWidth="1"/>
    <col min="262" max="262" width="38.125" style="2089" customWidth="1"/>
    <col min="263" max="263" width="3" style="2089" customWidth="1"/>
    <col min="264" max="264" width="12" style="2089" customWidth="1"/>
    <col min="265" max="265" width="4.75" style="2089" customWidth="1"/>
    <col min="266" max="266" width="38.125" style="2089" customWidth="1"/>
    <col min="267" max="267" width="4.75" style="2089" customWidth="1"/>
    <col min="268" max="268" width="38.125" style="2089" customWidth="1"/>
    <col min="269" max="269" width="4.75" style="2089" customWidth="1"/>
    <col min="270" max="270" width="38.125" style="2089" customWidth="1"/>
    <col min="271" max="271" width="4.75" style="2089" customWidth="1"/>
    <col min="272" max="272" width="38.125" style="2089" customWidth="1"/>
    <col min="273" max="273" width="2.5" style="2089" customWidth="1"/>
    <col min="274" max="510" width="11" style="2089"/>
    <col min="511" max="511" width="4.75" style="2089" customWidth="1"/>
    <col min="512" max="512" width="38.125" style="2089" customWidth="1"/>
    <col min="513" max="513" width="4.75" style="2089" customWidth="1"/>
    <col min="514" max="514" width="38.125" style="2089" customWidth="1"/>
    <col min="515" max="515" width="4.75" style="2089" customWidth="1"/>
    <col min="516" max="516" width="38.125" style="2089" customWidth="1"/>
    <col min="517" max="517" width="4.75" style="2089" customWidth="1"/>
    <col min="518" max="518" width="38.125" style="2089" customWidth="1"/>
    <col min="519" max="519" width="3" style="2089" customWidth="1"/>
    <col min="520" max="520" width="12" style="2089" customWidth="1"/>
    <col min="521" max="521" width="4.75" style="2089" customWidth="1"/>
    <col min="522" max="522" width="38.125" style="2089" customWidth="1"/>
    <col min="523" max="523" width="4.75" style="2089" customWidth="1"/>
    <col min="524" max="524" width="38.125" style="2089" customWidth="1"/>
    <col min="525" max="525" width="4.75" style="2089" customWidth="1"/>
    <col min="526" max="526" width="38.125" style="2089" customWidth="1"/>
    <col min="527" max="527" width="4.75" style="2089" customWidth="1"/>
    <col min="528" max="528" width="38.125" style="2089" customWidth="1"/>
    <col min="529" max="529" width="2.5" style="2089" customWidth="1"/>
    <col min="530" max="766" width="11" style="2089"/>
    <col min="767" max="767" width="4.75" style="2089" customWidth="1"/>
    <col min="768" max="768" width="38.125" style="2089" customWidth="1"/>
    <col min="769" max="769" width="4.75" style="2089" customWidth="1"/>
    <col min="770" max="770" width="38.125" style="2089" customWidth="1"/>
    <col min="771" max="771" width="4.75" style="2089" customWidth="1"/>
    <col min="772" max="772" width="38.125" style="2089" customWidth="1"/>
    <col min="773" max="773" width="4.75" style="2089" customWidth="1"/>
    <col min="774" max="774" width="38.125" style="2089" customWidth="1"/>
    <col min="775" max="775" width="3" style="2089" customWidth="1"/>
    <col min="776" max="776" width="12" style="2089" customWidth="1"/>
    <col min="777" max="777" width="4.75" style="2089" customWidth="1"/>
    <col min="778" max="778" width="38.125" style="2089" customWidth="1"/>
    <col min="779" max="779" width="4.75" style="2089" customWidth="1"/>
    <col min="780" max="780" width="38.125" style="2089" customWidth="1"/>
    <col min="781" max="781" width="4.75" style="2089" customWidth="1"/>
    <col min="782" max="782" width="38.125" style="2089" customWidth="1"/>
    <col min="783" max="783" width="4.75" style="2089" customWidth="1"/>
    <col min="784" max="784" width="38.125" style="2089" customWidth="1"/>
    <col min="785" max="785" width="2.5" style="2089" customWidth="1"/>
    <col min="786" max="1022" width="11" style="2089"/>
    <col min="1023" max="1023" width="4.75" style="2089" customWidth="1"/>
    <col min="1024" max="1024" width="38.125" style="2089" customWidth="1"/>
    <col min="1025" max="1025" width="4.75" style="2089" customWidth="1"/>
    <col min="1026" max="1026" width="38.125" style="2089" customWidth="1"/>
    <col min="1027" max="1027" width="4.75" style="2089" customWidth="1"/>
    <col min="1028" max="1028" width="38.125" style="2089" customWidth="1"/>
    <col min="1029" max="1029" width="4.75" style="2089" customWidth="1"/>
    <col min="1030" max="1030" width="38.125" style="2089" customWidth="1"/>
    <col min="1031" max="1031" width="3" style="2089" customWidth="1"/>
    <col min="1032" max="1032" width="12" style="2089" customWidth="1"/>
    <col min="1033" max="1033" width="4.75" style="2089" customWidth="1"/>
    <col min="1034" max="1034" width="38.125" style="2089" customWidth="1"/>
    <col min="1035" max="1035" width="4.75" style="2089" customWidth="1"/>
    <col min="1036" max="1036" width="38.125" style="2089" customWidth="1"/>
    <col min="1037" max="1037" width="4.75" style="2089" customWidth="1"/>
    <col min="1038" max="1038" width="38.125" style="2089" customWidth="1"/>
    <col min="1039" max="1039" width="4.75" style="2089" customWidth="1"/>
    <col min="1040" max="1040" width="38.125" style="2089" customWidth="1"/>
    <col min="1041" max="1041" width="2.5" style="2089" customWidth="1"/>
    <col min="1042" max="1278" width="11" style="2089"/>
    <col min="1279" max="1279" width="4.75" style="2089" customWidth="1"/>
    <col min="1280" max="1280" width="38.125" style="2089" customWidth="1"/>
    <col min="1281" max="1281" width="4.75" style="2089" customWidth="1"/>
    <col min="1282" max="1282" width="38.125" style="2089" customWidth="1"/>
    <col min="1283" max="1283" width="4.75" style="2089" customWidth="1"/>
    <col min="1284" max="1284" width="38.125" style="2089" customWidth="1"/>
    <col min="1285" max="1285" width="4.75" style="2089" customWidth="1"/>
    <col min="1286" max="1286" width="38.125" style="2089" customWidth="1"/>
    <col min="1287" max="1287" width="3" style="2089" customWidth="1"/>
    <col min="1288" max="1288" width="12" style="2089" customWidth="1"/>
    <col min="1289" max="1289" width="4.75" style="2089" customWidth="1"/>
    <col min="1290" max="1290" width="38.125" style="2089" customWidth="1"/>
    <col min="1291" max="1291" width="4.75" style="2089" customWidth="1"/>
    <col min="1292" max="1292" width="38.125" style="2089" customWidth="1"/>
    <col min="1293" max="1293" width="4.75" style="2089" customWidth="1"/>
    <col min="1294" max="1294" width="38.125" style="2089" customWidth="1"/>
    <col min="1295" max="1295" width="4.75" style="2089" customWidth="1"/>
    <col min="1296" max="1296" width="38.125" style="2089" customWidth="1"/>
    <col min="1297" max="1297" width="2.5" style="2089" customWidth="1"/>
    <col min="1298" max="1534" width="11" style="2089"/>
    <col min="1535" max="1535" width="4.75" style="2089" customWidth="1"/>
    <col min="1536" max="1536" width="38.125" style="2089" customWidth="1"/>
    <col min="1537" max="1537" width="4.75" style="2089" customWidth="1"/>
    <col min="1538" max="1538" width="38.125" style="2089" customWidth="1"/>
    <col min="1539" max="1539" width="4.75" style="2089" customWidth="1"/>
    <col min="1540" max="1540" width="38.125" style="2089" customWidth="1"/>
    <col min="1541" max="1541" width="4.75" style="2089" customWidth="1"/>
    <col min="1542" max="1542" width="38.125" style="2089" customWidth="1"/>
    <col min="1543" max="1543" width="3" style="2089" customWidth="1"/>
    <col min="1544" max="1544" width="12" style="2089" customWidth="1"/>
    <col min="1545" max="1545" width="4.75" style="2089" customWidth="1"/>
    <col min="1546" max="1546" width="38.125" style="2089" customWidth="1"/>
    <col min="1547" max="1547" width="4.75" style="2089" customWidth="1"/>
    <col min="1548" max="1548" width="38.125" style="2089" customWidth="1"/>
    <col min="1549" max="1549" width="4.75" style="2089" customWidth="1"/>
    <col min="1550" max="1550" width="38.125" style="2089" customWidth="1"/>
    <col min="1551" max="1551" width="4.75" style="2089" customWidth="1"/>
    <col min="1552" max="1552" width="38.125" style="2089" customWidth="1"/>
    <col min="1553" max="1553" width="2.5" style="2089" customWidth="1"/>
    <col min="1554" max="1790" width="11" style="2089"/>
    <col min="1791" max="1791" width="4.75" style="2089" customWidth="1"/>
    <col min="1792" max="1792" width="38.125" style="2089" customWidth="1"/>
    <col min="1793" max="1793" width="4.75" style="2089" customWidth="1"/>
    <col min="1794" max="1794" width="38.125" style="2089" customWidth="1"/>
    <col min="1795" max="1795" width="4.75" style="2089" customWidth="1"/>
    <col min="1796" max="1796" width="38.125" style="2089" customWidth="1"/>
    <col min="1797" max="1797" width="4.75" style="2089" customWidth="1"/>
    <col min="1798" max="1798" width="38.125" style="2089" customWidth="1"/>
    <col min="1799" max="1799" width="3" style="2089" customWidth="1"/>
    <col min="1800" max="1800" width="12" style="2089" customWidth="1"/>
    <col min="1801" max="1801" width="4.75" style="2089" customWidth="1"/>
    <col min="1802" max="1802" width="38.125" style="2089" customWidth="1"/>
    <col min="1803" max="1803" width="4.75" style="2089" customWidth="1"/>
    <col min="1804" max="1804" width="38.125" style="2089" customWidth="1"/>
    <col min="1805" max="1805" width="4.75" style="2089" customWidth="1"/>
    <col min="1806" max="1806" width="38.125" style="2089" customWidth="1"/>
    <col min="1807" max="1807" width="4.75" style="2089" customWidth="1"/>
    <col min="1808" max="1808" width="38.125" style="2089" customWidth="1"/>
    <col min="1809" max="1809" width="2.5" style="2089" customWidth="1"/>
    <col min="1810" max="2046" width="11" style="2089"/>
    <col min="2047" max="2047" width="4.75" style="2089" customWidth="1"/>
    <col min="2048" max="2048" width="38.125" style="2089" customWidth="1"/>
    <col min="2049" max="2049" width="4.75" style="2089" customWidth="1"/>
    <col min="2050" max="2050" width="38.125" style="2089" customWidth="1"/>
    <col min="2051" max="2051" width="4.75" style="2089" customWidth="1"/>
    <col min="2052" max="2052" width="38.125" style="2089" customWidth="1"/>
    <col min="2053" max="2053" width="4.75" style="2089" customWidth="1"/>
    <col min="2054" max="2054" width="38.125" style="2089" customWidth="1"/>
    <col min="2055" max="2055" width="3" style="2089" customWidth="1"/>
    <col min="2056" max="2056" width="12" style="2089" customWidth="1"/>
    <col min="2057" max="2057" width="4.75" style="2089" customWidth="1"/>
    <col min="2058" max="2058" width="38.125" style="2089" customWidth="1"/>
    <col min="2059" max="2059" width="4.75" style="2089" customWidth="1"/>
    <col min="2060" max="2060" width="38.125" style="2089" customWidth="1"/>
    <col min="2061" max="2061" width="4.75" style="2089" customWidth="1"/>
    <col min="2062" max="2062" width="38.125" style="2089" customWidth="1"/>
    <col min="2063" max="2063" width="4.75" style="2089" customWidth="1"/>
    <col min="2064" max="2064" width="38.125" style="2089" customWidth="1"/>
    <col min="2065" max="2065" width="2.5" style="2089" customWidth="1"/>
    <col min="2066" max="2302" width="11" style="2089"/>
    <col min="2303" max="2303" width="4.75" style="2089" customWidth="1"/>
    <col min="2304" max="2304" width="38.125" style="2089" customWidth="1"/>
    <col min="2305" max="2305" width="4.75" style="2089" customWidth="1"/>
    <col min="2306" max="2306" width="38.125" style="2089" customWidth="1"/>
    <col min="2307" max="2307" width="4.75" style="2089" customWidth="1"/>
    <col min="2308" max="2308" width="38.125" style="2089" customWidth="1"/>
    <col min="2309" max="2309" width="4.75" style="2089" customWidth="1"/>
    <col min="2310" max="2310" width="38.125" style="2089" customWidth="1"/>
    <col min="2311" max="2311" width="3" style="2089" customWidth="1"/>
    <col min="2312" max="2312" width="12" style="2089" customWidth="1"/>
    <col min="2313" max="2313" width="4.75" style="2089" customWidth="1"/>
    <col min="2314" max="2314" width="38.125" style="2089" customWidth="1"/>
    <col min="2315" max="2315" width="4.75" style="2089" customWidth="1"/>
    <col min="2316" max="2316" width="38.125" style="2089" customWidth="1"/>
    <col min="2317" max="2317" width="4.75" style="2089" customWidth="1"/>
    <col min="2318" max="2318" width="38.125" style="2089" customWidth="1"/>
    <col min="2319" max="2319" width="4.75" style="2089" customWidth="1"/>
    <col min="2320" max="2320" width="38.125" style="2089" customWidth="1"/>
    <col min="2321" max="2321" width="2.5" style="2089" customWidth="1"/>
    <col min="2322" max="2558" width="11" style="2089"/>
    <col min="2559" max="2559" width="4.75" style="2089" customWidth="1"/>
    <col min="2560" max="2560" width="38.125" style="2089" customWidth="1"/>
    <col min="2561" max="2561" width="4.75" style="2089" customWidth="1"/>
    <col min="2562" max="2562" width="38.125" style="2089" customWidth="1"/>
    <col min="2563" max="2563" width="4.75" style="2089" customWidth="1"/>
    <col min="2564" max="2564" width="38.125" style="2089" customWidth="1"/>
    <col min="2565" max="2565" width="4.75" style="2089" customWidth="1"/>
    <col min="2566" max="2566" width="38.125" style="2089" customWidth="1"/>
    <col min="2567" max="2567" width="3" style="2089" customWidth="1"/>
    <col min="2568" max="2568" width="12" style="2089" customWidth="1"/>
    <col min="2569" max="2569" width="4.75" style="2089" customWidth="1"/>
    <col min="2570" max="2570" width="38.125" style="2089" customWidth="1"/>
    <col min="2571" max="2571" width="4.75" style="2089" customWidth="1"/>
    <col min="2572" max="2572" width="38.125" style="2089" customWidth="1"/>
    <col min="2573" max="2573" width="4.75" style="2089" customWidth="1"/>
    <col min="2574" max="2574" width="38.125" style="2089" customWidth="1"/>
    <col min="2575" max="2575" width="4.75" style="2089" customWidth="1"/>
    <col min="2576" max="2576" width="38.125" style="2089" customWidth="1"/>
    <col min="2577" max="2577" width="2.5" style="2089" customWidth="1"/>
    <col min="2578" max="2814" width="11" style="2089"/>
    <col min="2815" max="2815" width="4.75" style="2089" customWidth="1"/>
    <col min="2816" max="2816" width="38.125" style="2089" customWidth="1"/>
    <col min="2817" max="2817" width="4.75" style="2089" customWidth="1"/>
    <col min="2818" max="2818" width="38.125" style="2089" customWidth="1"/>
    <col min="2819" max="2819" width="4.75" style="2089" customWidth="1"/>
    <col min="2820" max="2820" width="38.125" style="2089" customWidth="1"/>
    <col min="2821" max="2821" width="4.75" style="2089" customWidth="1"/>
    <col min="2822" max="2822" width="38.125" style="2089" customWidth="1"/>
    <col min="2823" max="2823" width="3" style="2089" customWidth="1"/>
    <col min="2824" max="2824" width="12" style="2089" customWidth="1"/>
    <col min="2825" max="2825" width="4.75" style="2089" customWidth="1"/>
    <col min="2826" max="2826" width="38.125" style="2089" customWidth="1"/>
    <col min="2827" max="2827" width="4.75" style="2089" customWidth="1"/>
    <col min="2828" max="2828" width="38.125" style="2089" customWidth="1"/>
    <col min="2829" max="2829" width="4.75" style="2089" customWidth="1"/>
    <col min="2830" max="2830" width="38.125" style="2089" customWidth="1"/>
    <col min="2831" max="2831" width="4.75" style="2089" customWidth="1"/>
    <col min="2832" max="2832" width="38.125" style="2089" customWidth="1"/>
    <col min="2833" max="2833" width="2.5" style="2089" customWidth="1"/>
    <col min="2834" max="3070" width="11" style="2089"/>
    <col min="3071" max="3071" width="4.75" style="2089" customWidth="1"/>
    <col min="3072" max="3072" width="38.125" style="2089" customWidth="1"/>
    <col min="3073" max="3073" width="4.75" style="2089" customWidth="1"/>
    <col min="3074" max="3074" width="38.125" style="2089" customWidth="1"/>
    <col min="3075" max="3075" width="4.75" style="2089" customWidth="1"/>
    <col min="3076" max="3076" width="38.125" style="2089" customWidth="1"/>
    <col min="3077" max="3077" width="4.75" style="2089" customWidth="1"/>
    <col min="3078" max="3078" width="38.125" style="2089" customWidth="1"/>
    <col min="3079" max="3079" width="3" style="2089" customWidth="1"/>
    <col min="3080" max="3080" width="12" style="2089" customWidth="1"/>
    <col min="3081" max="3081" width="4.75" style="2089" customWidth="1"/>
    <col min="3082" max="3082" width="38.125" style="2089" customWidth="1"/>
    <col min="3083" max="3083" width="4.75" style="2089" customWidth="1"/>
    <col min="3084" max="3084" width="38.125" style="2089" customWidth="1"/>
    <col min="3085" max="3085" width="4.75" style="2089" customWidth="1"/>
    <col min="3086" max="3086" width="38.125" style="2089" customWidth="1"/>
    <col min="3087" max="3087" width="4.75" style="2089" customWidth="1"/>
    <col min="3088" max="3088" width="38.125" style="2089" customWidth="1"/>
    <col min="3089" max="3089" width="2.5" style="2089" customWidth="1"/>
    <col min="3090" max="3326" width="11" style="2089"/>
    <col min="3327" max="3327" width="4.75" style="2089" customWidth="1"/>
    <col min="3328" max="3328" width="38.125" style="2089" customWidth="1"/>
    <col min="3329" max="3329" width="4.75" style="2089" customWidth="1"/>
    <col min="3330" max="3330" width="38.125" style="2089" customWidth="1"/>
    <col min="3331" max="3331" width="4.75" style="2089" customWidth="1"/>
    <col min="3332" max="3332" width="38.125" style="2089" customWidth="1"/>
    <col min="3333" max="3333" width="4.75" style="2089" customWidth="1"/>
    <col min="3334" max="3334" width="38.125" style="2089" customWidth="1"/>
    <col min="3335" max="3335" width="3" style="2089" customWidth="1"/>
    <col min="3336" max="3336" width="12" style="2089" customWidth="1"/>
    <col min="3337" max="3337" width="4.75" style="2089" customWidth="1"/>
    <col min="3338" max="3338" width="38.125" style="2089" customWidth="1"/>
    <col min="3339" max="3339" width="4.75" style="2089" customWidth="1"/>
    <col min="3340" max="3340" width="38.125" style="2089" customWidth="1"/>
    <col min="3341" max="3341" width="4.75" style="2089" customWidth="1"/>
    <col min="3342" max="3342" width="38.125" style="2089" customWidth="1"/>
    <col min="3343" max="3343" width="4.75" style="2089" customWidth="1"/>
    <col min="3344" max="3344" width="38.125" style="2089" customWidth="1"/>
    <col min="3345" max="3345" width="2.5" style="2089" customWidth="1"/>
    <col min="3346" max="3582" width="11" style="2089"/>
    <col min="3583" max="3583" width="4.75" style="2089" customWidth="1"/>
    <col min="3584" max="3584" width="38.125" style="2089" customWidth="1"/>
    <col min="3585" max="3585" width="4.75" style="2089" customWidth="1"/>
    <col min="3586" max="3586" width="38.125" style="2089" customWidth="1"/>
    <col min="3587" max="3587" width="4.75" style="2089" customWidth="1"/>
    <col min="3588" max="3588" width="38.125" style="2089" customWidth="1"/>
    <col min="3589" max="3589" width="4.75" style="2089" customWidth="1"/>
    <col min="3590" max="3590" width="38.125" style="2089" customWidth="1"/>
    <col min="3591" max="3591" width="3" style="2089" customWidth="1"/>
    <col min="3592" max="3592" width="12" style="2089" customWidth="1"/>
    <col min="3593" max="3593" width="4.75" style="2089" customWidth="1"/>
    <col min="3594" max="3594" width="38.125" style="2089" customWidth="1"/>
    <col min="3595" max="3595" width="4.75" style="2089" customWidth="1"/>
    <col min="3596" max="3596" width="38.125" style="2089" customWidth="1"/>
    <col min="3597" max="3597" width="4.75" style="2089" customWidth="1"/>
    <col min="3598" max="3598" width="38.125" style="2089" customWidth="1"/>
    <col min="3599" max="3599" width="4.75" style="2089" customWidth="1"/>
    <col min="3600" max="3600" width="38.125" style="2089" customWidth="1"/>
    <col min="3601" max="3601" width="2.5" style="2089" customWidth="1"/>
    <col min="3602" max="3838" width="11" style="2089"/>
    <col min="3839" max="3839" width="4.75" style="2089" customWidth="1"/>
    <col min="3840" max="3840" width="38.125" style="2089" customWidth="1"/>
    <col min="3841" max="3841" width="4.75" style="2089" customWidth="1"/>
    <col min="3842" max="3842" width="38.125" style="2089" customWidth="1"/>
    <col min="3843" max="3843" width="4.75" style="2089" customWidth="1"/>
    <col min="3844" max="3844" width="38.125" style="2089" customWidth="1"/>
    <col min="3845" max="3845" width="4.75" style="2089" customWidth="1"/>
    <col min="3846" max="3846" width="38.125" style="2089" customWidth="1"/>
    <col min="3847" max="3847" width="3" style="2089" customWidth="1"/>
    <col min="3848" max="3848" width="12" style="2089" customWidth="1"/>
    <col min="3849" max="3849" width="4.75" style="2089" customWidth="1"/>
    <col min="3850" max="3850" width="38.125" style="2089" customWidth="1"/>
    <col min="3851" max="3851" width="4.75" style="2089" customWidth="1"/>
    <col min="3852" max="3852" width="38.125" style="2089" customWidth="1"/>
    <col min="3853" max="3853" width="4.75" style="2089" customWidth="1"/>
    <col min="3854" max="3854" width="38.125" style="2089" customWidth="1"/>
    <col min="3855" max="3855" width="4.75" style="2089" customWidth="1"/>
    <col min="3856" max="3856" width="38.125" style="2089" customWidth="1"/>
    <col min="3857" max="3857" width="2.5" style="2089" customWidth="1"/>
    <col min="3858" max="4094" width="11" style="2089"/>
    <col min="4095" max="4095" width="4.75" style="2089" customWidth="1"/>
    <col min="4096" max="4096" width="38.125" style="2089" customWidth="1"/>
    <col min="4097" max="4097" width="4.75" style="2089" customWidth="1"/>
    <col min="4098" max="4098" width="38.125" style="2089" customWidth="1"/>
    <col min="4099" max="4099" width="4.75" style="2089" customWidth="1"/>
    <col min="4100" max="4100" width="38.125" style="2089" customWidth="1"/>
    <col min="4101" max="4101" width="4.75" style="2089" customWidth="1"/>
    <col min="4102" max="4102" width="38.125" style="2089" customWidth="1"/>
    <col min="4103" max="4103" width="3" style="2089" customWidth="1"/>
    <col min="4104" max="4104" width="12" style="2089" customWidth="1"/>
    <col min="4105" max="4105" width="4.75" style="2089" customWidth="1"/>
    <col min="4106" max="4106" width="38.125" style="2089" customWidth="1"/>
    <col min="4107" max="4107" width="4.75" style="2089" customWidth="1"/>
    <col min="4108" max="4108" width="38.125" style="2089" customWidth="1"/>
    <col min="4109" max="4109" width="4.75" style="2089" customWidth="1"/>
    <col min="4110" max="4110" width="38.125" style="2089" customWidth="1"/>
    <col min="4111" max="4111" width="4.75" style="2089" customWidth="1"/>
    <col min="4112" max="4112" width="38.125" style="2089" customWidth="1"/>
    <col min="4113" max="4113" width="2.5" style="2089" customWidth="1"/>
    <col min="4114" max="4350" width="11" style="2089"/>
    <col min="4351" max="4351" width="4.75" style="2089" customWidth="1"/>
    <col min="4352" max="4352" width="38.125" style="2089" customWidth="1"/>
    <col min="4353" max="4353" width="4.75" style="2089" customWidth="1"/>
    <col min="4354" max="4354" width="38.125" style="2089" customWidth="1"/>
    <col min="4355" max="4355" width="4.75" style="2089" customWidth="1"/>
    <col min="4356" max="4356" width="38.125" style="2089" customWidth="1"/>
    <col min="4357" max="4357" width="4.75" style="2089" customWidth="1"/>
    <col min="4358" max="4358" width="38.125" style="2089" customWidth="1"/>
    <col min="4359" max="4359" width="3" style="2089" customWidth="1"/>
    <col min="4360" max="4360" width="12" style="2089" customWidth="1"/>
    <col min="4361" max="4361" width="4.75" style="2089" customWidth="1"/>
    <col min="4362" max="4362" width="38.125" style="2089" customWidth="1"/>
    <col min="4363" max="4363" width="4.75" style="2089" customWidth="1"/>
    <col min="4364" max="4364" width="38.125" style="2089" customWidth="1"/>
    <col min="4365" max="4365" width="4.75" style="2089" customWidth="1"/>
    <col min="4366" max="4366" width="38.125" style="2089" customWidth="1"/>
    <col min="4367" max="4367" width="4.75" style="2089" customWidth="1"/>
    <col min="4368" max="4368" width="38.125" style="2089" customWidth="1"/>
    <col min="4369" max="4369" width="2.5" style="2089" customWidth="1"/>
    <col min="4370" max="4606" width="11" style="2089"/>
    <col min="4607" max="4607" width="4.75" style="2089" customWidth="1"/>
    <col min="4608" max="4608" width="38.125" style="2089" customWidth="1"/>
    <col min="4609" max="4609" width="4.75" style="2089" customWidth="1"/>
    <col min="4610" max="4610" width="38.125" style="2089" customWidth="1"/>
    <col min="4611" max="4611" width="4.75" style="2089" customWidth="1"/>
    <col min="4612" max="4612" width="38.125" style="2089" customWidth="1"/>
    <col min="4613" max="4613" width="4.75" style="2089" customWidth="1"/>
    <col min="4614" max="4614" width="38.125" style="2089" customWidth="1"/>
    <col min="4615" max="4615" width="3" style="2089" customWidth="1"/>
    <col min="4616" max="4616" width="12" style="2089" customWidth="1"/>
    <col min="4617" max="4617" width="4.75" style="2089" customWidth="1"/>
    <col min="4618" max="4618" width="38.125" style="2089" customWidth="1"/>
    <col min="4619" max="4619" width="4.75" style="2089" customWidth="1"/>
    <col min="4620" max="4620" width="38.125" style="2089" customWidth="1"/>
    <col min="4621" max="4621" width="4.75" style="2089" customWidth="1"/>
    <col min="4622" max="4622" width="38.125" style="2089" customWidth="1"/>
    <col min="4623" max="4623" width="4.75" style="2089" customWidth="1"/>
    <col min="4624" max="4624" width="38.125" style="2089" customWidth="1"/>
    <col min="4625" max="4625" width="2.5" style="2089" customWidth="1"/>
    <col min="4626" max="4862" width="11" style="2089"/>
    <col min="4863" max="4863" width="4.75" style="2089" customWidth="1"/>
    <col min="4864" max="4864" width="38.125" style="2089" customWidth="1"/>
    <col min="4865" max="4865" width="4.75" style="2089" customWidth="1"/>
    <col min="4866" max="4866" width="38.125" style="2089" customWidth="1"/>
    <col min="4867" max="4867" width="4.75" style="2089" customWidth="1"/>
    <col min="4868" max="4868" width="38.125" style="2089" customWidth="1"/>
    <col min="4869" max="4869" width="4.75" style="2089" customWidth="1"/>
    <col min="4870" max="4870" width="38.125" style="2089" customWidth="1"/>
    <col min="4871" max="4871" width="3" style="2089" customWidth="1"/>
    <col min="4872" max="4872" width="12" style="2089" customWidth="1"/>
    <col min="4873" max="4873" width="4.75" style="2089" customWidth="1"/>
    <col min="4874" max="4874" width="38.125" style="2089" customWidth="1"/>
    <col min="4875" max="4875" width="4.75" style="2089" customWidth="1"/>
    <col min="4876" max="4876" width="38.125" style="2089" customWidth="1"/>
    <col min="4877" max="4877" width="4.75" style="2089" customWidth="1"/>
    <col min="4878" max="4878" width="38.125" style="2089" customWidth="1"/>
    <col min="4879" max="4879" width="4.75" style="2089" customWidth="1"/>
    <col min="4880" max="4880" width="38.125" style="2089" customWidth="1"/>
    <col min="4881" max="4881" width="2.5" style="2089" customWidth="1"/>
    <col min="4882" max="5118" width="11" style="2089"/>
    <col min="5119" max="5119" width="4.75" style="2089" customWidth="1"/>
    <col min="5120" max="5120" width="38.125" style="2089" customWidth="1"/>
    <col min="5121" max="5121" width="4.75" style="2089" customWidth="1"/>
    <col min="5122" max="5122" width="38.125" style="2089" customWidth="1"/>
    <col min="5123" max="5123" width="4.75" style="2089" customWidth="1"/>
    <col min="5124" max="5124" width="38.125" style="2089" customWidth="1"/>
    <col min="5125" max="5125" width="4.75" style="2089" customWidth="1"/>
    <col min="5126" max="5126" width="38.125" style="2089" customWidth="1"/>
    <col min="5127" max="5127" width="3" style="2089" customWidth="1"/>
    <col min="5128" max="5128" width="12" style="2089" customWidth="1"/>
    <col min="5129" max="5129" width="4.75" style="2089" customWidth="1"/>
    <col min="5130" max="5130" width="38.125" style="2089" customWidth="1"/>
    <col min="5131" max="5131" width="4.75" style="2089" customWidth="1"/>
    <col min="5132" max="5132" width="38.125" style="2089" customWidth="1"/>
    <col min="5133" max="5133" width="4.75" style="2089" customWidth="1"/>
    <col min="5134" max="5134" width="38.125" style="2089" customWidth="1"/>
    <col min="5135" max="5135" width="4.75" style="2089" customWidth="1"/>
    <col min="5136" max="5136" width="38.125" style="2089" customWidth="1"/>
    <col min="5137" max="5137" width="2.5" style="2089" customWidth="1"/>
    <col min="5138" max="5374" width="11" style="2089"/>
    <col min="5375" max="5375" width="4.75" style="2089" customWidth="1"/>
    <col min="5376" max="5376" width="38.125" style="2089" customWidth="1"/>
    <col min="5377" max="5377" width="4.75" style="2089" customWidth="1"/>
    <col min="5378" max="5378" width="38.125" style="2089" customWidth="1"/>
    <col min="5379" max="5379" width="4.75" style="2089" customWidth="1"/>
    <col min="5380" max="5380" width="38.125" style="2089" customWidth="1"/>
    <col min="5381" max="5381" width="4.75" style="2089" customWidth="1"/>
    <col min="5382" max="5382" width="38.125" style="2089" customWidth="1"/>
    <col min="5383" max="5383" width="3" style="2089" customWidth="1"/>
    <col min="5384" max="5384" width="12" style="2089" customWidth="1"/>
    <col min="5385" max="5385" width="4.75" style="2089" customWidth="1"/>
    <col min="5386" max="5386" width="38.125" style="2089" customWidth="1"/>
    <col min="5387" max="5387" width="4.75" style="2089" customWidth="1"/>
    <col min="5388" max="5388" width="38.125" style="2089" customWidth="1"/>
    <col min="5389" max="5389" width="4.75" style="2089" customWidth="1"/>
    <col min="5390" max="5390" width="38.125" style="2089" customWidth="1"/>
    <col min="5391" max="5391" width="4.75" style="2089" customWidth="1"/>
    <col min="5392" max="5392" width="38.125" style="2089" customWidth="1"/>
    <col min="5393" max="5393" width="2.5" style="2089" customWidth="1"/>
    <col min="5394" max="5630" width="11" style="2089"/>
    <col min="5631" max="5631" width="4.75" style="2089" customWidth="1"/>
    <col min="5632" max="5632" width="38.125" style="2089" customWidth="1"/>
    <col min="5633" max="5633" width="4.75" style="2089" customWidth="1"/>
    <col min="5634" max="5634" width="38.125" style="2089" customWidth="1"/>
    <col min="5635" max="5635" width="4.75" style="2089" customWidth="1"/>
    <col min="5636" max="5636" width="38.125" style="2089" customWidth="1"/>
    <col min="5637" max="5637" width="4.75" style="2089" customWidth="1"/>
    <col min="5638" max="5638" width="38.125" style="2089" customWidth="1"/>
    <col min="5639" max="5639" width="3" style="2089" customWidth="1"/>
    <col min="5640" max="5640" width="12" style="2089" customWidth="1"/>
    <col min="5641" max="5641" width="4.75" style="2089" customWidth="1"/>
    <col min="5642" max="5642" width="38.125" style="2089" customWidth="1"/>
    <col min="5643" max="5643" width="4.75" style="2089" customWidth="1"/>
    <col min="5644" max="5644" width="38.125" style="2089" customWidth="1"/>
    <col min="5645" max="5645" width="4.75" style="2089" customWidth="1"/>
    <col min="5646" max="5646" width="38.125" style="2089" customWidth="1"/>
    <col min="5647" max="5647" width="4.75" style="2089" customWidth="1"/>
    <col min="5648" max="5648" width="38.125" style="2089" customWidth="1"/>
    <col min="5649" max="5649" width="2.5" style="2089" customWidth="1"/>
    <col min="5650" max="5886" width="11" style="2089"/>
    <col min="5887" max="5887" width="4.75" style="2089" customWidth="1"/>
    <col min="5888" max="5888" width="38.125" style="2089" customWidth="1"/>
    <col min="5889" max="5889" width="4.75" style="2089" customWidth="1"/>
    <col min="5890" max="5890" width="38.125" style="2089" customWidth="1"/>
    <col min="5891" max="5891" width="4.75" style="2089" customWidth="1"/>
    <col min="5892" max="5892" width="38.125" style="2089" customWidth="1"/>
    <col min="5893" max="5893" width="4.75" style="2089" customWidth="1"/>
    <col min="5894" max="5894" width="38.125" style="2089" customWidth="1"/>
    <col min="5895" max="5895" width="3" style="2089" customWidth="1"/>
    <col min="5896" max="5896" width="12" style="2089" customWidth="1"/>
    <col min="5897" max="5897" width="4.75" style="2089" customWidth="1"/>
    <col min="5898" max="5898" width="38.125" style="2089" customWidth="1"/>
    <col min="5899" max="5899" width="4.75" style="2089" customWidth="1"/>
    <col min="5900" max="5900" width="38.125" style="2089" customWidth="1"/>
    <col min="5901" max="5901" width="4.75" style="2089" customWidth="1"/>
    <col min="5902" max="5902" width="38.125" style="2089" customWidth="1"/>
    <col min="5903" max="5903" width="4.75" style="2089" customWidth="1"/>
    <col min="5904" max="5904" width="38.125" style="2089" customWidth="1"/>
    <col min="5905" max="5905" width="2.5" style="2089" customWidth="1"/>
    <col min="5906" max="6142" width="11" style="2089"/>
    <col min="6143" max="6143" width="4.75" style="2089" customWidth="1"/>
    <col min="6144" max="6144" width="38.125" style="2089" customWidth="1"/>
    <col min="6145" max="6145" width="4.75" style="2089" customWidth="1"/>
    <col min="6146" max="6146" width="38.125" style="2089" customWidth="1"/>
    <col min="6147" max="6147" width="4.75" style="2089" customWidth="1"/>
    <col min="6148" max="6148" width="38.125" style="2089" customWidth="1"/>
    <col min="6149" max="6149" width="4.75" style="2089" customWidth="1"/>
    <col min="6150" max="6150" width="38.125" style="2089" customWidth="1"/>
    <col min="6151" max="6151" width="3" style="2089" customWidth="1"/>
    <col min="6152" max="6152" width="12" style="2089" customWidth="1"/>
    <col min="6153" max="6153" width="4.75" style="2089" customWidth="1"/>
    <col min="6154" max="6154" width="38.125" style="2089" customWidth="1"/>
    <col min="6155" max="6155" width="4.75" style="2089" customWidth="1"/>
    <col min="6156" max="6156" width="38.125" style="2089" customWidth="1"/>
    <col min="6157" max="6157" width="4.75" style="2089" customWidth="1"/>
    <col min="6158" max="6158" width="38.125" style="2089" customWidth="1"/>
    <col min="6159" max="6159" width="4.75" style="2089" customWidth="1"/>
    <col min="6160" max="6160" width="38.125" style="2089" customWidth="1"/>
    <col min="6161" max="6161" width="2.5" style="2089" customWidth="1"/>
    <col min="6162" max="6398" width="11" style="2089"/>
    <col min="6399" max="6399" width="4.75" style="2089" customWidth="1"/>
    <col min="6400" max="6400" width="38.125" style="2089" customWidth="1"/>
    <col min="6401" max="6401" width="4.75" style="2089" customWidth="1"/>
    <col min="6402" max="6402" width="38.125" style="2089" customWidth="1"/>
    <col min="6403" max="6403" width="4.75" style="2089" customWidth="1"/>
    <col min="6404" max="6404" width="38.125" style="2089" customWidth="1"/>
    <col min="6405" max="6405" width="4.75" style="2089" customWidth="1"/>
    <col min="6406" max="6406" width="38.125" style="2089" customWidth="1"/>
    <col min="6407" max="6407" width="3" style="2089" customWidth="1"/>
    <col min="6408" max="6408" width="12" style="2089" customWidth="1"/>
    <col min="6409" max="6409" width="4.75" style="2089" customWidth="1"/>
    <col min="6410" max="6410" width="38.125" style="2089" customWidth="1"/>
    <col min="6411" max="6411" width="4.75" style="2089" customWidth="1"/>
    <col min="6412" max="6412" width="38.125" style="2089" customWidth="1"/>
    <col min="6413" max="6413" width="4.75" style="2089" customWidth="1"/>
    <col min="6414" max="6414" width="38.125" style="2089" customWidth="1"/>
    <col min="6415" max="6415" width="4.75" style="2089" customWidth="1"/>
    <col min="6416" max="6416" width="38.125" style="2089" customWidth="1"/>
    <col min="6417" max="6417" width="2.5" style="2089" customWidth="1"/>
    <col min="6418" max="6654" width="11" style="2089"/>
    <col min="6655" max="6655" width="4.75" style="2089" customWidth="1"/>
    <col min="6656" max="6656" width="38.125" style="2089" customWidth="1"/>
    <col min="6657" max="6657" width="4.75" style="2089" customWidth="1"/>
    <col min="6658" max="6658" width="38.125" style="2089" customWidth="1"/>
    <col min="6659" max="6659" width="4.75" style="2089" customWidth="1"/>
    <col min="6660" max="6660" width="38.125" style="2089" customWidth="1"/>
    <col min="6661" max="6661" width="4.75" style="2089" customWidth="1"/>
    <col min="6662" max="6662" width="38.125" style="2089" customWidth="1"/>
    <col min="6663" max="6663" width="3" style="2089" customWidth="1"/>
    <col min="6664" max="6664" width="12" style="2089" customWidth="1"/>
    <col min="6665" max="6665" width="4.75" style="2089" customWidth="1"/>
    <col min="6666" max="6666" width="38.125" style="2089" customWidth="1"/>
    <col min="6667" max="6667" width="4.75" style="2089" customWidth="1"/>
    <col min="6668" max="6668" width="38.125" style="2089" customWidth="1"/>
    <col min="6669" max="6669" width="4.75" style="2089" customWidth="1"/>
    <col min="6670" max="6670" width="38.125" style="2089" customWidth="1"/>
    <col min="6671" max="6671" width="4.75" style="2089" customWidth="1"/>
    <col min="6672" max="6672" width="38.125" style="2089" customWidth="1"/>
    <col min="6673" max="6673" width="2.5" style="2089" customWidth="1"/>
    <col min="6674" max="6910" width="11" style="2089"/>
    <col min="6911" max="6911" width="4.75" style="2089" customWidth="1"/>
    <col min="6912" max="6912" width="38.125" style="2089" customWidth="1"/>
    <col min="6913" max="6913" width="4.75" style="2089" customWidth="1"/>
    <col min="6914" max="6914" width="38.125" style="2089" customWidth="1"/>
    <col min="6915" max="6915" width="4.75" style="2089" customWidth="1"/>
    <col min="6916" max="6916" width="38.125" style="2089" customWidth="1"/>
    <col min="6917" max="6917" width="4.75" style="2089" customWidth="1"/>
    <col min="6918" max="6918" width="38.125" style="2089" customWidth="1"/>
    <col min="6919" max="6919" width="3" style="2089" customWidth="1"/>
    <col min="6920" max="6920" width="12" style="2089" customWidth="1"/>
    <col min="6921" max="6921" width="4.75" style="2089" customWidth="1"/>
    <col min="6922" max="6922" width="38.125" style="2089" customWidth="1"/>
    <col min="6923" max="6923" width="4.75" style="2089" customWidth="1"/>
    <col min="6924" max="6924" width="38.125" style="2089" customWidth="1"/>
    <col min="6925" max="6925" width="4.75" style="2089" customWidth="1"/>
    <col min="6926" max="6926" width="38.125" style="2089" customWidth="1"/>
    <col min="6927" max="6927" width="4.75" style="2089" customWidth="1"/>
    <col min="6928" max="6928" width="38.125" style="2089" customWidth="1"/>
    <col min="6929" max="6929" width="2.5" style="2089" customWidth="1"/>
    <col min="6930" max="7166" width="11" style="2089"/>
    <col min="7167" max="7167" width="4.75" style="2089" customWidth="1"/>
    <col min="7168" max="7168" width="38.125" style="2089" customWidth="1"/>
    <col min="7169" max="7169" width="4.75" style="2089" customWidth="1"/>
    <col min="7170" max="7170" width="38.125" style="2089" customWidth="1"/>
    <col min="7171" max="7171" width="4.75" style="2089" customWidth="1"/>
    <col min="7172" max="7172" width="38.125" style="2089" customWidth="1"/>
    <col min="7173" max="7173" width="4.75" style="2089" customWidth="1"/>
    <col min="7174" max="7174" width="38.125" style="2089" customWidth="1"/>
    <col min="7175" max="7175" width="3" style="2089" customWidth="1"/>
    <col min="7176" max="7176" width="12" style="2089" customWidth="1"/>
    <col min="7177" max="7177" width="4.75" style="2089" customWidth="1"/>
    <col min="7178" max="7178" width="38.125" style="2089" customWidth="1"/>
    <col min="7179" max="7179" width="4.75" style="2089" customWidth="1"/>
    <col min="7180" max="7180" width="38.125" style="2089" customWidth="1"/>
    <col min="7181" max="7181" width="4.75" style="2089" customWidth="1"/>
    <col min="7182" max="7182" width="38.125" style="2089" customWidth="1"/>
    <col min="7183" max="7183" width="4.75" style="2089" customWidth="1"/>
    <col min="7184" max="7184" width="38.125" style="2089" customWidth="1"/>
    <col min="7185" max="7185" width="2.5" style="2089" customWidth="1"/>
    <col min="7186" max="7422" width="11" style="2089"/>
    <col min="7423" max="7423" width="4.75" style="2089" customWidth="1"/>
    <col min="7424" max="7424" width="38.125" style="2089" customWidth="1"/>
    <col min="7425" max="7425" width="4.75" style="2089" customWidth="1"/>
    <col min="7426" max="7426" width="38.125" style="2089" customWidth="1"/>
    <col min="7427" max="7427" width="4.75" style="2089" customWidth="1"/>
    <col min="7428" max="7428" width="38.125" style="2089" customWidth="1"/>
    <col min="7429" max="7429" width="4.75" style="2089" customWidth="1"/>
    <col min="7430" max="7430" width="38.125" style="2089" customWidth="1"/>
    <col min="7431" max="7431" width="3" style="2089" customWidth="1"/>
    <col min="7432" max="7432" width="12" style="2089" customWidth="1"/>
    <col min="7433" max="7433" width="4.75" style="2089" customWidth="1"/>
    <col min="7434" max="7434" width="38.125" style="2089" customWidth="1"/>
    <col min="7435" max="7435" width="4.75" style="2089" customWidth="1"/>
    <col min="7436" max="7436" width="38.125" style="2089" customWidth="1"/>
    <col min="7437" max="7437" width="4.75" style="2089" customWidth="1"/>
    <col min="7438" max="7438" width="38.125" style="2089" customWidth="1"/>
    <col min="7439" max="7439" width="4.75" style="2089" customWidth="1"/>
    <col min="7440" max="7440" width="38.125" style="2089" customWidth="1"/>
    <col min="7441" max="7441" width="2.5" style="2089" customWidth="1"/>
    <col min="7442" max="7678" width="11" style="2089"/>
    <col min="7679" max="7679" width="4.75" style="2089" customWidth="1"/>
    <col min="7680" max="7680" width="38.125" style="2089" customWidth="1"/>
    <col min="7681" max="7681" width="4.75" style="2089" customWidth="1"/>
    <col min="7682" max="7682" width="38.125" style="2089" customWidth="1"/>
    <col min="7683" max="7683" width="4.75" style="2089" customWidth="1"/>
    <col min="7684" max="7684" width="38.125" style="2089" customWidth="1"/>
    <col min="7685" max="7685" width="4.75" style="2089" customWidth="1"/>
    <col min="7686" max="7686" width="38.125" style="2089" customWidth="1"/>
    <col min="7687" max="7687" width="3" style="2089" customWidth="1"/>
    <col min="7688" max="7688" width="12" style="2089" customWidth="1"/>
    <col min="7689" max="7689" width="4.75" style="2089" customWidth="1"/>
    <col min="7690" max="7690" width="38.125" style="2089" customWidth="1"/>
    <col min="7691" max="7691" width="4.75" style="2089" customWidth="1"/>
    <col min="7692" max="7692" width="38.125" style="2089" customWidth="1"/>
    <col min="7693" max="7693" width="4.75" style="2089" customWidth="1"/>
    <col min="7694" max="7694" width="38.125" style="2089" customWidth="1"/>
    <col min="7695" max="7695" width="4.75" style="2089" customWidth="1"/>
    <col min="7696" max="7696" width="38.125" style="2089" customWidth="1"/>
    <col min="7697" max="7697" width="2.5" style="2089" customWidth="1"/>
    <col min="7698" max="7934" width="11" style="2089"/>
    <col min="7935" max="7935" width="4.75" style="2089" customWidth="1"/>
    <col min="7936" max="7936" width="38.125" style="2089" customWidth="1"/>
    <col min="7937" max="7937" width="4.75" style="2089" customWidth="1"/>
    <col min="7938" max="7938" width="38.125" style="2089" customWidth="1"/>
    <col min="7939" max="7939" width="4.75" style="2089" customWidth="1"/>
    <col min="7940" max="7940" width="38.125" style="2089" customWidth="1"/>
    <col min="7941" max="7941" width="4.75" style="2089" customWidth="1"/>
    <col min="7942" max="7942" width="38.125" style="2089" customWidth="1"/>
    <col min="7943" max="7943" width="3" style="2089" customWidth="1"/>
    <col min="7944" max="7944" width="12" style="2089" customWidth="1"/>
    <col min="7945" max="7945" width="4.75" style="2089" customWidth="1"/>
    <col min="7946" max="7946" width="38.125" style="2089" customWidth="1"/>
    <col min="7947" max="7947" width="4.75" style="2089" customWidth="1"/>
    <col min="7948" max="7948" width="38.125" style="2089" customWidth="1"/>
    <col min="7949" max="7949" width="4.75" style="2089" customWidth="1"/>
    <col min="7950" max="7950" width="38.125" style="2089" customWidth="1"/>
    <col min="7951" max="7951" width="4.75" style="2089" customWidth="1"/>
    <col min="7952" max="7952" width="38.125" style="2089" customWidth="1"/>
    <col min="7953" max="7953" width="2.5" style="2089" customWidth="1"/>
    <col min="7954" max="8190" width="11" style="2089"/>
    <col min="8191" max="8191" width="4.75" style="2089" customWidth="1"/>
    <col min="8192" max="8192" width="38.125" style="2089" customWidth="1"/>
    <col min="8193" max="8193" width="4.75" style="2089" customWidth="1"/>
    <col min="8194" max="8194" width="38.125" style="2089" customWidth="1"/>
    <col min="8195" max="8195" width="4.75" style="2089" customWidth="1"/>
    <col min="8196" max="8196" width="38.125" style="2089" customWidth="1"/>
    <col min="8197" max="8197" width="4.75" style="2089" customWidth="1"/>
    <col min="8198" max="8198" width="38.125" style="2089" customWidth="1"/>
    <col min="8199" max="8199" width="3" style="2089" customWidth="1"/>
    <col min="8200" max="8200" width="12" style="2089" customWidth="1"/>
    <col min="8201" max="8201" width="4.75" style="2089" customWidth="1"/>
    <col min="8202" max="8202" width="38.125" style="2089" customWidth="1"/>
    <col min="8203" max="8203" width="4.75" style="2089" customWidth="1"/>
    <col min="8204" max="8204" width="38.125" style="2089" customWidth="1"/>
    <col min="8205" max="8205" width="4.75" style="2089" customWidth="1"/>
    <col min="8206" max="8206" width="38.125" style="2089" customWidth="1"/>
    <col min="8207" max="8207" width="4.75" style="2089" customWidth="1"/>
    <col min="8208" max="8208" width="38.125" style="2089" customWidth="1"/>
    <col min="8209" max="8209" width="2.5" style="2089" customWidth="1"/>
    <col min="8210" max="8446" width="11" style="2089"/>
    <col min="8447" max="8447" width="4.75" style="2089" customWidth="1"/>
    <col min="8448" max="8448" width="38.125" style="2089" customWidth="1"/>
    <col min="8449" max="8449" width="4.75" style="2089" customWidth="1"/>
    <col min="8450" max="8450" width="38.125" style="2089" customWidth="1"/>
    <col min="8451" max="8451" width="4.75" style="2089" customWidth="1"/>
    <col min="8452" max="8452" width="38.125" style="2089" customWidth="1"/>
    <col min="8453" max="8453" width="4.75" style="2089" customWidth="1"/>
    <col min="8454" max="8454" width="38.125" style="2089" customWidth="1"/>
    <col min="8455" max="8455" width="3" style="2089" customWidth="1"/>
    <col min="8456" max="8456" width="12" style="2089" customWidth="1"/>
    <col min="8457" max="8457" width="4.75" style="2089" customWidth="1"/>
    <col min="8458" max="8458" width="38.125" style="2089" customWidth="1"/>
    <col min="8459" max="8459" width="4.75" style="2089" customWidth="1"/>
    <col min="8460" max="8460" width="38.125" style="2089" customWidth="1"/>
    <col min="8461" max="8461" width="4.75" style="2089" customWidth="1"/>
    <col min="8462" max="8462" width="38.125" style="2089" customWidth="1"/>
    <col min="8463" max="8463" width="4.75" style="2089" customWidth="1"/>
    <col min="8464" max="8464" width="38.125" style="2089" customWidth="1"/>
    <col min="8465" max="8465" width="2.5" style="2089" customWidth="1"/>
    <col min="8466" max="8702" width="11" style="2089"/>
    <col min="8703" max="8703" width="4.75" style="2089" customWidth="1"/>
    <col min="8704" max="8704" width="38.125" style="2089" customWidth="1"/>
    <col min="8705" max="8705" width="4.75" style="2089" customWidth="1"/>
    <col min="8706" max="8706" width="38.125" style="2089" customWidth="1"/>
    <col min="8707" max="8707" width="4.75" style="2089" customWidth="1"/>
    <col min="8708" max="8708" width="38.125" style="2089" customWidth="1"/>
    <col min="8709" max="8709" width="4.75" style="2089" customWidth="1"/>
    <col min="8710" max="8710" width="38.125" style="2089" customWidth="1"/>
    <col min="8711" max="8711" width="3" style="2089" customWidth="1"/>
    <col min="8712" max="8712" width="12" style="2089" customWidth="1"/>
    <col min="8713" max="8713" width="4.75" style="2089" customWidth="1"/>
    <col min="8714" max="8714" width="38.125" style="2089" customWidth="1"/>
    <col min="8715" max="8715" width="4.75" style="2089" customWidth="1"/>
    <col min="8716" max="8716" width="38.125" style="2089" customWidth="1"/>
    <col min="8717" max="8717" width="4.75" style="2089" customWidth="1"/>
    <col min="8718" max="8718" width="38.125" style="2089" customWidth="1"/>
    <col min="8719" max="8719" width="4.75" style="2089" customWidth="1"/>
    <col min="8720" max="8720" width="38.125" style="2089" customWidth="1"/>
    <col min="8721" max="8721" width="2.5" style="2089" customWidth="1"/>
    <col min="8722" max="8958" width="11" style="2089"/>
    <col min="8959" max="8959" width="4.75" style="2089" customWidth="1"/>
    <col min="8960" max="8960" width="38.125" style="2089" customWidth="1"/>
    <col min="8961" max="8961" width="4.75" style="2089" customWidth="1"/>
    <col min="8962" max="8962" width="38.125" style="2089" customWidth="1"/>
    <col min="8963" max="8963" width="4.75" style="2089" customWidth="1"/>
    <col min="8964" max="8964" width="38.125" style="2089" customWidth="1"/>
    <col min="8965" max="8965" width="4.75" style="2089" customWidth="1"/>
    <col min="8966" max="8966" width="38.125" style="2089" customWidth="1"/>
    <col min="8967" max="8967" width="3" style="2089" customWidth="1"/>
    <col min="8968" max="8968" width="12" style="2089" customWidth="1"/>
    <col min="8969" max="8969" width="4.75" style="2089" customWidth="1"/>
    <col min="8970" max="8970" width="38.125" style="2089" customWidth="1"/>
    <col min="8971" max="8971" width="4.75" style="2089" customWidth="1"/>
    <col min="8972" max="8972" width="38.125" style="2089" customWidth="1"/>
    <col min="8973" max="8973" width="4.75" style="2089" customWidth="1"/>
    <col min="8974" max="8974" width="38.125" style="2089" customWidth="1"/>
    <col min="8975" max="8975" width="4.75" style="2089" customWidth="1"/>
    <col min="8976" max="8976" width="38.125" style="2089" customWidth="1"/>
    <col min="8977" max="8977" width="2.5" style="2089" customWidth="1"/>
    <col min="8978" max="9214" width="11" style="2089"/>
    <col min="9215" max="9215" width="4.75" style="2089" customWidth="1"/>
    <col min="9216" max="9216" width="38.125" style="2089" customWidth="1"/>
    <col min="9217" max="9217" width="4.75" style="2089" customWidth="1"/>
    <col min="9218" max="9218" width="38.125" style="2089" customWidth="1"/>
    <col min="9219" max="9219" width="4.75" style="2089" customWidth="1"/>
    <col min="9220" max="9220" width="38.125" style="2089" customWidth="1"/>
    <col min="9221" max="9221" width="4.75" style="2089" customWidth="1"/>
    <col min="9222" max="9222" width="38.125" style="2089" customWidth="1"/>
    <col min="9223" max="9223" width="3" style="2089" customWidth="1"/>
    <col min="9224" max="9224" width="12" style="2089" customWidth="1"/>
    <col min="9225" max="9225" width="4.75" style="2089" customWidth="1"/>
    <col min="9226" max="9226" width="38.125" style="2089" customWidth="1"/>
    <col min="9227" max="9227" width="4.75" style="2089" customWidth="1"/>
    <col min="9228" max="9228" width="38.125" style="2089" customWidth="1"/>
    <col min="9229" max="9229" width="4.75" style="2089" customWidth="1"/>
    <col min="9230" max="9230" width="38.125" style="2089" customWidth="1"/>
    <col min="9231" max="9231" width="4.75" style="2089" customWidth="1"/>
    <col min="9232" max="9232" width="38.125" style="2089" customWidth="1"/>
    <col min="9233" max="9233" width="2.5" style="2089" customWidth="1"/>
    <col min="9234" max="9470" width="11" style="2089"/>
    <col min="9471" max="9471" width="4.75" style="2089" customWidth="1"/>
    <col min="9472" max="9472" width="38.125" style="2089" customWidth="1"/>
    <col min="9473" max="9473" width="4.75" style="2089" customWidth="1"/>
    <col min="9474" max="9474" width="38.125" style="2089" customWidth="1"/>
    <col min="9475" max="9475" width="4.75" style="2089" customWidth="1"/>
    <col min="9476" max="9476" width="38.125" style="2089" customWidth="1"/>
    <col min="9477" max="9477" width="4.75" style="2089" customWidth="1"/>
    <col min="9478" max="9478" width="38.125" style="2089" customWidth="1"/>
    <col min="9479" max="9479" width="3" style="2089" customWidth="1"/>
    <col min="9480" max="9480" width="12" style="2089" customWidth="1"/>
    <col min="9481" max="9481" width="4.75" style="2089" customWidth="1"/>
    <col min="9482" max="9482" width="38.125" style="2089" customWidth="1"/>
    <col min="9483" max="9483" width="4.75" style="2089" customWidth="1"/>
    <col min="9484" max="9484" width="38.125" style="2089" customWidth="1"/>
    <col min="9485" max="9485" width="4.75" style="2089" customWidth="1"/>
    <col min="9486" max="9486" width="38.125" style="2089" customWidth="1"/>
    <col min="9487" max="9487" width="4.75" style="2089" customWidth="1"/>
    <col min="9488" max="9488" width="38.125" style="2089" customWidth="1"/>
    <col min="9489" max="9489" width="2.5" style="2089" customWidth="1"/>
    <col min="9490" max="9726" width="11" style="2089"/>
    <col min="9727" max="9727" width="4.75" style="2089" customWidth="1"/>
    <col min="9728" max="9728" width="38.125" style="2089" customWidth="1"/>
    <col min="9729" max="9729" width="4.75" style="2089" customWidth="1"/>
    <col min="9730" max="9730" width="38.125" style="2089" customWidth="1"/>
    <col min="9731" max="9731" width="4.75" style="2089" customWidth="1"/>
    <col min="9732" max="9732" width="38.125" style="2089" customWidth="1"/>
    <col min="9733" max="9733" width="4.75" style="2089" customWidth="1"/>
    <col min="9734" max="9734" width="38.125" style="2089" customWidth="1"/>
    <col min="9735" max="9735" width="3" style="2089" customWidth="1"/>
    <col min="9736" max="9736" width="12" style="2089" customWidth="1"/>
    <col min="9737" max="9737" width="4.75" style="2089" customWidth="1"/>
    <col min="9738" max="9738" width="38.125" style="2089" customWidth="1"/>
    <col min="9739" max="9739" width="4.75" style="2089" customWidth="1"/>
    <col min="9740" max="9740" width="38.125" style="2089" customWidth="1"/>
    <col min="9741" max="9741" width="4.75" style="2089" customWidth="1"/>
    <col min="9742" max="9742" width="38.125" style="2089" customWidth="1"/>
    <col min="9743" max="9743" width="4.75" style="2089" customWidth="1"/>
    <col min="9744" max="9744" width="38.125" style="2089" customWidth="1"/>
    <col min="9745" max="9745" width="2.5" style="2089" customWidth="1"/>
    <col min="9746" max="9982" width="11" style="2089"/>
    <col min="9983" max="9983" width="4.75" style="2089" customWidth="1"/>
    <col min="9984" max="9984" width="38.125" style="2089" customWidth="1"/>
    <col min="9985" max="9985" width="4.75" style="2089" customWidth="1"/>
    <col min="9986" max="9986" width="38.125" style="2089" customWidth="1"/>
    <col min="9987" max="9987" width="4.75" style="2089" customWidth="1"/>
    <col min="9988" max="9988" width="38.125" style="2089" customWidth="1"/>
    <col min="9989" max="9989" width="4.75" style="2089" customWidth="1"/>
    <col min="9990" max="9990" width="38.125" style="2089" customWidth="1"/>
    <col min="9991" max="9991" width="3" style="2089" customWidth="1"/>
    <col min="9992" max="9992" width="12" style="2089" customWidth="1"/>
    <col min="9993" max="9993" width="4.75" style="2089" customWidth="1"/>
    <col min="9994" max="9994" width="38.125" style="2089" customWidth="1"/>
    <col min="9995" max="9995" width="4.75" style="2089" customWidth="1"/>
    <col min="9996" max="9996" width="38.125" style="2089" customWidth="1"/>
    <col min="9997" max="9997" width="4.75" style="2089" customWidth="1"/>
    <col min="9998" max="9998" width="38.125" style="2089" customWidth="1"/>
    <col min="9999" max="9999" width="4.75" style="2089" customWidth="1"/>
    <col min="10000" max="10000" width="38.125" style="2089" customWidth="1"/>
    <col min="10001" max="10001" width="2.5" style="2089" customWidth="1"/>
    <col min="10002" max="10238" width="11" style="2089"/>
    <col min="10239" max="10239" width="4.75" style="2089" customWidth="1"/>
    <col min="10240" max="10240" width="38.125" style="2089" customWidth="1"/>
    <col min="10241" max="10241" width="4.75" style="2089" customWidth="1"/>
    <col min="10242" max="10242" width="38.125" style="2089" customWidth="1"/>
    <col min="10243" max="10243" width="4.75" style="2089" customWidth="1"/>
    <col min="10244" max="10244" width="38.125" style="2089" customWidth="1"/>
    <col min="10245" max="10245" width="4.75" style="2089" customWidth="1"/>
    <col min="10246" max="10246" width="38.125" style="2089" customWidth="1"/>
    <col min="10247" max="10247" width="3" style="2089" customWidth="1"/>
    <col min="10248" max="10248" width="12" style="2089" customWidth="1"/>
    <col min="10249" max="10249" width="4.75" style="2089" customWidth="1"/>
    <col min="10250" max="10250" width="38.125" style="2089" customWidth="1"/>
    <col min="10251" max="10251" width="4.75" style="2089" customWidth="1"/>
    <col min="10252" max="10252" width="38.125" style="2089" customWidth="1"/>
    <col min="10253" max="10253" width="4.75" style="2089" customWidth="1"/>
    <col min="10254" max="10254" width="38.125" style="2089" customWidth="1"/>
    <col min="10255" max="10255" width="4.75" style="2089" customWidth="1"/>
    <col min="10256" max="10256" width="38.125" style="2089" customWidth="1"/>
    <col min="10257" max="10257" width="2.5" style="2089" customWidth="1"/>
    <col min="10258" max="10494" width="11" style="2089"/>
    <col min="10495" max="10495" width="4.75" style="2089" customWidth="1"/>
    <col min="10496" max="10496" width="38.125" style="2089" customWidth="1"/>
    <col min="10497" max="10497" width="4.75" style="2089" customWidth="1"/>
    <col min="10498" max="10498" width="38.125" style="2089" customWidth="1"/>
    <col min="10499" max="10499" width="4.75" style="2089" customWidth="1"/>
    <col min="10500" max="10500" width="38.125" style="2089" customWidth="1"/>
    <col min="10501" max="10501" width="4.75" style="2089" customWidth="1"/>
    <col min="10502" max="10502" width="38.125" style="2089" customWidth="1"/>
    <col min="10503" max="10503" width="3" style="2089" customWidth="1"/>
    <col min="10504" max="10504" width="12" style="2089" customWidth="1"/>
    <col min="10505" max="10505" width="4.75" style="2089" customWidth="1"/>
    <col min="10506" max="10506" width="38.125" style="2089" customWidth="1"/>
    <col min="10507" max="10507" width="4.75" style="2089" customWidth="1"/>
    <col min="10508" max="10508" width="38.125" style="2089" customWidth="1"/>
    <col min="10509" max="10509" width="4.75" style="2089" customWidth="1"/>
    <col min="10510" max="10510" width="38.125" style="2089" customWidth="1"/>
    <col min="10511" max="10511" width="4.75" style="2089" customWidth="1"/>
    <col min="10512" max="10512" width="38.125" style="2089" customWidth="1"/>
    <col min="10513" max="10513" width="2.5" style="2089" customWidth="1"/>
    <col min="10514" max="10750" width="11" style="2089"/>
    <col min="10751" max="10751" width="4.75" style="2089" customWidth="1"/>
    <col min="10752" max="10752" width="38.125" style="2089" customWidth="1"/>
    <col min="10753" max="10753" width="4.75" style="2089" customWidth="1"/>
    <col min="10754" max="10754" width="38.125" style="2089" customWidth="1"/>
    <col min="10755" max="10755" width="4.75" style="2089" customWidth="1"/>
    <col min="10756" max="10756" width="38.125" style="2089" customWidth="1"/>
    <col min="10757" max="10757" width="4.75" style="2089" customWidth="1"/>
    <col min="10758" max="10758" width="38.125" style="2089" customWidth="1"/>
    <col min="10759" max="10759" width="3" style="2089" customWidth="1"/>
    <col min="10760" max="10760" width="12" style="2089" customWidth="1"/>
    <col min="10761" max="10761" width="4.75" style="2089" customWidth="1"/>
    <col min="10762" max="10762" width="38.125" style="2089" customWidth="1"/>
    <col min="10763" max="10763" width="4.75" style="2089" customWidth="1"/>
    <col min="10764" max="10764" width="38.125" style="2089" customWidth="1"/>
    <col min="10765" max="10765" width="4.75" style="2089" customWidth="1"/>
    <col min="10766" max="10766" width="38.125" style="2089" customWidth="1"/>
    <col min="10767" max="10767" width="4.75" style="2089" customWidth="1"/>
    <col min="10768" max="10768" width="38.125" style="2089" customWidth="1"/>
    <col min="10769" max="10769" width="2.5" style="2089" customWidth="1"/>
    <col min="10770" max="11006" width="11" style="2089"/>
    <col min="11007" max="11007" width="4.75" style="2089" customWidth="1"/>
    <col min="11008" max="11008" width="38.125" style="2089" customWidth="1"/>
    <col min="11009" max="11009" width="4.75" style="2089" customWidth="1"/>
    <col min="11010" max="11010" width="38.125" style="2089" customWidth="1"/>
    <col min="11011" max="11011" width="4.75" style="2089" customWidth="1"/>
    <col min="11012" max="11012" width="38.125" style="2089" customWidth="1"/>
    <col min="11013" max="11013" width="4.75" style="2089" customWidth="1"/>
    <col min="11014" max="11014" width="38.125" style="2089" customWidth="1"/>
    <col min="11015" max="11015" width="3" style="2089" customWidth="1"/>
    <col min="11016" max="11016" width="12" style="2089" customWidth="1"/>
    <col min="11017" max="11017" width="4.75" style="2089" customWidth="1"/>
    <col min="11018" max="11018" width="38.125" style="2089" customWidth="1"/>
    <col min="11019" max="11019" width="4.75" style="2089" customWidth="1"/>
    <col min="11020" max="11020" width="38.125" style="2089" customWidth="1"/>
    <col min="11021" max="11021" width="4.75" style="2089" customWidth="1"/>
    <col min="11022" max="11022" width="38.125" style="2089" customWidth="1"/>
    <col min="11023" max="11023" width="4.75" style="2089" customWidth="1"/>
    <col min="11024" max="11024" width="38.125" style="2089" customWidth="1"/>
    <col min="11025" max="11025" width="2.5" style="2089" customWidth="1"/>
    <col min="11026" max="11262" width="11" style="2089"/>
    <col min="11263" max="11263" width="4.75" style="2089" customWidth="1"/>
    <col min="11264" max="11264" width="38.125" style="2089" customWidth="1"/>
    <col min="11265" max="11265" width="4.75" style="2089" customWidth="1"/>
    <col min="11266" max="11266" width="38.125" style="2089" customWidth="1"/>
    <col min="11267" max="11267" width="4.75" style="2089" customWidth="1"/>
    <col min="11268" max="11268" width="38.125" style="2089" customWidth="1"/>
    <col min="11269" max="11269" width="4.75" style="2089" customWidth="1"/>
    <col min="11270" max="11270" width="38.125" style="2089" customWidth="1"/>
    <col min="11271" max="11271" width="3" style="2089" customWidth="1"/>
    <col min="11272" max="11272" width="12" style="2089" customWidth="1"/>
    <col min="11273" max="11273" width="4.75" style="2089" customWidth="1"/>
    <col min="11274" max="11274" width="38.125" style="2089" customWidth="1"/>
    <col min="11275" max="11275" width="4.75" style="2089" customWidth="1"/>
    <col min="11276" max="11276" width="38.125" style="2089" customWidth="1"/>
    <col min="11277" max="11277" width="4.75" style="2089" customWidth="1"/>
    <col min="11278" max="11278" width="38.125" style="2089" customWidth="1"/>
    <col min="11279" max="11279" width="4.75" style="2089" customWidth="1"/>
    <col min="11280" max="11280" width="38.125" style="2089" customWidth="1"/>
    <col min="11281" max="11281" width="2.5" style="2089" customWidth="1"/>
    <col min="11282" max="11518" width="11" style="2089"/>
    <col min="11519" max="11519" width="4.75" style="2089" customWidth="1"/>
    <col min="11520" max="11520" width="38.125" style="2089" customWidth="1"/>
    <col min="11521" max="11521" width="4.75" style="2089" customWidth="1"/>
    <col min="11522" max="11522" width="38.125" style="2089" customWidth="1"/>
    <col min="11523" max="11523" width="4.75" style="2089" customWidth="1"/>
    <col min="11524" max="11524" width="38.125" style="2089" customWidth="1"/>
    <col min="11525" max="11525" width="4.75" style="2089" customWidth="1"/>
    <col min="11526" max="11526" width="38.125" style="2089" customWidth="1"/>
    <col min="11527" max="11527" width="3" style="2089" customWidth="1"/>
    <col min="11528" max="11528" width="12" style="2089" customWidth="1"/>
    <col min="11529" max="11529" width="4.75" style="2089" customWidth="1"/>
    <col min="11530" max="11530" width="38.125" style="2089" customWidth="1"/>
    <col min="11531" max="11531" width="4.75" style="2089" customWidth="1"/>
    <col min="11532" max="11532" width="38.125" style="2089" customWidth="1"/>
    <col min="11533" max="11533" width="4.75" style="2089" customWidth="1"/>
    <col min="11534" max="11534" width="38.125" style="2089" customWidth="1"/>
    <col min="11535" max="11535" width="4.75" style="2089" customWidth="1"/>
    <col min="11536" max="11536" width="38.125" style="2089" customWidth="1"/>
    <col min="11537" max="11537" width="2.5" style="2089" customWidth="1"/>
    <col min="11538" max="11774" width="11" style="2089"/>
    <col min="11775" max="11775" width="4.75" style="2089" customWidth="1"/>
    <col min="11776" max="11776" width="38.125" style="2089" customWidth="1"/>
    <col min="11777" max="11777" width="4.75" style="2089" customWidth="1"/>
    <col min="11778" max="11778" width="38.125" style="2089" customWidth="1"/>
    <col min="11779" max="11779" width="4.75" style="2089" customWidth="1"/>
    <col min="11780" max="11780" width="38.125" style="2089" customWidth="1"/>
    <col min="11781" max="11781" width="4.75" style="2089" customWidth="1"/>
    <col min="11782" max="11782" width="38.125" style="2089" customWidth="1"/>
    <col min="11783" max="11783" width="3" style="2089" customWidth="1"/>
    <col min="11784" max="11784" width="12" style="2089" customWidth="1"/>
    <col min="11785" max="11785" width="4.75" style="2089" customWidth="1"/>
    <col min="11786" max="11786" width="38.125" style="2089" customWidth="1"/>
    <col min="11787" max="11787" width="4.75" style="2089" customWidth="1"/>
    <col min="11788" max="11788" width="38.125" style="2089" customWidth="1"/>
    <col min="11789" max="11789" width="4.75" style="2089" customWidth="1"/>
    <col min="11790" max="11790" width="38.125" style="2089" customWidth="1"/>
    <col min="11791" max="11791" width="4.75" style="2089" customWidth="1"/>
    <col min="11792" max="11792" width="38.125" style="2089" customWidth="1"/>
    <col min="11793" max="11793" width="2.5" style="2089" customWidth="1"/>
    <col min="11794" max="12030" width="11" style="2089"/>
    <col min="12031" max="12031" width="4.75" style="2089" customWidth="1"/>
    <col min="12032" max="12032" width="38.125" style="2089" customWidth="1"/>
    <col min="12033" max="12033" width="4.75" style="2089" customWidth="1"/>
    <col min="12034" max="12034" width="38.125" style="2089" customWidth="1"/>
    <col min="12035" max="12035" width="4.75" style="2089" customWidth="1"/>
    <col min="12036" max="12036" width="38.125" style="2089" customWidth="1"/>
    <col min="12037" max="12037" width="4.75" style="2089" customWidth="1"/>
    <col min="12038" max="12038" width="38.125" style="2089" customWidth="1"/>
    <col min="12039" max="12039" width="3" style="2089" customWidth="1"/>
    <col min="12040" max="12040" width="12" style="2089" customWidth="1"/>
    <col min="12041" max="12041" width="4.75" style="2089" customWidth="1"/>
    <col min="12042" max="12042" width="38.125" style="2089" customWidth="1"/>
    <col min="12043" max="12043" width="4.75" style="2089" customWidth="1"/>
    <col min="12044" max="12044" width="38.125" style="2089" customWidth="1"/>
    <col min="12045" max="12045" width="4.75" style="2089" customWidth="1"/>
    <col min="12046" max="12046" width="38.125" style="2089" customWidth="1"/>
    <col min="12047" max="12047" width="4.75" style="2089" customWidth="1"/>
    <col min="12048" max="12048" width="38.125" style="2089" customWidth="1"/>
    <col min="12049" max="12049" width="2.5" style="2089" customWidth="1"/>
    <col min="12050" max="12286" width="11" style="2089"/>
    <col min="12287" max="12287" width="4.75" style="2089" customWidth="1"/>
    <col min="12288" max="12288" width="38.125" style="2089" customWidth="1"/>
    <col min="12289" max="12289" width="4.75" style="2089" customWidth="1"/>
    <col min="12290" max="12290" width="38.125" style="2089" customWidth="1"/>
    <col min="12291" max="12291" width="4.75" style="2089" customWidth="1"/>
    <col min="12292" max="12292" width="38.125" style="2089" customWidth="1"/>
    <col min="12293" max="12293" width="4.75" style="2089" customWidth="1"/>
    <col min="12294" max="12294" width="38.125" style="2089" customWidth="1"/>
    <col min="12295" max="12295" width="3" style="2089" customWidth="1"/>
    <col min="12296" max="12296" width="12" style="2089" customWidth="1"/>
    <col min="12297" max="12297" width="4.75" style="2089" customWidth="1"/>
    <col min="12298" max="12298" width="38.125" style="2089" customWidth="1"/>
    <col min="12299" max="12299" width="4.75" style="2089" customWidth="1"/>
    <col min="12300" max="12300" width="38.125" style="2089" customWidth="1"/>
    <col min="12301" max="12301" width="4.75" style="2089" customWidth="1"/>
    <col min="12302" max="12302" width="38.125" style="2089" customWidth="1"/>
    <col min="12303" max="12303" width="4.75" style="2089" customWidth="1"/>
    <col min="12304" max="12304" width="38.125" style="2089" customWidth="1"/>
    <col min="12305" max="12305" width="2.5" style="2089" customWidth="1"/>
    <col min="12306" max="12542" width="11" style="2089"/>
    <col min="12543" max="12543" width="4.75" style="2089" customWidth="1"/>
    <col min="12544" max="12544" width="38.125" style="2089" customWidth="1"/>
    <col min="12545" max="12545" width="4.75" style="2089" customWidth="1"/>
    <col min="12546" max="12546" width="38.125" style="2089" customWidth="1"/>
    <col min="12547" max="12547" width="4.75" style="2089" customWidth="1"/>
    <col min="12548" max="12548" width="38.125" style="2089" customWidth="1"/>
    <col min="12549" max="12549" width="4.75" style="2089" customWidth="1"/>
    <col min="12550" max="12550" width="38.125" style="2089" customWidth="1"/>
    <col min="12551" max="12551" width="3" style="2089" customWidth="1"/>
    <col min="12552" max="12552" width="12" style="2089" customWidth="1"/>
    <col min="12553" max="12553" width="4.75" style="2089" customWidth="1"/>
    <col min="12554" max="12554" width="38.125" style="2089" customWidth="1"/>
    <col min="12555" max="12555" width="4.75" style="2089" customWidth="1"/>
    <col min="12556" max="12556" width="38.125" style="2089" customWidth="1"/>
    <col min="12557" max="12557" width="4.75" style="2089" customWidth="1"/>
    <col min="12558" max="12558" width="38.125" style="2089" customWidth="1"/>
    <col min="12559" max="12559" width="4.75" style="2089" customWidth="1"/>
    <col min="12560" max="12560" width="38.125" style="2089" customWidth="1"/>
    <col min="12561" max="12561" width="2.5" style="2089" customWidth="1"/>
    <col min="12562" max="12798" width="11" style="2089"/>
    <col min="12799" max="12799" width="4.75" style="2089" customWidth="1"/>
    <col min="12800" max="12800" width="38.125" style="2089" customWidth="1"/>
    <col min="12801" max="12801" width="4.75" style="2089" customWidth="1"/>
    <col min="12802" max="12802" width="38.125" style="2089" customWidth="1"/>
    <col min="12803" max="12803" width="4.75" style="2089" customWidth="1"/>
    <col min="12804" max="12804" width="38.125" style="2089" customWidth="1"/>
    <col min="12805" max="12805" width="4.75" style="2089" customWidth="1"/>
    <col min="12806" max="12806" width="38.125" style="2089" customWidth="1"/>
    <col min="12807" max="12807" width="3" style="2089" customWidth="1"/>
    <col min="12808" max="12808" width="12" style="2089" customWidth="1"/>
    <col min="12809" max="12809" width="4.75" style="2089" customWidth="1"/>
    <col min="12810" max="12810" width="38.125" style="2089" customWidth="1"/>
    <col min="12811" max="12811" width="4.75" style="2089" customWidth="1"/>
    <col min="12812" max="12812" width="38.125" style="2089" customWidth="1"/>
    <col min="12813" max="12813" width="4.75" style="2089" customWidth="1"/>
    <col min="12814" max="12814" width="38.125" style="2089" customWidth="1"/>
    <col min="12815" max="12815" width="4.75" style="2089" customWidth="1"/>
    <col min="12816" max="12816" width="38.125" style="2089" customWidth="1"/>
    <col min="12817" max="12817" width="2.5" style="2089" customWidth="1"/>
    <col min="12818" max="13054" width="11" style="2089"/>
    <col min="13055" max="13055" width="4.75" style="2089" customWidth="1"/>
    <col min="13056" max="13056" width="38.125" style="2089" customWidth="1"/>
    <col min="13057" max="13057" width="4.75" style="2089" customWidth="1"/>
    <col min="13058" max="13058" width="38.125" style="2089" customWidth="1"/>
    <col min="13059" max="13059" width="4.75" style="2089" customWidth="1"/>
    <col min="13060" max="13060" width="38.125" style="2089" customWidth="1"/>
    <col min="13061" max="13061" width="4.75" style="2089" customWidth="1"/>
    <col min="13062" max="13062" width="38.125" style="2089" customWidth="1"/>
    <col min="13063" max="13063" width="3" style="2089" customWidth="1"/>
    <col min="13064" max="13064" width="12" style="2089" customWidth="1"/>
    <col min="13065" max="13065" width="4.75" style="2089" customWidth="1"/>
    <col min="13066" max="13066" width="38.125" style="2089" customWidth="1"/>
    <col min="13067" max="13067" width="4.75" style="2089" customWidth="1"/>
    <col min="13068" max="13068" width="38.125" style="2089" customWidth="1"/>
    <col min="13069" max="13069" width="4.75" style="2089" customWidth="1"/>
    <col min="13070" max="13070" width="38.125" style="2089" customWidth="1"/>
    <col min="13071" max="13071" width="4.75" style="2089" customWidth="1"/>
    <col min="13072" max="13072" width="38.125" style="2089" customWidth="1"/>
    <col min="13073" max="13073" width="2.5" style="2089" customWidth="1"/>
    <col min="13074" max="13310" width="11" style="2089"/>
    <col min="13311" max="13311" width="4.75" style="2089" customWidth="1"/>
    <col min="13312" max="13312" width="38.125" style="2089" customWidth="1"/>
    <col min="13313" max="13313" width="4.75" style="2089" customWidth="1"/>
    <col min="13314" max="13314" width="38.125" style="2089" customWidth="1"/>
    <col min="13315" max="13315" width="4.75" style="2089" customWidth="1"/>
    <col min="13316" max="13316" width="38.125" style="2089" customWidth="1"/>
    <col min="13317" max="13317" width="4.75" style="2089" customWidth="1"/>
    <col min="13318" max="13318" width="38.125" style="2089" customWidth="1"/>
    <col min="13319" max="13319" width="3" style="2089" customWidth="1"/>
    <col min="13320" max="13320" width="12" style="2089" customWidth="1"/>
    <col min="13321" max="13321" width="4.75" style="2089" customWidth="1"/>
    <col min="13322" max="13322" width="38.125" style="2089" customWidth="1"/>
    <col min="13323" max="13323" width="4.75" style="2089" customWidth="1"/>
    <col min="13324" max="13324" width="38.125" style="2089" customWidth="1"/>
    <col min="13325" max="13325" width="4.75" style="2089" customWidth="1"/>
    <col min="13326" max="13326" width="38.125" style="2089" customWidth="1"/>
    <col min="13327" max="13327" width="4.75" style="2089" customWidth="1"/>
    <col min="13328" max="13328" width="38.125" style="2089" customWidth="1"/>
    <col min="13329" max="13329" width="2.5" style="2089" customWidth="1"/>
    <col min="13330" max="13566" width="11" style="2089"/>
    <col min="13567" max="13567" width="4.75" style="2089" customWidth="1"/>
    <col min="13568" max="13568" width="38.125" style="2089" customWidth="1"/>
    <col min="13569" max="13569" width="4.75" style="2089" customWidth="1"/>
    <col min="13570" max="13570" width="38.125" style="2089" customWidth="1"/>
    <col min="13571" max="13571" width="4.75" style="2089" customWidth="1"/>
    <col min="13572" max="13572" width="38.125" style="2089" customWidth="1"/>
    <col min="13573" max="13573" width="4.75" style="2089" customWidth="1"/>
    <col min="13574" max="13574" width="38.125" style="2089" customWidth="1"/>
    <col min="13575" max="13575" width="3" style="2089" customWidth="1"/>
    <col min="13576" max="13576" width="12" style="2089" customWidth="1"/>
    <col min="13577" max="13577" width="4.75" style="2089" customWidth="1"/>
    <col min="13578" max="13578" width="38.125" style="2089" customWidth="1"/>
    <col min="13579" max="13579" width="4.75" style="2089" customWidth="1"/>
    <col min="13580" max="13580" width="38.125" style="2089" customWidth="1"/>
    <col min="13581" max="13581" width="4.75" style="2089" customWidth="1"/>
    <col min="13582" max="13582" width="38.125" style="2089" customWidth="1"/>
    <col min="13583" max="13583" width="4.75" style="2089" customWidth="1"/>
    <col min="13584" max="13584" width="38.125" style="2089" customWidth="1"/>
    <col min="13585" max="13585" width="2.5" style="2089" customWidth="1"/>
    <col min="13586" max="13822" width="11" style="2089"/>
    <col min="13823" max="13823" width="4.75" style="2089" customWidth="1"/>
    <col min="13824" max="13824" width="38.125" style="2089" customWidth="1"/>
    <col min="13825" max="13825" width="4.75" style="2089" customWidth="1"/>
    <col min="13826" max="13826" width="38.125" style="2089" customWidth="1"/>
    <col min="13827" max="13827" width="4.75" style="2089" customWidth="1"/>
    <col min="13828" max="13828" width="38.125" style="2089" customWidth="1"/>
    <col min="13829" max="13829" width="4.75" style="2089" customWidth="1"/>
    <col min="13830" max="13830" width="38.125" style="2089" customWidth="1"/>
    <col min="13831" max="13831" width="3" style="2089" customWidth="1"/>
    <col min="13832" max="13832" width="12" style="2089" customWidth="1"/>
    <col min="13833" max="13833" width="4.75" style="2089" customWidth="1"/>
    <col min="13834" max="13834" width="38.125" style="2089" customWidth="1"/>
    <col min="13835" max="13835" width="4.75" style="2089" customWidth="1"/>
    <col min="13836" max="13836" width="38.125" style="2089" customWidth="1"/>
    <col min="13837" max="13837" width="4.75" style="2089" customWidth="1"/>
    <col min="13838" max="13838" width="38.125" style="2089" customWidth="1"/>
    <col min="13839" max="13839" width="4.75" style="2089" customWidth="1"/>
    <col min="13840" max="13840" width="38.125" style="2089" customWidth="1"/>
    <col min="13841" max="13841" width="2.5" style="2089" customWidth="1"/>
    <col min="13842" max="14078" width="11" style="2089"/>
    <col min="14079" max="14079" width="4.75" style="2089" customWidth="1"/>
    <col min="14080" max="14080" width="38.125" style="2089" customWidth="1"/>
    <col min="14081" max="14081" width="4.75" style="2089" customWidth="1"/>
    <col min="14082" max="14082" width="38.125" style="2089" customWidth="1"/>
    <col min="14083" max="14083" width="4.75" style="2089" customWidth="1"/>
    <col min="14084" max="14084" width="38.125" style="2089" customWidth="1"/>
    <col min="14085" max="14085" width="4.75" style="2089" customWidth="1"/>
    <col min="14086" max="14086" width="38.125" style="2089" customWidth="1"/>
    <col min="14087" max="14087" width="3" style="2089" customWidth="1"/>
    <col min="14088" max="14088" width="12" style="2089" customWidth="1"/>
    <col min="14089" max="14089" width="4.75" style="2089" customWidth="1"/>
    <col min="14090" max="14090" width="38.125" style="2089" customWidth="1"/>
    <col min="14091" max="14091" width="4.75" style="2089" customWidth="1"/>
    <col min="14092" max="14092" width="38.125" style="2089" customWidth="1"/>
    <col min="14093" max="14093" width="4.75" style="2089" customWidth="1"/>
    <col min="14094" max="14094" width="38.125" style="2089" customWidth="1"/>
    <col min="14095" max="14095" width="4.75" style="2089" customWidth="1"/>
    <col min="14096" max="14096" width="38.125" style="2089" customWidth="1"/>
    <col min="14097" max="14097" width="2.5" style="2089" customWidth="1"/>
    <col min="14098" max="14334" width="11" style="2089"/>
    <col min="14335" max="14335" width="4.75" style="2089" customWidth="1"/>
    <col min="14336" max="14336" width="38.125" style="2089" customWidth="1"/>
    <col min="14337" max="14337" width="4.75" style="2089" customWidth="1"/>
    <col min="14338" max="14338" width="38.125" style="2089" customWidth="1"/>
    <col min="14339" max="14339" width="4.75" style="2089" customWidth="1"/>
    <col min="14340" max="14340" width="38.125" style="2089" customWidth="1"/>
    <col min="14341" max="14341" width="4.75" style="2089" customWidth="1"/>
    <col min="14342" max="14342" width="38.125" style="2089" customWidth="1"/>
    <col min="14343" max="14343" width="3" style="2089" customWidth="1"/>
    <col min="14344" max="14344" width="12" style="2089" customWidth="1"/>
    <col min="14345" max="14345" width="4.75" style="2089" customWidth="1"/>
    <col min="14346" max="14346" width="38.125" style="2089" customWidth="1"/>
    <col min="14347" max="14347" width="4.75" style="2089" customWidth="1"/>
    <col min="14348" max="14348" width="38.125" style="2089" customWidth="1"/>
    <col min="14349" max="14349" width="4.75" style="2089" customWidth="1"/>
    <col min="14350" max="14350" width="38.125" style="2089" customWidth="1"/>
    <col min="14351" max="14351" width="4.75" style="2089" customWidth="1"/>
    <col min="14352" max="14352" width="38.125" style="2089" customWidth="1"/>
    <col min="14353" max="14353" width="2.5" style="2089" customWidth="1"/>
    <col min="14354" max="14590" width="11" style="2089"/>
    <col min="14591" max="14591" width="4.75" style="2089" customWidth="1"/>
    <col min="14592" max="14592" width="38.125" style="2089" customWidth="1"/>
    <col min="14593" max="14593" width="4.75" style="2089" customWidth="1"/>
    <col min="14594" max="14594" width="38.125" style="2089" customWidth="1"/>
    <col min="14595" max="14595" width="4.75" style="2089" customWidth="1"/>
    <col min="14596" max="14596" width="38.125" style="2089" customWidth="1"/>
    <col min="14597" max="14597" width="4.75" style="2089" customWidth="1"/>
    <col min="14598" max="14598" width="38.125" style="2089" customWidth="1"/>
    <col min="14599" max="14599" width="3" style="2089" customWidth="1"/>
    <col min="14600" max="14600" width="12" style="2089" customWidth="1"/>
    <col min="14601" max="14601" width="4.75" style="2089" customWidth="1"/>
    <col min="14602" max="14602" width="38.125" style="2089" customWidth="1"/>
    <col min="14603" max="14603" width="4.75" style="2089" customWidth="1"/>
    <col min="14604" max="14604" width="38.125" style="2089" customWidth="1"/>
    <col min="14605" max="14605" width="4.75" style="2089" customWidth="1"/>
    <col min="14606" max="14606" width="38.125" style="2089" customWidth="1"/>
    <col min="14607" max="14607" width="4.75" style="2089" customWidth="1"/>
    <col min="14608" max="14608" width="38.125" style="2089" customWidth="1"/>
    <col min="14609" max="14609" width="2.5" style="2089" customWidth="1"/>
    <col min="14610" max="14846" width="11" style="2089"/>
    <col min="14847" max="14847" width="4.75" style="2089" customWidth="1"/>
    <col min="14848" max="14848" width="38.125" style="2089" customWidth="1"/>
    <col min="14849" max="14849" width="4.75" style="2089" customWidth="1"/>
    <col min="14850" max="14850" width="38.125" style="2089" customWidth="1"/>
    <col min="14851" max="14851" width="4.75" style="2089" customWidth="1"/>
    <col min="14852" max="14852" width="38.125" style="2089" customWidth="1"/>
    <col min="14853" max="14853" width="4.75" style="2089" customWidth="1"/>
    <col min="14854" max="14854" width="38.125" style="2089" customWidth="1"/>
    <col min="14855" max="14855" width="3" style="2089" customWidth="1"/>
    <col min="14856" max="14856" width="12" style="2089" customWidth="1"/>
    <col min="14857" max="14857" width="4.75" style="2089" customWidth="1"/>
    <col min="14858" max="14858" width="38.125" style="2089" customWidth="1"/>
    <col min="14859" max="14859" width="4.75" style="2089" customWidth="1"/>
    <col min="14860" max="14860" width="38.125" style="2089" customWidth="1"/>
    <col min="14861" max="14861" width="4.75" style="2089" customWidth="1"/>
    <col min="14862" max="14862" width="38.125" style="2089" customWidth="1"/>
    <col min="14863" max="14863" width="4.75" style="2089" customWidth="1"/>
    <col min="14864" max="14864" width="38.125" style="2089" customWidth="1"/>
    <col min="14865" max="14865" width="2.5" style="2089" customWidth="1"/>
    <col min="14866" max="15102" width="11" style="2089"/>
    <col min="15103" max="15103" width="4.75" style="2089" customWidth="1"/>
    <col min="15104" max="15104" width="38.125" style="2089" customWidth="1"/>
    <col min="15105" max="15105" width="4.75" style="2089" customWidth="1"/>
    <col min="15106" max="15106" width="38.125" style="2089" customWidth="1"/>
    <col min="15107" max="15107" width="4.75" style="2089" customWidth="1"/>
    <col min="15108" max="15108" width="38.125" style="2089" customWidth="1"/>
    <col min="15109" max="15109" width="4.75" style="2089" customWidth="1"/>
    <col min="15110" max="15110" width="38.125" style="2089" customWidth="1"/>
    <col min="15111" max="15111" width="3" style="2089" customWidth="1"/>
    <col min="15112" max="15112" width="12" style="2089" customWidth="1"/>
    <col min="15113" max="15113" width="4.75" style="2089" customWidth="1"/>
    <col min="15114" max="15114" width="38.125" style="2089" customWidth="1"/>
    <col min="15115" max="15115" width="4.75" style="2089" customWidth="1"/>
    <col min="15116" max="15116" width="38.125" style="2089" customWidth="1"/>
    <col min="15117" max="15117" width="4.75" style="2089" customWidth="1"/>
    <col min="15118" max="15118" width="38.125" style="2089" customWidth="1"/>
    <col min="15119" max="15119" width="4.75" style="2089" customWidth="1"/>
    <col min="15120" max="15120" width="38.125" style="2089" customWidth="1"/>
    <col min="15121" max="15121" width="2.5" style="2089" customWidth="1"/>
    <col min="15122" max="15358" width="11" style="2089"/>
    <col min="15359" max="15359" width="4.75" style="2089" customWidth="1"/>
    <col min="15360" max="15360" width="38.125" style="2089" customWidth="1"/>
    <col min="15361" max="15361" width="4.75" style="2089" customWidth="1"/>
    <col min="15362" max="15362" width="38.125" style="2089" customWidth="1"/>
    <col min="15363" max="15363" width="4.75" style="2089" customWidth="1"/>
    <col min="15364" max="15364" width="38.125" style="2089" customWidth="1"/>
    <col min="15365" max="15365" width="4.75" style="2089" customWidth="1"/>
    <col min="15366" max="15366" width="38.125" style="2089" customWidth="1"/>
    <col min="15367" max="15367" width="3" style="2089" customWidth="1"/>
    <col min="15368" max="15368" width="12" style="2089" customWidth="1"/>
    <col min="15369" max="15369" width="4.75" style="2089" customWidth="1"/>
    <col min="15370" max="15370" width="38.125" style="2089" customWidth="1"/>
    <col min="15371" max="15371" width="4.75" style="2089" customWidth="1"/>
    <col min="15372" max="15372" width="38.125" style="2089" customWidth="1"/>
    <col min="15373" max="15373" width="4.75" style="2089" customWidth="1"/>
    <col min="15374" max="15374" width="38.125" style="2089" customWidth="1"/>
    <col min="15375" max="15375" width="4.75" style="2089" customWidth="1"/>
    <col min="15376" max="15376" width="38.125" style="2089" customWidth="1"/>
    <col min="15377" max="15377" width="2.5" style="2089" customWidth="1"/>
    <col min="15378" max="15614" width="11" style="2089"/>
    <col min="15615" max="15615" width="4.75" style="2089" customWidth="1"/>
    <col min="15616" max="15616" width="38.125" style="2089" customWidth="1"/>
    <col min="15617" max="15617" width="4.75" style="2089" customWidth="1"/>
    <col min="15618" max="15618" width="38.125" style="2089" customWidth="1"/>
    <col min="15619" max="15619" width="4.75" style="2089" customWidth="1"/>
    <col min="15620" max="15620" width="38.125" style="2089" customWidth="1"/>
    <col min="15621" max="15621" width="4.75" style="2089" customWidth="1"/>
    <col min="15622" max="15622" width="38.125" style="2089" customWidth="1"/>
    <col min="15623" max="15623" width="3" style="2089" customWidth="1"/>
    <col min="15624" max="15624" width="12" style="2089" customWidth="1"/>
    <col min="15625" max="15625" width="4.75" style="2089" customWidth="1"/>
    <col min="15626" max="15626" width="38.125" style="2089" customWidth="1"/>
    <col min="15627" max="15627" width="4.75" style="2089" customWidth="1"/>
    <col min="15628" max="15628" width="38.125" style="2089" customWidth="1"/>
    <col min="15629" max="15629" width="4.75" style="2089" customWidth="1"/>
    <col min="15630" max="15630" width="38.125" style="2089" customWidth="1"/>
    <col min="15631" max="15631" width="4.75" style="2089" customWidth="1"/>
    <col min="15632" max="15632" width="38.125" style="2089" customWidth="1"/>
    <col min="15633" max="15633" width="2.5" style="2089" customWidth="1"/>
    <col min="15634" max="15870" width="11" style="2089"/>
    <col min="15871" max="15871" width="4.75" style="2089" customWidth="1"/>
    <col min="15872" max="15872" width="38.125" style="2089" customWidth="1"/>
    <col min="15873" max="15873" width="4.75" style="2089" customWidth="1"/>
    <col min="15874" max="15874" width="38.125" style="2089" customWidth="1"/>
    <col min="15875" max="15875" width="4.75" style="2089" customWidth="1"/>
    <col min="15876" max="15876" width="38.125" style="2089" customWidth="1"/>
    <col min="15877" max="15877" width="4.75" style="2089" customWidth="1"/>
    <col min="15878" max="15878" width="38.125" style="2089" customWidth="1"/>
    <col min="15879" max="15879" width="3" style="2089" customWidth="1"/>
    <col min="15880" max="15880" width="12" style="2089" customWidth="1"/>
    <col min="15881" max="15881" width="4.75" style="2089" customWidth="1"/>
    <col min="15882" max="15882" width="38.125" style="2089" customWidth="1"/>
    <col min="15883" max="15883" width="4.75" style="2089" customWidth="1"/>
    <col min="15884" max="15884" width="38.125" style="2089" customWidth="1"/>
    <col min="15885" max="15885" width="4.75" style="2089" customWidth="1"/>
    <col min="15886" max="15886" width="38.125" style="2089" customWidth="1"/>
    <col min="15887" max="15887" width="4.75" style="2089" customWidth="1"/>
    <col min="15888" max="15888" width="38.125" style="2089" customWidth="1"/>
    <col min="15889" max="15889" width="2.5" style="2089" customWidth="1"/>
    <col min="15890" max="16126" width="11" style="2089"/>
    <col min="16127" max="16127" width="4.75" style="2089" customWidth="1"/>
    <col min="16128" max="16128" width="38.125" style="2089" customWidth="1"/>
    <col min="16129" max="16129" width="4.75" style="2089" customWidth="1"/>
    <col min="16130" max="16130" width="38.125" style="2089" customWidth="1"/>
    <col min="16131" max="16131" width="4.75" style="2089" customWidth="1"/>
    <col min="16132" max="16132" width="38.125" style="2089" customWidth="1"/>
    <col min="16133" max="16133" width="4.75" style="2089" customWidth="1"/>
    <col min="16134" max="16134" width="38.125" style="2089" customWidth="1"/>
    <col min="16135" max="16135" width="3" style="2089" customWidth="1"/>
    <col min="16136" max="16136" width="12" style="2089" customWidth="1"/>
    <col min="16137" max="16137" width="4.75" style="2089" customWidth="1"/>
    <col min="16138" max="16138" width="38.125" style="2089" customWidth="1"/>
    <col min="16139" max="16139" width="4.75" style="2089" customWidth="1"/>
    <col min="16140" max="16140" width="38.125" style="2089" customWidth="1"/>
    <col min="16141" max="16141" width="4.75" style="2089" customWidth="1"/>
    <col min="16142" max="16142" width="38.125" style="2089" customWidth="1"/>
    <col min="16143" max="16143" width="4.75" style="2089" customWidth="1"/>
    <col min="16144" max="16144" width="38.125" style="2089" customWidth="1"/>
    <col min="16145" max="16145" width="2.5" style="2089" customWidth="1"/>
    <col min="16146" max="16384" width="11" style="2089"/>
  </cols>
  <sheetData>
    <row r="1" spans="1:50" ht="26.25">
      <c r="B1" s="3018" t="s">
        <v>2991</v>
      </c>
      <c r="C1" s="3018"/>
      <c r="D1" s="3018"/>
      <c r="E1" s="3018"/>
      <c r="F1" s="3018"/>
      <c r="G1" s="3018"/>
      <c r="H1" s="3018"/>
      <c r="I1" s="3024" t="str">
        <f ca="1">"Page "&amp;_xlfn.SHEET()&amp;" sur "&amp;_xlfn.SHEETS()</f>
        <v>Page 33 sur 37</v>
      </c>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row>
    <row r="2" spans="1:50" ht="19.5" customHeight="1" thickBot="1">
      <c r="B2" s="2089"/>
      <c r="C2" s="2089"/>
      <c r="D2" s="2089"/>
      <c r="E2" s="2089"/>
      <c r="F2" s="2089"/>
      <c r="G2" s="2089"/>
      <c r="H2" s="2089"/>
      <c r="I2" s="2089"/>
      <c r="J2" s="2089"/>
      <c r="K2" s="2089"/>
      <c r="L2" s="2089"/>
      <c r="M2" s="2089"/>
      <c r="N2" s="2089"/>
      <c r="O2" s="2089"/>
      <c r="P2" s="2089"/>
      <c r="Q2" s="2089"/>
      <c r="R2" s="2089"/>
      <c r="S2" s="2089"/>
      <c r="T2" s="2089"/>
      <c r="W2" s="7086" t="s">
        <v>1694</v>
      </c>
      <c r="X2" s="7086"/>
      <c r="Y2" s="7086"/>
      <c r="Z2" s="7086"/>
      <c r="AA2" s="7086"/>
      <c r="AB2" s="7086"/>
      <c r="AC2" s="7086"/>
      <c r="AD2" s="7086"/>
      <c r="AE2" s="7086"/>
      <c r="AF2" s="7086"/>
      <c r="AG2" s="7086"/>
      <c r="AH2" s="7086"/>
      <c r="AI2" s="7086"/>
      <c r="AJ2" s="7086"/>
      <c r="AK2" s="7086"/>
      <c r="AL2" s="7086"/>
      <c r="AM2" s="7086"/>
      <c r="AN2" s="2090"/>
      <c r="AO2" s="3193"/>
      <c r="AP2" s="3812" t="s">
        <v>3139</v>
      </c>
      <c r="AR2" s="3813"/>
      <c r="AS2" s="3813"/>
      <c r="AT2" s="3813"/>
      <c r="AU2" s="3813"/>
      <c r="AV2" s="3813"/>
      <c r="AW2" s="3813"/>
      <c r="AX2" s="3813"/>
    </row>
    <row r="3" spans="1:50" ht="33.75" customHeight="1">
      <c r="B3" s="7087" t="s">
        <v>1695</v>
      </c>
      <c r="C3" s="7087"/>
      <c r="D3" s="7087"/>
      <c r="E3" s="7087"/>
      <c r="F3" s="7087"/>
      <c r="G3" s="7087"/>
      <c r="H3" s="7087"/>
      <c r="I3" s="7087"/>
      <c r="J3" s="7087"/>
      <c r="K3" s="2089"/>
      <c r="L3" s="7088" t="s">
        <v>1696</v>
      </c>
      <c r="M3" s="7088"/>
      <c r="N3" s="7088"/>
      <c r="O3" s="7088"/>
      <c r="P3" s="7088"/>
      <c r="Q3" s="7088"/>
      <c r="R3" s="7088"/>
      <c r="S3" s="7088"/>
      <c r="T3" s="7088"/>
      <c r="V3" s="2090"/>
      <c r="W3" s="3814" t="s">
        <v>3140</v>
      </c>
      <c r="Y3" s="2090"/>
      <c r="Z3" s="2090"/>
      <c r="AA3" s="2090"/>
      <c r="AB3" s="2090"/>
      <c r="AC3" s="2090"/>
      <c r="AD3" s="2090"/>
      <c r="AE3" s="2090"/>
      <c r="AF3" s="2090"/>
      <c r="AG3" s="2090"/>
      <c r="AH3" s="3815" t="s">
        <v>3141</v>
      </c>
      <c r="AI3" s="3816"/>
      <c r="AJ3" s="3816"/>
      <c r="AK3" s="3816"/>
      <c r="AL3" s="3816"/>
      <c r="AM3" s="3816"/>
      <c r="AN3" s="2090"/>
      <c r="AO3" s="3193"/>
      <c r="AP3" s="3193"/>
      <c r="AR3" s="7089" t="s">
        <v>3142</v>
      </c>
      <c r="AS3" s="7090"/>
      <c r="AT3" s="7091"/>
      <c r="AV3" s="7089" t="s">
        <v>3143</v>
      </c>
      <c r="AW3" s="7090"/>
      <c r="AX3" s="7091"/>
    </row>
    <row r="4" spans="1:50" ht="40.5" customHeight="1">
      <c r="B4" s="2091"/>
      <c r="C4" s="2092" t="s">
        <v>24</v>
      </c>
      <c r="D4" s="2091"/>
      <c r="E4" s="2092" t="s">
        <v>1697</v>
      </c>
      <c r="F4" s="2091"/>
      <c r="G4" s="2092" t="s">
        <v>810</v>
      </c>
      <c r="H4" s="2091"/>
      <c r="I4" s="3818" t="s">
        <v>812</v>
      </c>
      <c r="J4" s="2093"/>
      <c r="K4" s="2089"/>
      <c r="L4" s="2091"/>
      <c r="M4" s="2094" t="s">
        <v>24</v>
      </c>
      <c r="N4" s="2091"/>
      <c r="O4" s="2094" t="s">
        <v>713</v>
      </c>
      <c r="P4" s="2091"/>
      <c r="Q4" s="2094" t="s">
        <v>1698</v>
      </c>
      <c r="R4" s="2091"/>
      <c r="S4" s="3819" t="s">
        <v>812</v>
      </c>
      <c r="T4" s="2093"/>
      <c r="V4" s="3820"/>
      <c r="W4" s="2095" t="s">
        <v>24</v>
      </c>
      <c r="X4" s="3820"/>
      <c r="Y4" s="2096" t="s">
        <v>713</v>
      </c>
      <c r="Z4" s="3820"/>
      <c r="AA4" s="2096" t="s">
        <v>23</v>
      </c>
      <c r="AB4" s="3820"/>
      <c r="AC4" s="2096" t="s">
        <v>807</v>
      </c>
      <c r="AD4" s="3820"/>
      <c r="AE4" s="2095" t="s">
        <v>812</v>
      </c>
      <c r="AF4" s="3820"/>
      <c r="AG4" s="2095" t="s">
        <v>813</v>
      </c>
      <c r="AH4" s="3821">
        <v>1</v>
      </c>
      <c r="AI4" s="3822" t="s">
        <v>3144</v>
      </c>
      <c r="AJ4" s="3823"/>
      <c r="AK4" s="3821">
        <f>AH59+1</f>
        <v>57</v>
      </c>
      <c r="AL4" s="3822" t="s">
        <v>3145</v>
      </c>
      <c r="AM4" s="2090"/>
      <c r="AN4" s="2090"/>
      <c r="AO4" s="3824" t="s">
        <v>723</v>
      </c>
      <c r="AP4" s="3311" t="s">
        <v>3146</v>
      </c>
      <c r="AR4" s="7092" t="s">
        <v>3147</v>
      </c>
      <c r="AS4" s="7092"/>
      <c r="AT4" s="7092"/>
      <c r="AV4" s="7092" t="s">
        <v>3147</v>
      </c>
      <c r="AW4" s="7092"/>
      <c r="AX4" s="7092"/>
    </row>
    <row r="5" spans="1:50" ht="33.75" customHeight="1">
      <c r="A5" s="2097"/>
      <c r="B5" s="3825">
        <v>1</v>
      </c>
      <c r="C5" s="3826" t="s">
        <v>1699</v>
      </c>
      <c r="D5" s="3825">
        <f>B22+1</f>
        <v>16</v>
      </c>
      <c r="E5" s="3826" t="s">
        <v>1700</v>
      </c>
      <c r="F5" s="3825">
        <f>D26+1</f>
        <v>32</v>
      </c>
      <c r="G5" s="3826" t="s">
        <v>1701</v>
      </c>
      <c r="H5" s="3825">
        <f>F24+1</f>
        <v>51</v>
      </c>
      <c r="I5" s="3826" t="s">
        <v>1702</v>
      </c>
      <c r="J5" s="2093"/>
      <c r="K5" s="2089"/>
      <c r="L5" s="3825">
        <v>1</v>
      </c>
      <c r="M5" s="3826" t="s">
        <v>1703</v>
      </c>
      <c r="N5" s="3825">
        <f>L52+1</f>
        <v>46</v>
      </c>
      <c r="O5" s="3826" t="s">
        <v>1704</v>
      </c>
      <c r="P5" s="3825">
        <f>N52+1</f>
        <v>91</v>
      </c>
      <c r="Q5" s="3826" t="s">
        <v>1705</v>
      </c>
      <c r="R5" s="3825">
        <f>P52+1</f>
        <v>130</v>
      </c>
      <c r="S5" s="3826" t="s">
        <v>1706</v>
      </c>
      <c r="T5" s="2093"/>
      <c r="V5" s="3825">
        <v>1</v>
      </c>
      <c r="W5" s="3826" t="s">
        <v>1703</v>
      </c>
      <c r="X5" s="3825">
        <f>V62+1</f>
        <v>56</v>
      </c>
      <c r="Y5" s="3826" t="s">
        <v>1707</v>
      </c>
      <c r="Z5" s="3825">
        <f>X63+1</f>
        <v>113</v>
      </c>
      <c r="AA5" s="3826" t="s">
        <v>1708</v>
      </c>
      <c r="AB5" s="3825">
        <f>Z62+1</f>
        <v>163</v>
      </c>
      <c r="AC5" s="3826" t="s">
        <v>1709</v>
      </c>
      <c r="AD5" s="3825">
        <f>AB62+1</f>
        <v>217</v>
      </c>
      <c r="AE5" s="3826" t="s">
        <v>1710</v>
      </c>
      <c r="AF5" s="3825">
        <f>AD57+1</f>
        <v>268</v>
      </c>
      <c r="AG5" s="3826" t="s">
        <v>1711</v>
      </c>
      <c r="AH5" s="3821">
        <f>LARGE(AH4:AH4,1)+1</f>
        <v>2</v>
      </c>
      <c r="AI5" s="3822" t="s">
        <v>3148</v>
      </c>
      <c r="AJ5" s="3823"/>
      <c r="AK5" s="3821">
        <f>LARGE(AK4:AK4,1)+1</f>
        <v>58</v>
      </c>
      <c r="AL5" s="3822" t="s">
        <v>3149</v>
      </c>
      <c r="AM5" s="2090"/>
      <c r="AN5" s="2090"/>
      <c r="AO5" s="3193"/>
      <c r="AP5" s="3827" t="s">
        <v>24</v>
      </c>
      <c r="AR5" s="3828"/>
      <c r="AS5" s="7093" t="s">
        <v>3150</v>
      </c>
      <c r="AT5" s="7093"/>
      <c r="AV5" s="3828"/>
      <c r="AW5" s="7094" t="s">
        <v>3151</v>
      </c>
      <c r="AX5" s="7094"/>
    </row>
    <row r="6" spans="1:50" ht="30" customHeight="1">
      <c r="A6" s="2099"/>
      <c r="B6" s="3825">
        <f>LARGE(B5:B5,1)+1</f>
        <v>2</v>
      </c>
      <c r="C6" s="3826" t="s">
        <v>1712</v>
      </c>
      <c r="D6" s="3825">
        <f>LARGE(D5:D5,1)+1</f>
        <v>17</v>
      </c>
      <c r="E6" s="3826" t="s">
        <v>1713</v>
      </c>
      <c r="F6" s="3825">
        <f>LARGE(F5:F5,1)+1</f>
        <v>33</v>
      </c>
      <c r="G6" s="3826" t="s">
        <v>1714</v>
      </c>
      <c r="H6" s="3825">
        <f>LARGE(H5:H5,1)+1</f>
        <v>52</v>
      </c>
      <c r="I6" s="3826" t="s">
        <v>1715</v>
      </c>
      <c r="J6" s="2093"/>
      <c r="K6" s="2089"/>
      <c r="L6" s="3825">
        <f>LARGE(L5:L5,1)+1</f>
        <v>2</v>
      </c>
      <c r="M6" s="3826" t="s">
        <v>1716</v>
      </c>
      <c r="N6" s="3825">
        <f>LARGE(N5:N5,1)+1</f>
        <v>47</v>
      </c>
      <c r="O6" s="3826" t="s">
        <v>1717</v>
      </c>
      <c r="P6" s="3825">
        <f>LARGE(P5:P5,1)+1</f>
        <v>92</v>
      </c>
      <c r="Q6" s="3826" t="s">
        <v>1718</v>
      </c>
      <c r="R6" s="3825">
        <f>LARGE(R5:R5,1)+1</f>
        <v>131</v>
      </c>
      <c r="S6" s="3826" t="s">
        <v>1719</v>
      </c>
      <c r="T6" s="2093"/>
      <c r="V6" s="3825">
        <f>LARGE(V5:V5,1)+1</f>
        <v>2</v>
      </c>
      <c r="W6" s="3826" t="s">
        <v>1699</v>
      </c>
      <c r="X6" s="3825">
        <f>LARGE(X5:X5,1)+1</f>
        <v>57</v>
      </c>
      <c r="Y6" s="3826" t="s">
        <v>1720</v>
      </c>
      <c r="Z6" s="3825">
        <f>LARGE(Z5:Z5,1)+1</f>
        <v>114</v>
      </c>
      <c r="AA6" s="3826" t="s">
        <v>1721</v>
      </c>
      <c r="AB6" s="3825">
        <f>LARGE(AB5:AB5,1)+1</f>
        <v>164</v>
      </c>
      <c r="AC6" s="3826" t="s">
        <v>1722</v>
      </c>
      <c r="AD6" s="3825">
        <f>LARGE(AD5:AD5,1)+1</f>
        <v>218</v>
      </c>
      <c r="AE6" s="3826" t="s">
        <v>1723</v>
      </c>
      <c r="AF6" s="3825">
        <f>LARGE(AF5:AF5,1)+1</f>
        <v>269</v>
      </c>
      <c r="AG6" s="3826" t="s">
        <v>1724</v>
      </c>
      <c r="AH6" s="3821">
        <f>LARGE(AH4:AH5,1)+1</f>
        <v>3</v>
      </c>
      <c r="AI6" s="3822" t="s">
        <v>3152</v>
      </c>
      <c r="AJ6" s="3823"/>
      <c r="AK6" s="3821">
        <f>LARGE(AK4:AK5,1)+1</f>
        <v>59</v>
      </c>
      <c r="AL6" s="3822" t="s">
        <v>3153</v>
      </c>
      <c r="AM6" s="2090"/>
      <c r="AN6" s="2090"/>
      <c r="AO6" s="3193"/>
      <c r="AP6" s="3829" t="s">
        <v>3154</v>
      </c>
      <c r="AR6" s="3828">
        <v>1</v>
      </c>
      <c r="AS6" s="3830" t="s">
        <v>3155</v>
      </c>
      <c r="AT6" s="3830"/>
      <c r="AV6" s="3828"/>
      <c r="AW6" s="7094"/>
      <c r="AX6" s="7094"/>
    </row>
    <row r="7" spans="1:50" ht="18.75">
      <c r="B7" s="3825">
        <f>LARGE(B5:B6,1)+1</f>
        <v>3</v>
      </c>
      <c r="C7" s="3826" t="s">
        <v>1725</v>
      </c>
      <c r="D7" s="3825">
        <f>LARGE(D5:D6,1)+1</f>
        <v>18</v>
      </c>
      <c r="E7" s="3826" t="s">
        <v>1726</v>
      </c>
      <c r="F7" s="3825">
        <f>LARGE(F5:F6,1)+1</f>
        <v>34</v>
      </c>
      <c r="G7" s="3826" t="s">
        <v>1727</v>
      </c>
      <c r="H7" s="3825">
        <f>LARGE(H5:H6,1)+1</f>
        <v>53</v>
      </c>
      <c r="I7" s="3826" t="s">
        <v>1728</v>
      </c>
      <c r="J7" s="2093"/>
      <c r="K7" s="2089"/>
      <c r="L7" s="3825">
        <f>LARGE(L5:L6,1)+1</f>
        <v>3</v>
      </c>
      <c r="M7" s="3826" t="s">
        <v>1729</v>
      </c>
      <c r="N7" s="3825">
        <f>LARGE(N5:N6,1)+1</f>
        <v>48</v>
      </c>
      <c r="O7" s="3826" t="s">
        <v>1730</v>
      </c>
      <c r="P7" s="3825">
        <f>LARGE(P5:P6,1)+1</f>
        <v>93</v>
      </c>
      <c r="Q7" s="3826" t="s">
        <v>1731</v>
      </c>
      <c r="R7" s="3825">
        <f>LARGE(R5:R6,1)+1</f>
        <v>132</v>
      </c>
      <c r="S7" s="3826" t="s">
        <v>1732</v>
      </c>
      <c r="T7" s="2093"/>
      <c r="V7" s="3825">
        <f>LARGE(V5:V6,1)+1</f>
        <v>3</v>
      </c>
      <c r="W7" s="3826" t="s">
        <v>1716</v>
      </c>
      <c r="X7" s="3825">
        <f>LARGE(X5:X6,1)+1</f>
        <v>58</v>
      </c>
      <c r="Y7" s="3826" t="s">
        <v>1733</v>
      </c>
      <c r="Z7" s="3825">
        <f>LARGE(Z5:Z6,1)+1</f>
        <v>115</v>
      </c>
      <c r="AA7" s="3826" t="s">
        <v>1734</v>
      </c>
      <c r="AB7" s="3825">
        <f>LARGE(AB5:AB6,1)+1</f>
        <v>165</v>
      </c>
      <c r="AC7" s="3826" t="s">
        <v>1735</v>
      </c>
      <c r="AD7" s="3825">
        <f>LARGE(AD5:AD6,1)+1</f>
        <v>219</v>
      </c>
      <c r="AE7" s="3826" t="s">
        <v>1736</v>
      </c>
      <c r="AF7" s="3825">
        <f>LARGE(AF5:AF6,1)+1</f>
        <v>270</v>
      </c>
      <c r="AG7" s="3826" t="s">
        <v>1737</v>
      </c>
      <c r="AH7" s="3821">
        <f>LARGE(AH4:AH6,1)+1</f>
        <v>4</v>
      </c>
      <c r="AI7" s="3822" t="s">
        <v>3156</v>
      </c>
      <c r="AJ7" s="3823"/>
      <c r="AK7" s="3821">
        <f>LARGE(AK4:AK6,1)+1</f>
        <v>60</v>
      </c>
      <c r="AL7" s="3822" t="s">
        <v>3157</v>
      </c>
      <c r="AM7" s="2090"/>
      <c r="AN7" s="2090"/>
      <c r="AO7" s="3193"/>
      <c r="AP7" s="3829" t="s">
        <v>3158</v>
      </c>
      <c r="AR7" s="3828">
        <v>2</v>
      </c>
      <c r="AS7" s="3830" t="s">
        <v>3159</v>
      </c>
      <c r="AT7" s="3830"/>
      <c r="AV7" s="3831" t="s">
        <v>55</v>
      </c>
      <c r="AW7" s="3832" t="s">
        <v>3160</v>
      </c>
      <c r="AX7" s="3830"/>
    </row>
    <row r="8" spans="1:50" ht="46.5" customHeight="1">
      <c r="B8" s="3825">
        <f>LARGE(B5:B7,1)+1</f>
        <v>4</v>
      </c>
      <c r="C8" s="3826" t="s">
        <v>1738</v>
      </c>
      <c r="D8" s="3825">
        <f>LARGE(D5:D7,1)+1</f>
        <v>19</v>
      </c>
      <c r="E8" s="3826" t="s">
        <v>1726</v>
      </c>
      <c r="F8" s="3825">
        <f>LARGE(F5:F7,1)+1</f>
        <v>35</v>
      </c>
      <c r="G8" s="3826" t="s">
        <v>1739</v>
      </c>
      <c r="H8" s="3825">
        <f>LARGE(H5:H7,1)+1</f>
        <v>54</v>
      </c>
      <c r="I8" s="3826" t="s">
        <v>1740</v>
      </c>
      <c r="J8" s="2093"/>
      <c r="K8" s="2089"/>
      <c r="L8" s="3825">
        <f>LARGE(L5:L7,1)+1</f>
        <v>4</v>
      </c>
      <c r="M8" s="3826" t="s">
        <v>1741</v>
      </c>
      <c r="N8" s="3825">
        <f>LARGE(N5:N7,1)+1</f>
        <v>49</v>
      </c>
      <c r="O8" s="3826" t="s">
        <v>1742</v>
      </c>
      <c r="P8" s="3825"/>
      <c r="Q8" s="2094" t="s">
        <v>20</v>
      </c>
      <c r="R8" s="3825">
        <f>LARGE(R5:R7,1)+1</f>
        <v>133</v>
      </c>
      <c r="S8" s="3826" t="s">
        <v>1743</v>
      </c>
      <c r="T8" s="2093"/>
      <c r="V8" s="3825">
        <f>LARGE(V5:V7,1)+1</f>
        <v>4</v>
      </c>
      <c r="W8" s="3826" t="s">
        <v>3161</v>
      </c>
      <c r="X8" s="3825">
        <f>LARGE(X5:X7,1)+1</f>
        <v>59</v>
      </c>
      <c r="Y8" s="3826" t="s">
        <v>1744</v>
      </c>
      <c r="Z8" s="3825">
        <f>LARGE(Z5:Z7,1)+1</f>
        <v>116</v>
      </c>
      <c r="AA8" s="3826" t="s">
        <v>1745</v>
      </c>
      <c r="AB8" s="3825">
        <f>LARGE(AB5:AB7,1)+1</f>
        <v>166</v>
      </c>
      <c r="AC8" s="3826" t="s">
        <v>1746</v>
      </c>
      <c r="AD8" s="3825">
        <f>LARGE(AD5:AD7,1)+1</f>
        <v>220</v>
      </c>
      <c r="AE8" s="3826" t="s">
        <v>1747</v>
      </c>
      <c r="AF8" s="3825">
        <f>LARGE(AF5:AF7,1)+1</f>
        <v>271</v>
      </c>
      <c r="AG8" s="3826" t="s">
        <v>1748</v>
      </c>
      <c r="AH8" s="3821">
        <f>LARGE(AH4:AH7,1)+1</f>
        <v>5</v>
      </c>
      <c r="AI8" s="3822" t="s">
        <v>3162</v>
      </c>
      <c r="AJ8" s="3823"/>
      <c r="AK8" s="3821">
        <f>LARGE(AK4:AK7,1)+1</f>
        <v>61</v>
      </c>
      <c r="AL8" s="3822" t="s">
        <v>3163</v>
      </c>
      <c r="AM8" s="2090"/>
      <c r="AN8" s="2090"/>
      <c r="AO8" s="3193"/>
      <c r="AP8" s="3829" t="s">
        <v>3164</v>
      </c>
      <c r="AR8" s="3828">
        <v>3</v>
      </c>
      <c r="AS8" s="3830" t="s">
        <v>3165</v>
      </c>
      <c r="AT8" s="3830"/>
      <c r="AV8" s="3828">
        <v>1</v>
      </c>
      <c r="AW8" s="3830" t="s">
        <v>3166</v>
      </c>
      <c r="AX8" s="3830"/>
    </row>
    <row r="9" spans="1:50" ht="27" customHeight="1">
      <c r="B9" s="3825">
        <f>LARGE(B5:B8,1)+1</f>
        <v>5</v>
      </c>
      <c r="C9" s="3826" t="s">
        <v>1749</v>
      </c>
      <c r="D9" s="3825">
        <f>LARGE(D5:D8,1)+1</f>
        <v>20</v>
      </c>
      <c r="E9" s="3826" t="s">
        <v>1750</v>
      </c>
      <c r="F9" s="3825">
        <f>LARGE(F5:F8,1)+1</f>
        <v>36</v>
      </c>
      <c r="G9" s="3826" t="s">
        <v>1751</v>
      </c>
      <c r="H9" s="3825"/>
      <c r="I9" s="3818" t="s">
        <v>12</v>
      </c>
      <c r="J9" s="2093"/>
      <c r="K9" s="2089"/>
      <c r="L9" s="3825"/>
      <c r="M9" s="2094" t="s">
        <v>21</v>
      </c>
      <c r="N9" s="3825">
        <f>LARGE(N5:N8,1)+1</f>
        <v>50</v>
      </c>
      <c r="O9" s="3826" t="s">
        <v>1752</v>
      </c>
      <c r="P9" s="3825">
        <f>LARGE(P5:P8,1)+1</f>
        <v>94</v>
      </c>
      <c r="Q9" s="3826" t="s">
        <v>1753</v>
      </c>
      <c r="R9" s="3825">
        <f>LARGE(R5:R8,1)+1</f>
        <v>134</v>
      </c>
      <c r="S9" s="3826" t="s">
        <v>1754</v>
      </c>
      <c r="T9" s="2093"/>
      <c r="V9" s="3825">
        <f>LARGE(V5:V8,1)+1</f>
        <v>5</v>
      </c>
      <c r="W9" s="3826" t="s">
        <v>1712</v>
      </c>
      <c r="X9" s="3825">
        <f>LARGE(X5:X8,1)+1</f>
        <v>60</v>
      </c>
      <c r="Y9" s="3826" t="s">
        <v>1755</v>
      </c>
      <c r="Z9" s="3825">
        <f>LARGE(Z5:Z8,1)+1</f>
        <v>117</v>
      </c>
      <c r="AA9" s="3826" t="s">
        <v>1756</v>
      </c>
      <c r="AB9" s="3825">
        <f>LARGE(AB5:AB8,1)+1</f>
        <v>167</v>
      </c>
      <c r="AC9" s="3826" t="s">
        <v>1757</v>
      </c>
      <c r="AD9" s="3825">
        <f>LARGE(AD5:AD8,1)+1</f>
        <v>221</v>
      </c>
      <c r="AE9" s="3826" t="s">
        <v>1758</v>
      </c>
      <c r="AF9" s="3825">
        <f>LARGE(AF5:AF8,1)+1</f>
        <v>272</v>
      </c>
      <c r="AG9" s="3826" t="s">
        <v>1759</v>
      </c>
      <c r="AH9" s="3821">
        <f>LARGE(AH4:AH8,1)+1</f>
        <v>6</v>
      </c>
      <c r="AI9" s="3822" t="s">
        <v>3167</v>
      </c>
      <c r="AJ9" s="3823"/>
      <c r="AK9" s="3821">
        <f>LARGE(AK4:AK8,1)+1</f>
        <v>62</v>
      </c>
      <c r="AL9" s="3822" t="s">
        <v>3168</v>
      </c>
      <c r="AM9" s="2090"/>
      <c r="AN9" s="2090"/>
      <c r="AO9" s="3193"/>
      <c r="AP9" s="3829" t="s">
        <v>3169</v>
      </c>
      <c r="AR9" s="3828">
        <v>4</v>
      </c>
      <c r="AS9" s="3830" t="s">
        <v>3170</v>
      </c>
      <c r="AT9" s="3830"/>
      <c r="AV9" s="3828">
        <v>2</v>
      </c>
      <c r="AW9" s="3830" t="s">
        <v>3171</v>
      </c>
      <c r="AX9" s="3830"/>
    </row>
    <row r="10" spans="1:50" ht="27" customHeight="1">
      <c r="B10" s="3825">
        <f>LARGE(B5:B9,1)+1</f>
        <v>6</v>
      </c>
      <c r="C10" s="3826" t="s">
        <v>701</v>
      </c>
      <c r="D10" s="3833"/>
      <c r="E10" s="2092" t="s">
        <v>23</v>
      </c>
      <c r="F10" s="3825">
        <f>LARGE(F5:F9,1)+1</f>
        <v>37</v>
      </c>
      <c r="G10" s="3826" t="s">
        <v>1760</v>
      </c>
      <c r="H10" s="3825">
        <f>LARGE(H5:H9,1)+1</f>
        <v>55</v>
      </c>
      <c r="I10" s="3826" t="s">
        <v>1761</v>
      </c>
      <c r="J10" s="2093"/>
      <c r="K10" s="2089"/>
      <c r="L10" s="3825">
        <f>LARGE(L5:L9,1)+1</f>
        <v>5</v>
      </c>
      <c r="M10" s="3826" t="s">
        <v>1762</v>
      </c>
      <c r="N10" s="3825">
        <f>LARGE(N5:N9,1)+1</f>
        <v>51</v>
      </c>
      <c r="O10" s="3826" t="s">
        <v>1763</v>
      </c>
      <c r="P10" s="3825"/>
      <c r="Q10" s="2094" t="s">
        <v>398</v>
      </c>
      <c r="R10" s="3825">
        <f>LARGE(R5:R9,1)+1</f>
        <v>135</v>
      </c>
      <c r="S10" s="3826" t="s">
        <v>1764</v>
      </c>
      <c r="T10" s="2093"/>
      <c r="V10" s="3825">
        <f>LARGE(V5:V9,1)+1</f>
        <v>6</v>
      </c>
      <c r="W10" s="3826" t="s">
        <v>1725</v>
      </c>
      <c r="X10" s="3825">
        <f>LARGE(X5:X9,1)+1</f>
        <v>61</v>
      </c>
      <c r="Y10" s="3826" t="s">
        <v>1765</v>
      </c>
      <c r="Z10" s="3825">
        <f>LARGE(Z5:Z9,1)+1</f>
        <v>118</v>
      </c>
      <c r="AA10" s="3826" t="s">
        <v>1766</v>
      </c>
      <c r="AB10" s="3825">
        <f>LARGE(AB5:AB9,1)+1</f>
        <v>168</v>
      </c>
      <c r="AC10" s="3826" t="s">
        <v>1767</v>
      </c>
      <c r="AD10" s="3825">
        <f>LARGE(AD5:AD9,1)+1</f>
        <v>222</v>
      </c>
      <c r="AE10" s="3826" t="s">
        <v>1768</v>
      </c>
      <c r="AF10" s="3825">
        <f>LARGE(AF5:AF9,1)+1</f>
        <v>273</v>
      </c>
      <c r="AG10" s="3826" t="s">
        <v>1769</v>
      </c>
      <c r="AH10" s="3821">
        <f>LARGE(AH4:AH9,1)+1</f>
        <v>7</v>
      </c>
      <c r="AI10" s="3822" t="s">
        <v>3172</v>
      </c>
      <c r="AJ10" s="3823"/>
      <c r="AK10" s="3821">
        <f>LARGE(AK4:AK9,1)+1</f>
        <v>63</v>
      </c>
      <c r="AL10" s="3822" t="s">
        <v>3173</v>
      </c>
      <c r="AM10" s="2090"/>
      <c r="AN10" s="2090"/>
      <c r="AO10" s="3193"/>
      <c r="AP10" s="3829" t="s">
        <v>3174</v>
      </c>
      <c r="AR10" s="3828">
        <v>5</v>
      </c>
      <c r="AS10" s="3830" t="s">
        <v>3175</v>
      </c>
      <c r="AT10" s="3830"/>
      <c r="AV10" s="3828">
        <v>3</v>
      </c>
      <c r="AW10" s="3830" t="s">
        <v>3176</v>
      </c>
      <c r="AX10" s="3830"/>
    </row>
    <row r="11" spans="1:50" ht="23.25" customHeight="1">
      <c r="B11" s="3825">
        <f>LARGE(B5:B10,1)+1</f>
        <v>7</v>
      </c>
      <c r="C11" s="3826" t="s">
        <v>1770</v>
      </c>
      <c r="D11" s="3825">
        <f>LARGE(D5:D10,1)+1</f>
        <v>21</v>
      </c>
      <c r="E11" s="3826" t="s">
        <v>1721</v>
      </c>
      <c r="F11" s="3825">
        <f>LARGE(F5:F10,1)+1</f>
        <v>38</v>
      </c>
      <c r="G11" s="3826" t="s">
        <v>1771</v>
      </c>
      <c r="H11" s="3825">
        <f>LARGE(H5:H10,1)+1</f>
        <v>56</v>
      </c>
      <c r="I11" s="3826" t="s">
        <v>1772</v>
      </c>
      <c r="J11" s="2093"/>
      <c r="K11" s="2089"/>
      <c r="L11" s="3825">
        <f>LARGE(L5:L10,1)+1</f>
        <v>6</v>
      </c>
      <c r="M11" s="3826" t="s">
        <v>1773</v>
      </c>
      <c r="N11" s="3825">
        <f>LARGE(N5:N10,1)+1</f>
        <v>52</v>
      </c>
      <c r="O11" s="3826" t="s">
        <v>1774</v>
      </c>
      <c r="P11" s="3825">
        <f>LARGE(P5:P10,1)+1</f>
        <v>95</v>
      </c>
      <c r="Q11" s="3826" t="s">
        <v>1775</v>
      </c>
      <c r="R11" s="3825">
        <f>LARGE(R5:R10,1)+1</f>
        <v>136</v>
      </c>
      <c r="S11" s="3826" t="s">
        <v>1776</v>
      </c>
      <c r="T11" s="2093"/>
      <c r="V11" s="3825">
        <f>LARGE(V5:V10,1)+1</f>
        <v>7</v>
      </c>
      <c r="W11" s="3826" t="s">
        <v>1738</v>
      </c>
      <c r="X11" s="3825">
        <f>LARGE(X5:X10,1)+1</f>
        <v>62</v>
      </c>
      <c r="Y11" s="3826" t="s">
        <v>1777</v>
      </c>
      <c r="Z11" s="3825">
        <f>LARGE(Z5:Z10,1)+1</f>
        <v>119</v>
      </c>
      <c r="AA11" s="3826" t="s">
        <v>1778</v>
      </c>
      <c r="AB11" s="3825">
        <f>LARGE(AB5:AB10,1)+1</f>
        <v>169</v>
      </c>
      <c r="AC11" s="3826" t="s">
        <v>1779</v>
      </c>
      <c r="AD11" s="3825">
        <f>LARGE(AD5:AD10,1)+1</f>
        <v>223</v>
      </c>
      <c r="AE11" s="3826" t="s">
        <v>1780</v>
      </c>
      <c r="AF11" s="3825">
        <f>LARGE(AF5:AF10,1)+1</f>
        <v>274</v>
      </c>
      <c r="AG11" s="3826" t="s">
        <v>1781</v>
      </c>
      <c r="AH11" s="3821">
        <f>LARGE(AH4:AH10,1)+1</f>
        <v>8</v>
      </c>
      <c r="AI11" s="3822" t="s">
        <v>3177</v>
      </c>
      <c r="AJ11" s="3823"/>
      <c r="AK11" s="3821">
        <f>LARGE(AK4:AK10,1)+1</f>
        <v>64</v>
      </c>
      <c r="AL11" s="3822" t="s">
        <v>3178</v>
      </c>
      <c r="AM11" s="2090"/>
      <c r="AN11" s="2090"/>
      <c r="AO11" s="3193"/>
      <c r="AP11" s="3829" t="s">
        <v>3179</v>
      </c>
      <c r="AR11" s="3828">
        <v>6</v>
      </c>
      <c r="AS11" s="3830" t="s">
        <v>3180</v>
      </c>
      <c r="AT11" s="3830"/>
      <c r="AV11" s="3828">
        <v>4</v>
      </c>
      <c r="AW11" s="7085" t="s">
        <v>3181</v>
      </c>
      <c r="AX11" s="7085"/>
    </row>
    <row r="12" spans="1:50" ht="23.25" customHeight="1">
      <c r="B12" s="3833"/>
      <c r="C12" s="2092" t="s">
        <v>21</v>
      </c>
      <c r="D12" s="3825"/>
      <c r="E12" s="2092" t="s">
        <v>1782</v>
      </c>
      <c r="F12" s="3825">
        <f>LARGE(F5:F11,1)+1</f>
        <v>39</v>
      </c>
      <c r="G12" s="3826" t="s">
        <v>1783</v>
      </c>
      <c r="H12" s="3825">
        <f>LARGE(H5:H11,1)+1</f>
        <v>57</v>
      </c>
      <c r="I12" s="3826" t="s">
        <v>1784</v>
      </c>
      <c r="J12" s="2093"/>
      <c r="K12" s="2089"/>
      <c r="L12" s="3825">
        <f>LARGE(L5:L11,1)+1</f>
        <v>7</v>
      </c>
      <c r="M12" s="3826" t="s">
        <v>1785</v>
      </c>
      <c r="N12" s="3825"/>
      <c r="O12" s="2094" t="s">
        <v>1697</v>
      </c>
      <c r="P12" s="3825">
        <f>LARGE(P5:P11,1)+1</f>
        <v>96</v>
      </c>
      <c r="Q12" s="3826" t="s">
        <v>1786</v>
      </c>
      <c r="R12" s="3825"/>
      <c r="S12" s="3819" t="s">
        <v>12</v>
      </c>
      <c r="T12" s="2093"/>
      <c r="V12" s="3825">
        <f>LARGE(V5:V11,1)+1</f>
        <v>8</v>
      </c>
      <c r="W12" s="3826" t="s">
        <v>1749</v>
      </c>
      <c r="X12" s="3825">
        <f>LARGE(X5:X11,1)+1</f>
        <v>63</v>
      </c>
      <c r="Y12" s="3826" t="s">
        <v>1787</v>
      </c>
      <c r="Z12" s="3825">
        <f>LARGE(Z5:Z11,1)+1</f>
        <v>120</v>
      </c>
      <c r="AA12" s="3826" t="s">
        <v>1788</v>
      </c>
      <c r="AB12" s="3825">
        <f>LARGE(AB5:AB11,1)+1</f>
        <v>170</v>
      </c>
      <c r="AC12" s="3826" t="s">
        <v>1789</v>
      </c>
      <c r="AD12" s="3825">
        <f>LARGE(AD5:AD11,1)+1</f>
        <v>224</v>
      </c>
      <c r="AE12" s="3826" t="s">
        <v>1790</v>
      </c>
      <c r="AF12" s="3825">
        <f>LARGE(AF5:AF11,1)+1</f>
        <v>275</v>
      </c>
      <c r="AG12" s="3826" t="s">
        <v>1791</v>
      </c>
      <c r="AH12" s="3821">
        <f>LARGE(AH4:AH11,1)+1</f>
        <v>9</v>
      </c>
      <c r="AI12" s="3822" t="s">
        <v>3182</v>
      </c>
      <c r="AJ12" s="3823"/>
      <c r="AK12" s="3821">
        <f>LARGE(AK4:AK11,1)+1</f>
        <v>65</v>
      </c>
      <c r="AL12" s="3822" t="s">
        <v>3183</v>
      </c>
      <c r="AM12" s="2090"/>
      <c r="AN12" s="2090"/>
      <c r="AO12" s="3193"/>
      <c r="AP12" s="3829" t="s">
        <v>3184</v>
      </c>
      <c r="AR12" s="3828">
        <v>7</v>
      </c>
      <c r="AS12" s="3830" t="s">
        <v>3185</v>
      </c>
      <c r="AT12" s="3830"/>
      <c r="AV12" s="3828"/>
      <c r="AW12" s="7085"/>
      <c r="AX12" s="7085"/>
    </row>
    <row r="13" spans="1:50" ht="26.25" customHeight="1">
      <c r="B13" s="3825">
        <f>LARGE(B5:B12,1)+1</f>
        <v>8</v>
      </c>
      <c r="C13" s="3826" t="s">
        <v>1792</v>
      </c>
      <c r="D13" s="3825">
        <f>LARGE(D5:D12,1)+1</f>
        <v>22</v>
      </c>
      <c r="E13" s="3826" t="s">
        <v>1793</v>
      </c>
      <c r="F13" s="3825"/>
      <c r="G13" s="2092" t="s">
        <v>812</v>
      </c>
      <c r="H13" s="3825"/>
      <c r="I13" s="3818" t="s">
        <v>813</v>
      </c>
      <c r="J13" s="2093"/>
      <c r="K13" s="2089"/>
      <c r="L13" s="3825">
        <f>LARGE(L5:L12,1)+1</f>
        <v>8</v>
      </c>
      <c r="M13" s="3826" t="s">
        <v>1794</v>
      </c>
      <c r="N13" s="3825">
        <f>LARGE(N5:N12,1)+1</f>
        <v>53</v>
      </c>
      <c r="O13" s="3826" t="s">
        <v>1795</v>
      </c>
      <c r="P13" s="3825">
        <f>LARGE(P5:P12,1)+1</f>
        <v>97</v>
      </c>
      <c r="Q13" s="3826" t="s">
        <v>1796</v>
      </c>
      <c r="R13" s="3825">
        <f>LARGE(R5:R12,1)+1</f>
        <v>137</v>
      </c>
      <c r="S13" s="3826" t="s">
        <v>1797</v>
      </c>
      <c r="T13" s="2093"/>
      <c r="V13" s="3825">
        <f>LARGE(V5:V12,1)+1</f>
        <v>9</v>
      </c>
      <c r="W13" s="3826" t="s">
        <v>701</v>
      </c>
      <c r="X13" s="3825">
        <f>LARGE(X5:X12,1)+1</f>
        <v>64</v>
      </c>
      <c r="Y13" s="3826" t="s">
        <v>1798</v>
      </c>
      <c r="Z13" s="3825">
        <f>LARGE(Z5:Z12,1)+1</f>
        <v>121</v>
      </c>
      <c r="AA13" s="3826" t="s">
        <v>1799</v>
      </c>
      <c r="AB13" s="3825">
        <f>LARGE(AB5:AB12,1)+1</f>
        <v>171</v>
      </c>
      <c r="AC13" s="3826" t="s">
        <v>1800</v>
      </c>
      <c r="AD13" s="3825">
        <f>LARGE(AD5:AD12,1)+1</f>
        <v>225</v>
      </c>
      <c r="AE13" s="3826" t="s">
        <v>1801</v>
      </c>
      <c r="AF13" s="3825">
        <f>LARGE(AF5:AF12,1)+1</f>
        <v>276</v>
      </c>
      <c r="AG13" s="3826" t="s">
        <v>1802</v>
      </c>
      <c r="AH13" s="3821">
        <f>LARGE(AH4:AH12,1)+1</f>
        <v>10</v>
      </c>
      <c r="AI13" s="3822" t="s">
        <v>3186</v>
      </c>
      <c r="AJ13" s="3823"/>
      <c r="AK13" s="3821">
        <f>LARGE(AK4:AK12,1)+1</f>
        <v>66</v>
      </c>
      <c r="AL13" s="3822" t="s">
        <v>3187</v>
      </c>
      <c r="AM13" s="2090"/>
      <c r="AN13" s="2090"/>
      <c r="AO13" s="3193"/>
      <c r="AP13" s="3827" t="s">
        <v>21</v>
      </c>
      <c r="AR13" s="3828">
        <v>8</v>
      </c>
      <c r="AS13" s="3830" t="s">
        <v>3188</v>
      </c>
      <c r="AT13" s="3830"/>
      <c r="AV13" s="3828"/>
      <c r="AW13" s="3834"/>
      <c r="AX13" s="3834"/>
    </row>
    <row r="14" spans="1:50" ht="22.5" customHeight="1">
      <c r="B14" s="3833"/>
      <c r="C14" s="2092" t="s">
        <v>6</v>
      </c>
      <c r="D14" s="3825"/>
      <c r="E14" s="2092" t="s">
        <v>20</v>
      </c>
      <c r="F14" s="3825">
        <f>LARGE(F5:F13,1)+1</f>
        <v>40</v>
      </c>
      <c r="G14" s="3826" t="s">
        <v>1780</v>
      </c>
      <c r="H14" s="3825">
        <f>LARGE(H5:H13,1)+1</f>
        <v>58</v>
      </c>
      <c r="I14" s="3826" t="s">
        <v>1769</v>
      </c>
      <c r="J14" s="2093"/>
      <c r="K14" s="2089"/>
      <c r="L14" s="3825">
        <f>LARGE(L5:L13,1)+1</f>
        <v>9</v>
      </c>
      <c r="M14" s="3826" t="s">
        <v>1803</v>
      </c>
      <c r="N14" s="3825">
        <f>LARGE(N5:N13,1)+1</f>
        <v>54</v>
      </c>
      <c r="O14" s="3826" t="s">
        <v>1804</v>
      </c>
      <c r="P14" s="3825">
        <f>LARGE(P5:P13,1)+1</f>
        <v>98</v>
      </c>
      <c r="Q14" s="3826" t="s">
        <v>1805</v>
      </c>
      <c r="R14" s="3825">
        <f>LARGE(R5:R13,1)+1</f>
        <v>138</v>
      </c>
      <c r="S14" s="3826" t="s">
        <v>1806</v>
      </c>
      <c r="T14" s="2093"/>
      <c r="V14" s="3825">
        <f>LARGE(V5:V13,1)+1</f>
        <v>10</v>
      </c>
      <c r="W14" s="3826" t="s">
        <v>1770</v>
      </c>
      <c r="X14" s="3825">
        <f>LARGE(X5:X13,1)+1</f>
        <v>65</v>
      </c>
      <c r="Y14" s="3826" t="s">
        <v>1808</v>
      </c>
      <c r="Z14" s="3825">
        <f>LARGE(Z5:Z13,1)+1</f>
        <v>122</v>
      </c>
      <c r="AA14" s="3826" t="s">
        <v>1809</v>
      </c>
      <c r="AB14" s="3825">
        <f>LARGE(AB5:AB13,1)+1</f>
        <v>172</v>
      </c>
      <c r="AC14" s="3826" t="s">
        <v>1810</v>
      </c>
      <c r="AD14" s="3825">
        <f>LARGE(AD5:AD13,1)+1</f>
        <v>226</v>
      </c>
      <c r="AE14" s="3826" t="s">
        <v>1811</v>
      </c>
      <c r="AF14" s="3825">
        <f>LARGE(AF5:AF13,1)+1</f>
        <v>277</v>
      </c>
      <c r="AG14" s="3826" t="s">
        <v>1812</v>
      </c>
      <c r="AH14" s="3821">
        <f>LARGE(AH4:AH13,1)+1</f>
        <v>11</v>
      </c>
      <c r="AI14" s="3822" t="s">
        <v>3189</v>
      </c>
      <c r="AJ14" s="3823"/>
      <c r="AK14" s="3821">
        <f>LARGE(AK4:AK13,1)+1</f>
        <v>67</v>
      </c>
      <c r="AL14" s="3822" t="s">
        <v>3190</v>
      </c>
      <c r="AM14" s="2090"/>
      <c r="AN14" s="2090"/>
      <c r="AO14" s="3193"/>
      <c r="AP14" s="3829" t="s">
        <v>3191</v>
      </c>
      <c r="AR14" s="3828"/>
      <c r="AS14" s="3835" t="s">
        <v>3192</v>
      </c>
      <c r="AT14" s="3830"/>
      <c r="AV14" s="3831" t="s">
        <v>44</v>
      </c>
      <c r="AW14" s="3832" t="s">
        <v>3193</v>
      </c>
      <c r="AX14" s="3830"/>
    </row>
    <row r="15" spans="1:50" s="2100" customFormat="1" ht="26.25" customHeight="1">
      <c r="B15" s="3825">
        <f>LARGE(B5:B14,1)+1</f>
        <v>9</v>
      </c>
      <c r="C15" s="3826" t="s">
        <v>1813</v>
      </c>
      <c r="D15" s="3825">
        <f>LARGE(D5:D14,1)+1</f>
        <v>23</v>
      </c>
      <c r="E15" s="3826" t="s">
        <v>1814</v>
      </c>
      <c r="F15" s="3825">
        <f>LARGE(F5:F14,1)+1</f>
        <v>41</v>
      </c>
      <c r="G15" s="3826" t="s">
        <v>1790</v>
      </c>
      <c r="H15" s="3825"/>
      <c r="I15" s="3818" t="s">
        <v>814</v>
      </c>
      <c r="J15" s="2093"/>
      <c r="K15" s="2089"/>
      <c r="L15" s="3825">
        <f>LARGE(L5:L14,1)+1</f>
        <v>10</v>
      </c>
      <c r="M15" s="3826" t="s">
        <v>1815</v>
      </c>
      <c r="N15" s="3825">
        <f>LARGE(N5:N14,1)+1</f>
        <v>55</v>
      </c>
      <c r="O15" s="3826" t="s">
        <v>1816</v>
      </c>
      <c r="P15" s="3825"/>
      <c r="Q15" s="2094" t="s">
        <v>807</v>
      </c>
      <c r="R15" s="3825">
        <f>LARGE(R5:R14,1)+1</f>
        <v>139</v>
      </c>
      <c r="S15" s="3826" t="s">
        <v>1817</v>
      </c>
      <c r="T15" s="2093"/>
      <c r="V15" s="3825">
        <f>LARGE(V5:V14,1)+1</f>
        <v>11</v>
      </c>
      <c r="W15" s="3826" t="s">
        <v>1807</v>
      </c>
      <c r="X15" s="3825">
        <f>LARGE(X5:X14,1)+1</f>
        <v>66</v>
      </c>
      <c r="Y15" s="3826" t="s">
        <v>1818</v>
      </c>
      <c r="Z15" s="3825">
        <f>LARGE(Z5:Z14,1)+1</f>
        <v>123</v>
      </c>
      <c r="AA15" s="3826" t="s">
        <v>1819</v>
      </c>
      <c r="AB15" s="3825">
        <f>LARGE(AB5:AB14,1)+1</f>
        <v>173</v>
      </c>
      <c r="AC15" s="3826" t="s">
        <v>1820</v>
      </c>
      <c r="AD15" s="3825">
        <f>LARGE(AD5:AD14,1)+1</f>
        <v>227</v>
      </c>
      <c r="AE15" s="3826" t="s">
        <v>1706</v>
      </c>
      <c r="AF15" s="3825">
        <f>LARGE(AF5:AF14,1)+1</f>
        <v>278</v>
      </c>
      <c r="AG15" s="3826" t="s">
        <v>1821</v>
      </c>
      <c r="AH15" s="3821">
        <f>LARGE(AH4:AH14,1)+1</f>
        <v>12</v>
      </c>
      <c r="AI15" s="3822" t="s">
        <v>3194</v>
      </c>
      <c r="AJ15" s="3836"/>
      <c r="AK15" s="3821">
        <f>LARGE(AK4:AK14,1)+1</f>
        <v>68</v>
      </c>
      <c r="AL15" s="3822" t="s">
        <v>3195</v>
      </c>
      <c r="AM15" s="3837"/>
      <c r="AN15" s="3837"/>
      <c r="AO15" s="3193"/>
      <c r="AP15" s="3838" t="s">
        <v>3196</v>
      </c>
      <c r="AR15" s="3828">
        <v>9</v>
      </c>
      <c r="AS15" s="3830" t="s">
        <v>3197</v>
      </c>
      <c r="AT15" s="3830"/>
      <c r="AU15" s="3817"/>
      <c r="AV15" s="3828">
        <v>1</v>
      </c>
      <c r="AW15" s="7085" t="s">
        <v>3198</v>
      </c>
      <c r="AX15" s="7085"/>
    </row>
    <row r="16" spans="1:50" s="2100" customFormat="1" ht="23.25" customHeight="1">
      <c r="B16" s="3825">
        <f>LARGE(B5:B15,1)+1</f>
        <v>10</v>
      </c>
      <c r="C16" s="3826" t="s">
        <v>1822</v>
      </c>
      <c r="D16" s="3825">
        <f>LARGE(D5:D15,1)+1</f>
        <v>24</v>
      </c>
      <c r="E16" s="3826" t="s">
        <v>1823</v>
      </c>
      <c r="F16" s="3825">
        <f>LARGE(F5:F15,1)+1</f>
        <v>42</v>
      </c>
      <c r="G16" s="3826" t="s">
        <v>1801</v>
      </c>
      <c r="H16" s="3825">
        <f>LARGE(H5:H15,1)+1</f>
        <v>59</v>
      </c>
      <c r="I16" s="3826" t="s">
        <v>1824</v>
      </c>
      <c r="J16" s="2093"/>
      <c r="K16" s="2089"/>
      <c r="L16" s="3825">
        <f>LARGE(L5:L15,1)+1</f>
        <v>11</v>
      </c>
      <c r="M16" s="3826" t="s">
        <v>1825</v>
      </c>
      <c r="N16" s="3825">
        <f>LARGE(N5:N15,1)+1</f>
        <v>56</v>
      </c>
      <c r="O16" s="3826" t="s">
        <v>1826</v>
      </c>
      <c r="P16" s="3825">
        <f>LARGE(P5:P15,1)+1</f>
        <v>99</v>
      </c>
      <c r="Q16" s="3826" t="s">
        <v>1709</v>
      </c>
      <c r="R16" s="3825">
        <f>LARGE(R5:R15,1)+1</f>
        <v>140</v>
      </c>
      <c r="S16" s="3826" t="s">
        <v>1827</v>
      </c>
      <c r="T16" s="2093"/>
      <c r="V16" s="3825">
        <f>LARGE(V5:V15,1)+1</f>
        <v>12</v>
      </c>
      <c r="W16" s="3826" t="s">
        <v>1729</v>
      </c>
      <c r="X16" s="3825">
        <f>LARGE(X5:X15,1)+1</f>
        <v>67</v>
      </c>
      <c r="Y16" s="3826" t="s">
        <v>1828</v>
      </c>
      <c r="Z16" s="3825">
        <f>LARGE(Z5:Z15,1)+1</f>
        <v>124</v>
      </c>
      <c r="AA16" s="3826" t="s">
        <v>1829</v>
      </c>
      <c r="AB16" s="3825">
        <f>LARGE(AB5:AB15,1)+1</f>
        <v>174</v>
      </c>
      <c r="AC16" s="3826" t="s">
        <v>1830</v>
      </c>
      <c r="AD16" s="3825">
        <f>LARGE(AD5:AD15,1)+1</f>
        <v>228</v>
      </c>
      <c r="AE16" s="3826" t="s">
        <v>1831</v>
      </c>
      <c r="AF16" s="3825">
        <f>LARGE(AF5:AF15,1)+1</f>
        <v>279</v>
      </c>
      <c r="AG16" s="3826" t="s">
        <v>1832</v>
      </c>
      <c r="AH16" s="3821">
        <f>LARGE(AH4:AH15,1)+1</f>
        <v>13</v>
      </c>
      <c r="AI16" s="3822" t="s">
        <v>3199</v>
      </c>
      <c r="AJ16" s="3836"/>
      <c r="AK16" s="3821">
        <f>LARGE(AK4:AK15,1)+1</f>
        <v>69</v>
      </c>
      <c r="AL16" s="3822" t="s">
        <v>3200</v>
      </c>
      <c r="AM16" s="3837"/>
      <c r="AN16" s="3837"/>
      <c r="AO16" s="3193"/>
      <c r="AP16" s="3838" t="s">
        <v>3201</v>
      </c>
      <c r="AR16" s="3828">
        <v>10</v>
      </c>
      <c r="AS16" s="3830" t="s">
        <v>3202</v>
      </c>
      <c r="AT16" s="3830"/>
      <c r="AU16" s="3817"/>
      <c r="AV16" s="3828"/>
      <c r="AW16" s="7085"/>
      <c r="AX16" s="7085"/>
    </row>
    <row r="17" spans="2:50" s="2100" customFormat="1" ht="23.25">
      <c r="B17" s="3825">
        <f>LARGE(B5:B16,1)+1</f>
        <v>11</v>
      </c>
      <c r="C17" s="3826" t="s">
        <v>1833</v>
      </c>
      <c r="D17" s="3825"/>
      <c r="E17" s="2092" t="s">
        <v>18</v>
      </c>
      <c r="F17" s="3825">
        <f>LARGE(F5:F16,1)+1</f>
        <v>43</v>
      </c>
      <c r="G17" s="3826" t="s">
        <v>1811</v>
      </c>
      <c r="H17" s="3825"/>
      <c r="I17" s="3818" t="s">
        <v>1834</v>
      </c>
      <c r="J17" s="2093"/>
      <c r="K17" s="2089"/>
      <c r="L17" s="3825"/>
      <c r="M17" s="2094" t="s">
        <v>6</v>
      </c>
      <c r="N17" s="3825">
        <f>LARGE(N5:N16,1)+1</f>
        <v>57</v>
      </c>
      <c r="O17" s="3826" t="s">
        <v>1835</v>
      </c>
      <c r="P17" s="3825">
        <f>LARGE(P5:P16,1)+1</f>
        <v>100</v>
      </c>
      <c r="Q17" s="3826" t="s">
        <v>1735</v>
      </c>
      <c r="R17" s="3825">
        <f>LARGE(R5:R16,1)+1</f>
        <v>141</v>
      </c>
      <c r="S17" s="3826" t="s">
        <v>1836</v>
      </c>
      <c r="T17" s="2093"/>
      <c r="V17" s="3825">
        <f>LARGE(V5:V16,1)+1</f>
        <v>13</v>
      </c>
      <c r="W17" s="3826" t="s">
        <v>1741</v>
      </c>
      <c r="X17" s="3825">
        <f>LARGE(X5:X16,1)+1</f>
        <v>68</v>
      </c>
      <c r="Y17" s="3826" t="s">
        <v>1837</v>
      </c>
      <c r="Z17" s="3825">
        <f>LARGE(Z5:Z16,1)+1</f>
        <v>125</v>
      </c>
      <c r="AA17" s="3826" t="s">
        <v>1838</v>
      </c>
      <c r="AB17" s="3825">
        <f>LARGE(AB5:AB16,1)+1</f>
        <v>175</v>
      </c>
      <c r="AC17" s="3826" t="s">
        <v>1839</v>
      </c>
      <c r="AD17" s="3825">
        <f>LARGE(AD5:AD16,1)+1</f>
        <v>229</v>
      </c>
      <c r="AE17" s="3826" t="s">
        <v>1840</v>
      </c>
      <c r="AF17" s="3825">
        <f>LARGE(AF5:AF16,1)+1</f>
        <v>280</v>
      </c>
      <c r="AG17" s="3826" t="s">
        <v>1841</v>
      </c>
      <c r="AH17" s="3821">
        <f>LARGE(AH4:AH16,1)+1</f>
        <v>14</v>
      </c>
      <c r="AI17" s="3822" t="s">
        <v>3203</v>
      </c>
      <c r="AJ17" s="3836"/>
      <c r="AK17" s="3821">
        <f>LARGE(AK4:AK16,1)+1</f>
        <v>70</v>
      </c>
      <c r="AL17" s="3822" t="s">
        <v>3204</v>
      </c>
      <c r="AM17" s="3837"/>
      <c r="AN17" s="3837"/>
      <c r="AO17" s="3193"/>
      <c r="AP17" s="3838" t="s">
        <v>3205</v>
      </c>
      <c r="AR17" s="3828">
        <v>11</v>
      </c>
      <c r="AS17" s="3830" t="s">
        <v>3206</v>
      </c>
      <c r="AT17" s="3830"/>
      <c r="AU17" s="3817"/>
      <c r="AV17" s="3828">
        <v>2</v>
      </c>
      <c r="AW17" s="7085" t="s">
        <v>3207</v>
      </c>
      <c r="AX17" s="7085"/>
    </row>
    <row r="18" spans="2:50" s="2100" customFormat="1" ht="23.25" customHeight="1">
      <c r="B18" s="3833"/>
      <c r="C18" s="2092" t="s">
        <v>713</v>
      </c>
      <c r="D18" s="3825">
        <f>LARGE(D5:D17,1)+1</f>
        <v>25</v>
      </c>
      <c r="E18" s="3826" t="s">
        <v>1842</v>
      </c>
      <c r="F18" s="3825">
        <f>LARGE(F5:F17,1)+1</f>
        <v>44</v>
      </c>
      <c r="G18" s="3826" t="s">
        <v>1831</v>
      </c>
      <c r="H18" s="3825">
        <f>LARGE(H5:H17,1)+1</f>
        <v>60</v>
      </c>
      <c r="I18" s="3826" t="s">
        <v>1843</v>
      </c>
      <c r="J18" s="2093"/>
      <c r="K18" s="2089"/>
      <c r="L18" s="3825">
        <f>LARGE(L5:L17,1)+1</f>
        <v>12</v>
      </c>
      <c r="M18" s="3826" t="s">
        <v>1844</v>
      </c>
      <c r="N18" s="3825">
        <f>LARGE(N5:N17,1)+1</f>
        <v>58</v>
      </c>
      <c r="O18" s="3826" t="s">
        <v>1845</v>
      </c>
      <c r="P18" s="3825">
        <f>LARGE(P5:P17,1)+1</f>
        <v>101</v>
      </c>
      <c r="Q18" s="3826" t="s">
        <v>1767</v>
      </c>
      <c r="R18" s="3825">
        <f>LARGE(R5:R17,1)+1</f>
        <v>142</v>
      </c>
      <c r="S18" s="3826" t="s">
        <v>1846</v>
      </c>
      <c r="T18" s="2093"/>
      <c r="V18" s="3825"/>
      <c r="W18" s="2096" t="s">
        <v>21</v>
      </c>
      <c r="X18" s="3825">
        <f>LARGE(X5:X17,1)+1</f>
        <v>69</v>
      </c>
      <c r="Y18" s="3826" t="s">
        <v>1847</v>
      </c>
      <c r="Z18" s="3825">
        <f>LARGE(Z5:Z17,1)+1</f>
        <v>126</v>
      </c>
      <c r="AA18" s="3826" t="s">
        <v>1848</v>
      </c>
      <c r="AB18" s="3825">
        <f>LARGE(AB5:AB17,1)+1</f>
        <v>176</v>
      </c>
      <c r="AC18" s="3826" t="s">
        <v>1849</v>
      </c>
      <c r="AD18" s="3825">
        <f>LARGE(AD5:AD17,1)+1</f>
        <v>230</v>
      </c>
      <c r="AE18" s="3826" t="s">
        <v>1850</v>
      </c>
      <c r="AF18" s="3825">
        <f>LARGE(AF5:AF17,1)+1</f>
        <v>281</v>
      </c>
      <c r="AG18" s="3826" t="s">
        <v>1851</v>
      </c>
      <c r="AH18" s="3821">
        <f>LARGE(AH4:AH17,1)+1</f>
        <v>15</v>
      </c>
      <c r="AI18" s="3822" t="s">
        <v>3208</v>
      </c>
      <c r="AJ18" s="3836"/>
      <c r="AK18" s="3821">
        <f>LARGE(AK4:AK17,1)+1</f>
        <v>71</v>
      </c>
      <c r="AL18" s="3822" t="s">
        <v>3209</v>
      </c>
      <c r="AM18" s="3837"/>
      <c r="AN18" s="3837"/>
      <c r="AO18" s="3193"/>
      <c r="AP18" s="3829" t="s">
        <v>3210</v>
      </c>
      <c r="AR18" s="3828">
        <v>12</v>
      </c>
      <c r="AS18" s="3830" t="s">
        <v>3211</v>
      </c>
      <c r="AT18" s="3830"/>
      <c r="AU18" s="3817"/>
      <c r="AV18" s="3828"/>
      <c r="AW18" s="7085"/>
      <c r="AX18" s="7085"/>
    </row>
    <row r="19" spans="2:50" s="2100" customFormat="1" ht="23.25" customHeight="1">
      <c r="B19" s="3825">
        <f>LARGE(B5:B18,1)+1</f>
        <v>12</v>
      </c>
      <c r="C19" s="3826" t="s">
        <v>1744</v>
      </c>
      <c r="D19" s="3825"/>
      <c r="E19" s="2092" t="s">
        <v>398</v>
      </c>
      <c r="F19" s="3825">
        <f>LARGE(F5:F18,1)+1</f>
        <v>45</v>
      </c>
      <c r="G19" s="3826" t="s">
        <v>1850</v>
      </c>
      <c r="H19" s="3825">
        <f>LARGE(H5:H18,1)+1</f>
        <v>61</v>
      </c>
      <c r="I19" s="3826" t="s">
        <v>1852</v>
      </c>
      <c r="J19" s="2093"/>
      <c r="K19" s="2089"/>
      <c r="L19" s="3825">
        <f>LARGE(L5:L18,1)+1</f>
        <v>13</v>
      </c>
      <c r="M19" s="3826" t="s">
        <v>1853</v>
      </c>
      <c r="N19" s="3825">
        <f>LARGE(N5:N18,1)+1</f>
        <v>59</v>
      </c>
      <c r="O19" s="3826" t="s">
        <v>1854</v>
      </c>
      <c r="P19" s="3825">
        <f>LARGE(P5:P18,1)+1</f>
        <v>102</v>
      </c>
      <c r="Q19" s="3826" t="s">
        <v>1779</v>
      </c>
      <c r="R19" s="3825">
        <f>LARGE(R5:R18,1)+1</f>
        <v>143</v>
      </c>
      <c r="S19" s="3826" t="s">
        <v>1855</v>
      </c>
      <c r="T19" s="2093"/>
      <c r="V19" s="3825">
        <f>LARGE(V5:V18,1)+1</f>
        <v>14</v>
      </c>
      <c r="W19" s="3826" t="s">
        <v>1762</v>
      </c>
      <c r="X19" s="3825">
        <f>LARGE(X5:X18,1)+1</f>
        <v>70</v>
      </c>
      <c r="Y19" s="3826" t="s">
        <v>1856</v>
      </c>
      <c r="Z19" s="3825">
        <f>LARGE(Z5:Z18,1)+1</f>
        <v>127</v>
      </c>
      <c r="AA19" s="3826" t="s">
        <v>1857</v>
      </c>
      <c r="AB19" s="3825">
        <f>LARGE(AB5:AB18,1)+1</f>
        <v>177</v>
      </c>
      <c r="AC19" s="3826" t="s">
        <v>1858</v>
      </c>
      <c r="AD19" s="3825">
        <f>LARGE(AD5:AD18,1)+1</f>
        <v>231</v>
      </c>
      <c r="AE19" s="3826" t="s">
        <v>1859</v>
      </c>
      <c r="AF19" s="3825">
        <f>LARGE(AF5:AF18,1)+1</f>
        <v>282</v>
      </c>
      <c r="AG19" s="3826" t="s">
        <v>1860</v>
      </c>
      <c r="AH19" s="3821">
        <f>LARGE(AH4:AH18,1)+1</f>
        <v>16</v>
      </c>
      <c r="AI19" s="3822" t="s">
        <v>3212</v>
      </c>
      <c r="AJ19" s="3836"/>
      <c r="AK19" s="3821">
        <f>LARGE(AK4:AK18,1)+1</f>
        <v>72</v>
      </c>
      <c r="AL19" s="3822" t="s">
        <v>3213</v>
      </c>
      <c r="AM19" s="3837"/>
      <c r="AN19" s="3837"/>
      <c r="AO19" s="3193"/>
      <c r="AP19" s="3829" t="s">
        <v>3214</v>
      </c>
      <c r="AR19" s="3828">
        <v>13</v>
      </c>
      <c r="AS19" s="3830" t="s">
        <v>3215</v>
      </c>
      <c r="AT19" s="3830"/>
      <c r="AU19" s="3817"/>
      <c r="AV19" s="3828">
        <v>3</v>
      </c>
      <c r="AW19" s="7085" t="s">
        <v>3216</v>
      </c>
      <c r="AX19" s="7085"/>
    </row>
    <row r="20" spans="2:50" s="2100" customFormat="1" ht="27" customHeight="1">
      <c r="B20" s="3825">
        <f>LARGE(B5:B19,1)+1</f>
        <v>13</v>
      </c>
      <c r="C20" s="3826" t="s">
        <v>1837</v>
      </c>
      <c r="D20" s="3825">
        <f>LARGE(D5:D19,1)+1</f>
        <v>26</v>
      </c>
      <c r="E20" s="3826" t="s">
        <v>1861</v>
      </c>
      <c r="F20" s="3825">
        <f>LARGE(F5:F19,1)+1</f>
        <v>46</v>
      </c>
      <c r="G20" s="3826" t="s">
        <v>1862</v>
      </c>
      <c r="H20" s="3825"/>
      <c r="I20" s="2098"/>
      <c r="J20" s="2093"/>
      <c r="K20" s="2089"/>
      <c r="L20" s="3825">
        <f>LARGE(L5:L19,1)+1</f>
        <v>14</v>
      </c>
      <c r="M20" s="3826" t="s">
        <v>1863</v>
      </c>
      <c r="N20" s="3825">
        <f>LARGE(N5:N19,1)+1</f>
        <v>60</v>
      </c>
      <c r="O20" s="3826" t="s">
        <v>1864</v>
      </c>
      <c r="P20" s="3825">
        <f>LARGE(P5:P19,1)+1</f>
        <v>103</v>
      </c>
      <c r="Q20" s="3826" t="s">
        <v>1800</v>
      </c>
      <c r="R20" s="3825"/>
      <c r="S20" s="3819" t="s">
        <v>813</v>
      </c>
      <c r="T20" s="2093"/>
      <c r="V20" s="3825">
        <f>LARGE(V5:V19,1)+1</f>
        <v>15</v>
      </c>
      <c r="W20" s="3826" t="s">
        <v>1792</v>
      </c>
      <c r="X20" s="3825">
        <f>LARGE(X5:X19,1)+1</f>
        <v>71</v>
      </c>
      <c r="Y20" s="3826" t="s">
        <v>1865</v>
      </c>
      <c r="Z20" s="3825">
        <f>LARGE(Z5:Z19,1)+1</f>
        <v>128</v>
      </c>
      <c r="AA20" s="3826" t="s">
        <v>1866</v>
      </c>
      <c r="AB20" s="3825">
        <f>LARGE(AB5:AB19,1)+1</f>
        <v>178</v>
      </c>
      <c r="AC20" s="3826" t="s">
        <v>1867</v>
      </c>
      <c r="AD20" s="3825">
        <f>LARGE(AD5:AD19,1)+1</f>
        <v>232</v>
      </c>
      <c r="AE20" s="3826" t="s">
        <v>1719</v>
      </c>
      <c r="AF20" s="3839"/>
      <c r="AG20" s="2101"/>
      <c r="AH20" s="3821">
        <f>LARGE(AH4:AH19,1)+1</f>
        <v>17</v>
      </c>
      <c r="AI20" s="3822" t="s">
        <v>3217</v>
      </c>
      <c r="AJ20" s="3836"/>
      <c r="AK20" s="3821">
        <f>LARGE(AK4:AK19,1)+1</f>
        <v>73</v>
      </c>
      <c r="AL20" s="3822" t="s">
        <v>3218</v>
      </c>
      <c r="AM20" s="3837"/>
      <c r="AN20" s="3837"/>
      <c r="AO20" s="3193"/>
      <c r="AP20" s="3829" t="s">
        <v>3219</v>
      </c>
      <c r="AR20" s="3828">
        <v>14</v>
      </c>
      <c r="AS20" s="3830" t="s">
        <v>3220</v>
      </c>
      <c r="AT20" s="3830"/>
      <c r="AU20" s="3817"/>
      <c r="AV20" s="3828"/>
      <c r="AW20" s="7085"/>
      <c r="AX20" s="7085"/>
    </row>
    <row r="21" spans="2:50" s="2100" customFormat="1" ht="20.25" customHeight="1">
      <c r="B21" s="3825">
        <f>LARGE(B5:B20,1)+1</f>
        <v>14</v>
      </c>
      <c r="C21" s="3826" t="s">
        <v>1868</v>
      </c>
      <c r="D21" s="3825"/>
      <c r="E21" s="2092" t="s">
        <v>807</v>
      </c>
      <c r="F21" s="3825">
        <f>LARGE(F5:F20,1)+1</f>
        <v>47</v>
      </c>
      <c r="G21" s="3826" t="s">
        <v>1869</v>
      </c>
      <c r="H21" s="3825"/>
      <c r="I21" s="2098"/>
      <c r="J21" s="2093"/>
      <c r="K21" s="2089"/>
      <c r="L21" s="3825">
        <f>LARGE(L5:L20,1)+1</f>
        <v>15</v>
      </c>
      <c r="M21" s="3826" t="s">
        <v>1870</v>
      </c>
      <c r="N21" s="3825">
        <f>LARGE(N5:N20,1)+1</f>
        <v>61</v>
      </c>
      <c r="O21" s="3826" t="s">
        <v>1871</v>
      </c>
      <c r="P21" s="3825">
        <f>LARGE(P5:P20,1)+1</f>
        <v>104</v>
      </c>
      <c r="Q21" s="3826" t="s">
        <v>1810</v>
      </c>
      <c r="R21" s="3825">
        <f>LARGE(R5:R20,1)+1</f>
        <v>144</v>
      </c>
      <c r="S21" s="3826" t="s">
        <v>1724</v>
      </c>
      <c r="T21" s="2093"/>
      <c r="V21" s="3825">
        <f>LARGE(V5:V20,1)+1</f>
        <v>16</v>
      </c>
      <c r="W21" s="3826" t="s">
        <v>1773</v>
      </c>
      <c r="X21" s="3825">
        <f>LARGE(X5:X20,1)+1</f>
        <v>72</v>
      </c>
      <c r="Y21" s="3826" t="s">
        <v>1872</v>
      </c>
      <c r="Z21" s="3825">
        <f>LARGE(Z5:Z20,1)+1</f>
        <v>129</v>
      </c>
      <c r="AA21" s="3826" t="s">
        <v>1873</v>
      </c>
      <c r="AB21" s="3825">
        <f>LARGE(AB5:AB20,1)+1</f>
        <v>179</v>
      </c>
      <c r="AC21" s="3826" t="s">
        <v>1874</v>
      </c>
      <c r="AD21" s="3825">
        <f>LARGE(AD5:AD20,1)+1</f>
        <v>233</v>
      </c>
      <c r="AE21" s="3826" t="s">
        <v>1862</v>
      </c>
      <c r="AF21" s="3839"/>
      <c r="AG21" s="2096" t="s">
        <v>814</v>
      </c>
      <c r="AH21" s="3821">
        <f>LARGE(AH4:AH20,1)+1</f>
        <v>18</v>
      </c>
      <c r="AI21" s="3822" t="s">
        <v>3221</v>
      </c>
      <c r="AJ21" s="3836"/>
      <c r="AK21" s="3821">
        <f>LARGE(AK4:AK20,1)+1</f>
        <v>74</v>
      </c>
      <c r="AL21" s="3822" t="s">
        <v>3222</v>
      </c>
      <c r="AM21" s="3837"/>
      <c r="AN21" s="3837"/>
      <c r="AO21" s="3193"/>
      <c r="AP21" s="3829" t="s">
        <v>3223</v>
      </c>
      <c r="AR21" s="3828">
        <v>15</v>
      </c>
      <c r="AS21" s="3830" t="s">
        <v>3224</v>
      </c>
      <c r="AT21" s="3830"/>
      <c r="AU21" s="3840"/>
      <c r="AV21" s="3828">
        <v>4</v>
      </c>
      <c r="AW21" s="3830" t="s">
        <v>3225</v>
      </c>
      <c r="AX21" s="3830"/>
    </row>
    <row r="22" spans="2:50" s="2100" customFormat="1" ht="23.25" customHeight="1">
      <c r="B22" s="3825">
        <f>LARGE(B5:B21,1)+1</f>
        <v>15</v>
      </c>
      <c r="C22" s="3826" t="s">
        <v>1875</v>
      </c>
      <c r="D22" s="3825">
        <f>LARGE(D5:D21,1)+1</f>
        <v>27</v>
      </c>
      <c r="E22" s="3826" t="s">
        <v>1722</v>
      </c>
      <c r="F22" s="3825">
        <f>LARGE(F5:F21,1)+1</f>
        <v>48</v>
      </c>
      <c r="G22" s="3826" t="s">
        <v>1876</v>
      </c>
      <c r="H22" s="3825"/>
      <c r="I22" s="3841"/>
      <c r="J22" s="2093"/>
      <c r="K22" s="2089"/>
      <c r="L22" s="3825">
        <f>LARGE(L5:L21,1)+1</f>
        <v>16</v>
      </c>
      <c r="M22" s="3826" t="s">
        <v>1877</v>
      </c>
      <c r="N22" s="3825">
        <f>LARGE(N5:N21,1)+1</f>
        <v>62</v>
      </c>
      <c r="O22" s="3826" t="s">
        <v>1878</v>
      </c>
      <c r="P22" s="3825">
        <f>LARGE(P5:P21,1)+1</f>
        <v>105</v>
      </c>
      <c r="Q22" s="3826" t="s">
        <v>1830</v>
      </c>
      <c r="R22" s="3825">
        <f>LARGE(R5:R21,1)+1</f>
        <v>145</v>
      </c>
      <c r="S22" s="3826" t="s">
        <v>1737</v>
      </c>
      <c r="T22" s="2093"/>
      <c r="V22" s="3825">
        <f>LARGE(V5:V21,1)+1</f>
        <v>17</v>
      </c>
      <c r="W22" s="3826" t="s">
        <v>1785</v>
      </c>
      <c r="X22" s="3825">
        <f>LARGE(X5:X21,1)+1</f>
        <v>73</v>
      </c>
      <c r="Y22" s="3826" t="s">
        <v>1704</v>
      </c>
      <c r="Z22" s="3825">
        <f>LARGE(Z5:Z21,1)+1</f>
        <v>130</v>
      </c>
      <c r="AA22" s="3826" t="s">
        <v>1879</v>
      </c>
      <c r="AB22" s="3825">
        <f>LARGE(AB5:AB21,1)+1</f>
        <v>180</v>
      </c>
      <c r="AC22" s="3826" t="s">
        <v>1880</v>
      </c>
      <c r="AD22" s="3825">
        <f>LARGE(AD5:AD21,1)+1</f>
        <v>234</v>
      </c>
      <c r="AE22" s="3826" t="s">
        <v>1869</v>
      </c>
      <c r="AF22" s="3839">
        <f>LARGE(AF5:AF21,1)+1</f>
        <v>283</v>
      </c>
      <c r="AG22" s="3826" t="s">
        <v>1881</v>
      </c>
      <c r="AH22" s="3821">
        <f>LARGE(AH4:AH21,1)+1</f>
        <v>19</v>
      </c>
      <c r="AI22" s="3822" t="s">
        <v>3226</v>
      </c>
      <c r="AJ22" s="3836"/>
      <c r="AK22" s="3821">
        <f>LARGE(AK4:AK21,1)+1</f>
        <v>75</v>
      </c>
      <c r="AL22" s="3822" t="s">
        <v>3227</v>
      </c>
      <c r="AM22" s="3837"/>
      <c r="AN22" s="3837"/>
      <c r="AO22" s="3193"/>
      <c r="AP22" s="3829" t="s">
        <v>3228</v>
      </c>
      <c r="AR22" s="3828"/>
      <c r="AS22" s="3830"/>
      <c r="AT22" s="3830"/>
      <c r="AU22" s="3840"/>
      <c r="AV22" s="3828">
        <v>5</v>
      </c>
      <c r="AW22" s="3830" t="s">
        <v>3229</v>
      </c>
      <c r="AX22" s="3830"/>
    </row>
    <row r="23" spans="2:50" s="2100" customFormat="1" ht="23.25" customHeight="1">
      <c r="B23" s="3842"/>
      <c r="C23" s="2098"/>
      <c r="D23" s="3825">
        <f>LARGE(D5:D22,1)+1</f>
        <v>28</v>
      </c>
      <c r="E23" s="3826" t="s">
        <v>1757</v>
      </c>
      <c r="F23" s="3825">
        <f>LARGE(F5:F22,1)+1</f>
        <v>49</v>
      </c>
      <c r="G23" s="3826" t="s">
        <v>1882</v>
      </c>
      <c r="H23" s="3825"/>
      <c r="I23" s="3841"/>
      <c r="J23" s="2093"/>
      <c r="K23" s="2089"/>
      <c r="L23" s="3825">
        <f>LARGE(L5:L22,1)+1</f>
        <v>17</v>
      </c>
      <c r="M23" s="3826" t="s">
        <v>1883</v>
      </c>
      <c r="N23" s="3825">
        <f>LARGE(N5:N22,1)+1</f>
        <v>63</v>
      </c>
      <c r="O23" s="3826" t="s">
        <v>1884</v>
      </c>
      <c r="P23" s="3825">
        <f>LARGE(P5:P22,1)+1</f>
        <v>106</v>
      </c>
      <c r="Q23" s="3826" t="s">
        <v>1858</v>
      </c>
      <c r="R23" s="3825">
        <f>LARGE(R5:R22,1)+1</f>
        <v>146</v>
      </c>
      <c r="S23" s="3826" t="s">
        <v>1748</v>
      </c>
      <c r="T23" s="2093"/>
      <c r="V23" s="3825">
        <f>LARGE(V5:V22,1)+1</f>
        <v>18</v>
      </c>
      <c r="W23" s="3826" t="s">
        <v>1794</v>
      </c>
      <c r="X23" s="3825">
        <f>LARGE(X5:X22,1)+1</f>
        <v>74</v>
      </c>
      <c r="Y23" s="3826" t="s">
        <v>1717</v>
      </c>
      <c r="Z23" s="3825">
        <f>LARGE(Z5:Z22,1)+1</f>
        <v>131</v>
      </c>
      <c r="AA23" s="3826" t="s">
        <v>1885</v>
      </c>
      <c r="AB23" s="3825">
        <f>LARGE(AB5:AB22,1)+1</f>
        <v>181</v>
      </c>
      <c r="AC23" s="3826" t="s">
        <v>1886</v>
      </c>
      <c r="AD23" s="3825">
        <f>LARGE(AD5:AD22,1)+1</f>
        <v>235</v>
      </c>
      <c r="AE23" s="3826" t="s">
        <v>1876</v>
      </c>
      <c r="AF23" s="3839">
        <f>LARGE(AF5:AF22,1)+1</f>
        <v>284</v>
      </c>
      <c r="AG23" s="3826" t="s">
        <v>1824</v>
      </c>
      <c r="AH23" s="3821">
        <f>LARGE(AH4:AH22,1)+1</f>
        <v>20</v>
      </c>
      <c r="AI23" s="3822" t="s">
        <v>3230</v>
      </c>
      <c r="AJ23" s="3836"/>
      <c r="AK23" s="3821">
        <f>LARGE(AK4:AK22,1)+1</f>
        <v>76</v>
      </c>
      <c r="AL23" s="3822" t="s">
        <v>3231</v>
      </c>
      <c r="AM23" s="3837"/>
      <c r="AN23" s="3837"/>
      <c r="AO23" s="3193"/>
      <c r="AP23" s="3829" t="s">
        <v>3232</v>
      </c>
      <c r="AR23" s="3828"/>
      <c r="AS23" s="7095" t="s">
        <v>3233</v>
      </c>
      <c r="AT23" s="7095"/>
      <c r="AU23" s="3840"/>
      <c r="AV23" s="3828">
        <v>6</v>
      </c>
      <c r="AW23" s="3830" t="s">
        <v>3234</v>
      </c>
      <c r="AX23" s="3830"/>
    </row>
    <row r="24" spans="2:50" s="2100" customFormat="1" ht="23.25">
      <c r="B24" s="3842"/>
      <c r="C24" s="2098"/>
      <c r="D24" s="3825">
        <f>LARGE(D5:D23,1)+1</f>
        <v>29</v>
      </c>
      <c r="E24" s="3826" t="s">
        <v>1820</v>
      </c>
      <c r="F24" s="3825">
        <f>LARGE(F5:F23,1)+1</f>
        <v>50</v>
      </c>
      <c r="G24" s="3826" t="s">
        <v>1887</v>
      </c>
      <c r="H24" s="3825"/>
      <c r="I24" s="3841"/>
      <c r="J24" s="2093"/>
      <c r="K24" s="2089"/>
      <c r="L24" s="3825">
        <f>LARGE(L5:L23,1)+1</f>
        <v>18</v>
      </c>
      <c r="M24" s="3826" t="s">
        <v>1888</v>
      </c>
      <c r="N24" s="3825">
        <f>LARGE(N5:N23,1)+1</f>
        <v>64</v>
      </c>
      <c r="O24" s="3826" t="s">
        <v>1700</v>
      </c>
      <c r="P24" s="3825">
        <f>LARGE(P5:P23,1)+1</f>
        <v>107</v>
      </c>
      <c r="Q24" s="3826" t="s">
        <v>1886</v>
      </c>
      <c r="R24" s="3825">
        <f>LARGE(R5:R23,1)+1</f>
        <v>147</v>
      </c>
      <c r="S24" s="3826" t="s">
        <v>1759</v>
      </c>
      <c r="T24" s="2093"/>
      <c r="V24" s="3825">
        <f>LARGE(V5:V23,1)+1</f>
        <v>19</v>
      </c>
      <c r="W24" s="3826" t="s">
        <v>1803</v>
      </c>
      <c r="X24" s="3825">
        <f>LARGE(X5:X23,1)+1</f>
        <v>75</v>
      </c>
      <c r="Y24" s="3826" t="s">
        <v>1730</v>
      </c>
      <c r="Z24" s="3825">
        <f>LARGE(Z5:Z23,1)+1</f>
        <v>132</v>
      </c>
      <c r="AA24" s="3826" t="s">
        <v>1889</v>
      </c>
      <c r="AB24" s="3825">
        <f>LARGE(AB5:AB23,1)+1</f>
        <v>182</v>
      </c>
      <c r="AC24" s="3826" t="s">
        <v>1890</v>
      </c>
      <c r="AD24" s="3825">
        <f>LARGE(AD5:AD23,1)+1</f>
        <v>236</v>
      </c>
      <c r="AE24" s="3826" t="s">
        <v>1882</v>
      </c>
      <c r="AF24" s="3839"/>
      <c r="AG24" s="2101"/>
      <c r="AH24" s="3821">
        <f>LARGE(AH4:AH23,1)+1</f>
        <v>21</v>
      </c>
      <c r="AI24" s="3822" t="s">
        <v>3235</v>
      </c>
      <c r="AJ24" s="3836"/>
      <c r="AK24" s="3821">
        <f>LARGE(AK4:AK23,1)+1</f>
        <v>77</v>
      </c>
      <c r="AL24" s="3822" t="s">
        <v>3236</v>
      </c>
      <c r="AM24" s="3837"/>
      <c r="AN24" s="3837"/>
      <c r="AO24" s="3193"/>
      <c r="AP24" s="3829" t="s">
        <v>3237</v>
      </c>
      <c r="AR24" s="3828"/>
      <c r="AS24" s="7095"/>
      <c r="AT24" s="7095"/>
      <c r="AU24" s="3840"/>
      <c r="AV24" s="3828">
        <v>7</v>
      </c>
      <c r="AW24" s="3830" t="s">
        <v>3238</v>
      </c>
      <c r="AX24" s="3830"/>
    </row>
    <row r="25" spans="2:50" s="2100" customFormat="1" ht="25.5">
      <c r="B25" s="3842"/>
      <c r="C25" s="2098"/>
      <c r="D25" s="3825">
        <f>LARGE(D5:D24,1)+1</f>
        <v>30</v>
      </c>
      <c r="E25" s="3826" t="s">
        <v>1849</v>
      </c>
      <c r="F25" s="3825"/>
      <c r="G25" s="2102"/>
      <c r="H25" s="3825"/>
      <c r="I25" s="3841"/>
      <c r="J25" s="2093"/>
      <c r="K25" s="2089"/>
      <c r="L25" s="3825">
        <f>LARGE(L5:L24,1)+1</f>
        <v>19</v>
      </c>
      <c r="M25" s="3826" t="s">
        <v>1891</v>
      </c>
      <c r="N25" s="3825">
        <f>LARGE(N5:N24,1)+1</f>
        <v>65</v>
      </c>
      <c r="O25" s="3826" t="s">
        <v>1892</v>
      </c>
      <c r="P25" s="3825">
        <f>LARGE(P5:P24,1)+1</f>
        <v>108</v>
      </c>
      <c r="Q25" s="3826" t="s">
        <v>1890</v>
      </c>
      <c r="R25" s="3825">
        <f>LARGE(R5:R24,1)+1</f>
        <v>148</v>
      </c>
      <c r="S25" s="3826" t="s">
        <v>1802</v>
      </c>
      <c r="T25" s="2093"/>
      <c r="V25" s="3825">
        <f>LARGE(V5:V24,1)+1</f>
        <v>20</v>
      </c>
      <c r="W25" s="3826" t="s">
        <v>1815</v>
      </c>
      <c r="X25" s="3825">
        <f>LARGE(X5:X24,1)+1</f>
        <v>76</v>
      </c>
      <c r="Y25" s="3826" t="s">
        <v>1742</v>
      </c>
      <c r="Z25" s="3825">
        <f>LARGE(Z5:Z24,1)+1</f>
        <v>133</v>
      </c>
      <c r="AA25" s="3826" t="s">
        <v>1893</v>
      </c>
      <c r="AB25" s="3825">
        <f>LARGE(AB5:AB24,1)+1</f>
        <v>183</v>
      </c>
      <c r="AC25" s="3826" t="s">
        <v>1894</v>
      </c>
      <c r="AD25" s="3825">
        <f>LARGE(AD5:AD24,1)+1</f>
        <v>237</v>
      </c>
      <c r="AE25" s="3826" t="s">
        <v>1887</v>
      </c>
      <c r="AF25" s="3839"/>
      <c r="AG25" s="2096" t="s">
        <v>1834</v>
      </c>
      <c r="AH25" s="3821">
        <f>LARGE(AH4:AH24,1)+1</f>
        <v>22</v>
      </c>
      <c r="AI25" s="3822" t="s">
        <v>3239</v>
      </c>
      <c r="AJ25" s="3836"/>
      <c r="AK25" s="3821">
        <f>LARGE(AK4:AK24,1)+1</f>
        <v>78</v>
      </c>
      <c r="AL25" s="3822" t="s">
        <v>3240</v>
      </c>
      <c r="AM25" s="3837"/>
      <c r="AN25" s="3837"/>
      <c r="AO25" s="3193"/>
      <c r="AP25" s="3829" t="s">
        <v>3241</v>
      </c>
      <c r="AR25" s="3828"/>
      <c r="AS25" s="7096" t="s">
        <v>3242</v>
      </c>
      <c r="AT25" s="7096"/>
      <c r="AU25" s="3840"/>
      <c r="AV25" s="3828">
        <v>8</v>
      </c>
      <c r="AW25" s="3830" t="s">
        <v>3243</v>
      </c>
      <c r="AX25" s="3843"/>
    </row>
    <row r="26" spans="2:50" s="2100" customFormat="1" ht="30">
      <c r="B26" s="3842"/>
      <c r="C26" s="2098"/>
      <c r="D26" s="3825">
        <f>LARGE(D5:D25,1)+1</f>
        <v>31</v>
      </c>
      <c r="E26" s="3826" t="s">
        <v>1867</v>
      </c>
      <c r="F26" s="3825"/>
      <c r="G26" s="2102"/>
      <c r="H26" s="3825"/>
      <c r="I26" s="3841"/>
      <c r="J26" s="2093"/>
      <c r="K26" s="2089"/>
      <c r="L26" s="3825">
        <f>LARGE(L5:L25,1)+1</f>
        <v>20</v>
      </c>
      <c r="M26" s="3826" t="s">
        <v>1895</v>
      </c>
      <c r="N26" s="3825">
        <f>LARGE(N5:N25,1)+1</f>
        <v>66</v>
      </c>
      <c r="O26" s="3826" t="s">
        <v>1896</v>
      </c>
      <c r="P26" s="3825">
        <f>LARGE(P5:P25,1)+1</f>
        <v>109</v>
      </c>
      <c r="Q26" s="3826" t="s">
        <v>1894</v>
      </c>
      <c r="R26" s="3825">
        <f>LARGE(R5:R25,1)+1</f>
        <v>149</v>
      </c>
      <c r="S26" s="3826" t="s">
        <v>1812</v>
      </c>
      <c r="T26" s="2093"/>
      <c r="V26" s="3825">
        <f>LARGE(V5:V25,1)+1</f>
        <v>21</v>
      </c>
      <c r="W26" s="3826" t="s">
        <v>1825</v>
      </c>
      <c r="X26" s="3825">
        <f>LARGE(X5:X25,1)+1</f>
        <v>77</v>
      </c>
      <c r="Y26" s="3826" t="s">
        <v>1897</v>
      </c>
      <c r="Z26" s="3825">
        <f>LARGE(Z5:Z25,1)+1</f>
        <v>134</v>
      </c>
      <c r="AA26" s="3826" t="s">
        <v>1898</v>
      </c>
      <c r="AB26" s="3825">
        <f>LARGE(AB5:AB25,1)+1</f>
        <v>184</v>
      </c>
      <c r="AC26" s="3826" t="s">
        <v>1899</v>
      </c>
      <c r="AD26" s="3825">
        <f>LARGE(AD5:AD25,1)+1</f>
        <v>238</v>
      </c>
      <c r="AE26" s="3826" t="s">
        <v>1900</v>
      </c>
      <c r="AF26" s="3839">
        <f>LARGE(AF5:AF25,1)+1</f>
        <v>285</v>
      </c>
      <c r="AG26" s="3826" t="s">
        <v>1901</v>
      </c>
      <c r="AH26" s="3821">
        <f>LARGE(AH4:AH25,1)+1</f>
        <v>23</v>
      </c>
      <c r="AI26" s="3822" t="s">
        <v>3244</v>
      </c>
      <c r="AJ26" s="3836"/>
      <c r="AK26" s="3821">
        <f>LARGE(AK4:AK25,1)+1</f>
        <v>79</v>
      </c>
      <c r="AL26" s="3822" t="s">
        <v>3245</v>
      </c>
      <c r="AM26" s="3837"/>
      <c r="AN26" s="3837"/>
      <c r="AO26" s="3193"/>
      <c r="AP26" s="3827" t="s">
        <v>6</v>
      </c>
      <c r="AR26" s="3828"/>
      <c r="AS26" s="7096"/>
      <c r="AT26" s="7096"/>
      <c r="AU26" s="3817"/>
      <c r="AV26" s="3828">
        <v>9</v>
      </c>
      <c r="AW26" s="3830" t="s">
        <v>3246</v>
      </c>
      <c r="AX26" s="3843"/>
    </row>
    <row r="27" spans="2:50" s="2100" customFormat="1" ht="19.5" thickBot="1">
      <c r="B27" s="3844"/>
      <c r="C27" s="3845"/>
      <c r="D27" s="3845"/>
      <c r="E27" s="3845"/>
      <c r="F27" s="3845"/>
      <c r="G27" s="3845"/>
      <c r="H27" s="3846"/>
      <c r="I27" s="3845"/>
      <c r="J27" s="3847"/>
      <c r="K27" s="2089"/>
      <c r="L27" s="3825">
        <f>LARGE(L5:L26,1)+1</f>
        <v>21</v>
      </c>
      <c r="M27" s="3826" t="s">
        <v>1902</v>
      </c>
      <c r="N27" s="3825">
        <f>LARGE(N5:N26,1)+1</f>
        <v>67</v>
      </c>
      <c r="O27" s="3826" t="s">
        <v>1903</v>
      </c>
      <c r="P27" s="3825">
        <f>LARGE(P5:P26,1)+1</f>
        <v>110</v>
      </c>
      <c r="Q27" s="3826" t="s">
        <v>1899</v>
      </c>
      <c r="R27" s="3825">
        <f>LARGE(R5:R26,1)+1</f>
        <v>150</v>
      </c>
      <c r="S27" s="3826" t="s">
        <v>1821</v>
      </c>
      <c r="T27" s="2093"/>
      <c r="V27" s="3825">
        <f>LARGE(V5:V26,1)+1</f>
        <v>22</v>
      </c>
      <c r="W27" s="3826" t="s">
        <v>1904</v>
      </c>
      <c r="X27" s="3825">
        <f>LARGE(X5:X26,1)+1</f>
        <v>78</v>
      </c>
      <c r="Y27" s="3826" t="s">
        <v>1752</v>
      </c>
      <c r="Z27" s="3825"/>
      <c r="AA27" s="2103"/>
      <c r="AB27" s="3825">
        <f>LARGE(AB5:AB26,1)+1</f>
        <v>185</v>
      </c>
      <c r="AC27" s="3826" t="s">
        <v>3247</v>
      </c>
      <c r="AD27" s="3825">
        <f>LARGE(AD5:AD26,1)+1</f>
        <v>239</v>
      </c>
      <c r="AE27" s="3826" t="s">
        <v>1702</v>
      </c>
      <c r="AF27" s="3839">
        <f>LARGE(AF5:AF26,1)+1</f>
        <v>286</v>
      </c>
      <c r="AG27" s="3826" t="s">
        <v>1843</v>
      </c>
      <c r="AH27" s="3821">
        <f>LARGE(AH4:AH26,1)+1</f>
        <v>24</v>
      </c>
      <c r="AI27" s="3822" t="s">
        <v>3248</v>
      </c>
      <c r="AJ27" s="3836"/>
      <c r="AK27" s="3821">
        <f>LARGE(AK4:AK26,1)+1</f>
        <v>80</v>
      </c>
      <c r="AL27" s="3822" t="s">
        <v>3249</v>
      </c>
      <c r="AM27" s="3837"/>
      <c r="AN27" s="3837"/>
      <c r="AO27" s="3193"/>
      <c r="AP27" s="3829" t="s">
        <v>3250</v>
      </c>
      <c r="AR27" s="3828"/>
      <c r="AS27" s="3830"/>
      <c r="AT27" s="3830"/>
      <c r="AU27" s="3817"/>
      <c r="AV27" s="7092">
        <v>10</v>
      </c>
      <c r="AW27" s="7085" t="s">
        <v>3251</v>
      </c>
      <c r="AX27" s="7085"/>
    </row>
    <row r="28" spans="2:50" s="2100" customFormat="1" ht="29.25" customHeight="1">
      <c r="B28" s="2089"/>
      <c r="C28" s="2089"/>
      <c r="D28" s="2089"/>
      <c r="E28" s="2089"/>
      <c r="F28" s="2089"/>
      <c r="G28" s="2089"/>
      <c r="H28" s="2089"/>
      <c r="I28" s="2089"/>
      <c r="J28" s="2089"/>
      <c r="K28" s="2089"/>
      <c r="L28" s="3825">
        <f>LARGE(L5:L27,1)+1</f>
        <v>22</v>
      </c>
      <c r="M28" s="3826" t="s">
        <v>1906</v>
      </c>
      <c r="N28" s="3825">
        <f>LARGE(N5:N27,1)+1</f>
        <v>68</v>
      </c>
      <c r="O28" s="3826" t="s">
        <v>1907</v>
      </c>
      <c r="P28" s="3825"/>
      <c r="Q28" s="2094" t="s">
        <v>808</v>
      </c>
      <c r="R28" s="3825">
        <f>LARGE(R5:R27,1)+1</f>
        <v>151</v>
      </c>
      <c r="S28" s="3826" t="s">
        <v>1832</v>
      </c>
      <c r="T28" s="2093"/>
      <c r="V28" s="3825">
        <f>LARGE(V5:V27,1)+1</f>
        <v>23</v>
      </c>
      <c r="W28" s="3826" t="s">
        <v>1908</v>
      </c>
      <c r="X28" s="3825">
        <f>LARGE(X5:X27,1)+1</f>
        <v>79</v>
      </c>
      <c r="Y28" s="3826" t="s">
        <v>1909</v>
      </c>
      <c r="Z28" s="3825"/>
      <c r="AA28" s="2095" t="s">
        <v>1782</v>
      </c>
      <c r="AB28" s="3825">
        <f>LARGE(AB5:AB27,1)+1</f>
        <v>186</v>
      </c>
      <c r="AC28" s="3826" t="s">
        <v>1905</v>
      </c>
      <c r="AD28" s="3825">
        <f>LARGE(AD5:AD27,1)+1</f>
        <v>240</v>
      </c>
      <c r="AE28" s="3826" t="s">
        <v>1715</v>
      </c>
      <c r="AF28" s="3839">
        <f>LARGE(AF5:AF27,1)+1</f>
        <v>287</v>
      </c>
      <c r="AG28" s="3826" t="s">
        <v>1852</v>
      </c>
      <c r="AH28" s="3821">
        <f>LARGE(AH4:AH27,1)+1</f>
        <v>25</v>
      </c>
      <c r="AI28" s="3822" t="s">
        <v>3252</v>
      </c>
      <c r="AJ28" s="3836"/>
      <c r="AK28" s="3821">
        <f>LARGE(AK4:AK27,1)+1</f>
        <v>81</v>
      </c>
      <c r="AL28" s="3822" t="s">
        <v>3253</v>
      </c>
      <c r="AM28" s="3837"/>
      <c r="AN28" s="3837"/>
      <c r="AO28" s="3193"/>
      <c r="AP28" s="3829" t="s">
        <v>3254</v>
      </c>
      <c r="AR28" s="3817"/>
      <c r="AS28" s="3817"/>
      <c r="AT28" s="3817"/>
      <c r="AU28" s="3817"/>
      <c r="AV28" s="7092"/>
      <c r="AW28" s="7085"/>
      <c r="AX28" s="7085"/>
    </row>
    <row r="29" spans="2:50" s="2100" customFormat="1" ht="25.5">
      <c r="B29" s="2089"/>
      <c r="C29" s="2089"/>
      <c r="D29" s="2089"/>
      <c r="E29" s="2089"/>
      <c r="F29" s="2089"/>
      <c r="G29" s="2089"/>
      <c r="H29" s="2089"/>
      <c r="I29" s="2089"/>
      <c r="J29" s="2089"/>
      <c r="K29" s="2089"/>
      <c r="L29" s="3825">
        <f>LARGE(L5:L28,1)+1</f>
        <v>23</v>
      </c>
      <c r="M29" s="3826" t="s">
        <v>1910</v>
      </c>
      <c r="N29" s="3825">
        <f>LARGE(N5:N28,1)+1</f>
        <v>69</v>
      </c>
      <c r="O29" s="3826" t="s">
        <v>1911</v>
      </c>
      <c r="P29" s="3825">
        <f>LARGE(P5:P28,1)+1</f>
        <v>111</v>
      </c>
      <c r="Q29" s="3826" t="s">
        <v>1912</v>
      </c>
      <c r="R29" s="3825">
        <f>LARGE(R5:R28,1)+1</f>
        <v>152</v>
      </c>
      <c r="S29" s="3826" t="s">
        <v>1841</v>
      </c>
      <c r="T29" s="2093"/>
      <c r="V29" s="3825"/>
      <c r="W29" s="2098"/>
      <c r="X29" s="3825">
        <f>LARGE(X5:X28,1)+1</f>
        <v>80</v>
      </c>
      <c r="Y29" s="3826" t="s">
        <v>1868</v>
      </c>
      <c r="Z29" s="3825">
        <f>LARGE(Z5:Z28,1)+1</f>
        <v>135</v>
      </c>
      <c r="AA29" s="3826" t="s">
        <v>1793</v>
      </c>
      <c r="AB29" s="3825"/>
      <c r="AC29" s="2095" t="s">
        <v>808</v>
      </c>
      <c r="AD29" s="3825">
        <f>LARGE(AD5:AD28,1)+1</f>
        <v>241</v>
      </c>
      <c r="AE29" s="3826" t="s">
        <v>1913</v>
      </c>
      <c r="AF29" s="3839">
        <f>LARGE(AF5:AF28,1)+1</f>
        <v>288</v>
      </c>
      <c r="AG29" s="3826" t="s">
        <v>1914</v>
      </c>
      <c r="AH29" s="3821">
        <f>LARGE(AH4:AH28,1)+1</f>
        <v>26</v>
      </c>
      <c r="AI29" s="3822" t="s">
        <v>3255</v>
      </c>
      <c r="AJ29" s="3836"/>
      <c r="AK29" s="3821">
        <f>LARGE(AK4:AK28,1)+1</f>
        <v>82</v>
      </c>
      <c r="AL29" s="3822" t="s">
        <v>3256</v>
      </c>
      <c r="AM29" s="3837"/>
      <c r="AN29" s="3837"/>
      <c r="AO29" s="3193"/>
      <c r="AP29" s="3829" t="s">
        <v>3257</v>
      </c>
      <c r="AR29" s="3817"/>
      <c r="AS29" s="3817"/>
      <c r="AT29" s="3817"/>
      <c r="AU29" s="3817"/>
      <c r="AV29" s="3828"/>
      <c r="AW29" s="3834"/>
      <c r="AX29" s="3834"/>
    </row>
    <row r="30" spans="2:50" s="2100" customFormat="1" ht="18.75">
      <c r="B30" s="2089"/>
      <c r="C30" s="2089"/>
      <c r="D30" s="2089"/>
      <c r="E30" s="2089"/>
      <c r="F30" s="2089"/>
      <c r="G30" s="2089"/>
      <c r="H30" s="2089"/>
      <c r="I30" s="2089"/>
      <c r="J30" s="2089"/>
      <c r="K30" s="2089"/>
      <c r="L30" s="3825">
        <f>LARGE(L5:L29,1)+1</f>
        <v>24</v>
      </c>
      <c r="M30" s="3826" t="s">
        <v>1915</v>
      </c>
      <c r="N30" s="3825">
        <f>LARGE(N5:N29,1)+1</f>
        <v>70</v>
      </c>
      <c r="O30" s="3826" t="s">
        <v>1916</v>
      </c>
      <c r="P30" s="3825">
        <f>LARGE(P5:P29,1)+1</f>
        <v>112</v>
      </c>
      <c r="Q30" s="3826" t="s">
        <v>1917</v>
      </c>
      <c r="R30" s="3825">
        <f>LARGE(R5:R29,1)+1</f>
        <v>153</v>
      </c>
      <c r="S30" s="3826" t="s">
        <v>1851</v>
      </c>
      <c r="T30" s="2093"/>
      <c r="V30" s="3825"/>
      <c r="W30" s="2095" t="s">
        <v>6</v>
      </c>
      <c r="X30" s="3825">
        <f>LARGE(X5:X29,1)+1</f>
        <v>81</v>
      </c>
      <c r="Y30" s="3826" t="s">
        <v>1875</v>
      </c>
      <c r="Z30" s="3825">
        <f>LARGE(Z5:Z29,1)+1</f>
        <v>136</v>
      </c>
      <c r="AA30" s="3826" t="s">
        <v>1918</v>
      </c>
      <c r="AB30" s="3825">
        <f>LARGE(AB5:AB29,1)+1</f>
        <v>187</v>
      </c>
      <c r="AC30" s="3826" t="s">
        <v>1912</v>
      </c>
      <c r="AD30" s="3825">
        <f>LARGE(AD5:AD29,1)+1</f>
        <v>242</v>
      </c>
      <c r="AE30" s="3826" t="s">
        <v>1728</v>
      </c>
      <c r="AF30" s="3839">
        <f>LARGE(AF5:AF29,1)+1</f>
        <v>289</v>
      </c>
      <c r="AG30" s="3826" t="s">
        <v>1919</v>
      </c>
      <c r="AH30" s="3821">
        <f>LARGE(AH4:AH29,1)+1</f>
        <v>27</v>
      </c>
      <c r="AI30" s="3822" t="s">
        <v>3258</v>
      </c>
      <c r="AJ30" s="3836"/>
      <c r="AK30" s="3821">
        <f>LARGE(AK4:AK29,1)+1</f>
        <v>83</v>
      </c>
      <c r="AL30" s="3822" t="s">
        <v>3259</v>
      </c>
      <c r="AM30" s="3837"/>
      <c r="AN30" s="3837"/>
      <c r="AO30" s="3193"/>
      <c r="AP30" s="3829" t="s">
        <v>3260</v>
      </c>
      <c r="AR30" s="3813"/>
      <c r="AS30" s="3813"/>
      <c r="AT30" s="3813"/>
      <c r="AU30" s="3813"/>
      <c r="AV30" s="3831" t="s">
        <v>46</v>
      </c>
      <c r="AW30" s="3832" t="s">
        <v>3261</v>
      </c>
      <c r="AX30" s="3843"/>
    </row>
    <row r="31" spans="2:50" s="2100" customFormat="1" ht="18.75">
      <c r="B31" s="2089"/>
      <c r="C31" s="2089"/>
      <c r="D31" s="2089"/>
      <c r="E31" s="2089"/>
      <c r="F31" s="2089"/>
      <c r="G31" s="2089"/>
      <c r="H31" s="2089"/>
      <c r="I31" s="2089"/>
      <c r="J31" s="2089"/>
      <c r="K31" s="2089"/>
      <c r="L31" s="3825">
        <f>LARGE(L5:L30,1)+1</f>
        <v>25</v>
      </c>
      <c r="M31" s="3826" t="s">
        <v>1920</v>
      </c>
      <c r="N31" s="3825">
        <f>LARGE(N5:N30,1)+1</f>
        <v>71</v>
      </c>
      <c r="O31" s="3826" t="s">
        <v>1921</v>
      </c>
      <c r="P31" s="3825"/>
      <c r="Q31" s="2098"/>
      <c r="R31" s="3825">
        <f>LARGE(R5:R30,1)+1</f>
        <v>154</v>
      </c>
      <c r="S31" s="3826" t="s">
        <v>1860</v>
      </c>
      <c r="T31" s="2093"/>
      <c r="V31" s="3825">
        <f>LARGE(V5:V30,1)+1</f>
        <v>24</v>
      </c>
      <c r="W31" s="3826" t="s">
        <v>3262</v>
      </c>
      <c r="X31" s="3825">
        <f>LARGE(X5:X30,1)+1</f>
        <v>82</v>
      </c>
      <c r="Y31" s="3826" t="s">
        <v>1763</v>
      </c>
      <c r="Z31" s="3825">
        <f>LARGE(Z5:Z30,1)+1</f>
        <v>137</v>
      </c>
      <c r="AA31" s="3826" t="s">
        <v>1922</v>
      </c>
      <c r="AB31" s="3825">
        <f>LARGE(AB5:AB30,1)+1</f>
        <v>188</v>
      </c>
      <c r="AC31" s="3826" t="s">
        <v>1917</v>
      </c>
      <c r="AD31" s="3825">
        <f>LARGE(AD5:AD30,1)+1</f>
        <v>243</v>
      </c>
      <c r="AE31" s="3826" t="s">
        <v>1743</v>
      </c>
      <c r="AF31" s="3839"/>
      <c r="AG31" s="2101"/>
      <c r="AH31" s="3821">
        <f>LARGE(AH4:AH30,1)+1</f>
        <v>28</v>
      </c>
      <c r="AI31" s="3822" t="s">
        <v>3263</v>
      </c>
      <c r="AJ31" s="3836"/>
      <c r="AK31" s="3821">
        <f>LARGE(AK4:AK30,1)+1</f>
        <v>84</v>
      </c>
      <c r="AL31" s="3822" t="s">
        <v>3264</v>
      </c>
      <c r="AM31" s="3837"/>
      <c r="AN31" s="3837"/>
      <c r="AO31" s="3193"/>
      <c r="AP31" s="3829" t="s">
        <v>3265</v>
      </c>
      <c r="AR31" s="3848" t="s">
        <v>723</v>
      </c>
      <c r="AS31" s="3849" t="s">
        <v>3266</v>
      </c>
      <c r="AT31" s="3813"/>
      <c r="AU31" s="3813"/>
      <c r="AV31" s="7092">
        <v>1</v>
      </c>
      <c r="AW31" s="7085" t="s">
        <v>3267</v>
      </c>
      <c r="AX31" s="7085"/>
    </row>
    <row r="32" spans="2:50" s="2100" customFormat="1" ht="23.25" customHeight="1">
      <c r="B32" s="2089"/>
      <c r="C32" s="2089"/>
      <c r="D32" s="2089"/>
      <c r="E32" s="2089"/>
      <c r="F32" s="2089"/>
      <c r="G32" s="2089"/>
      <c r="H32" s="2089"/>
      <c r="I32" s="2089"/>
      <c r="J32" s="2089"/>
      <c r="K32" s="2089"/>
      <c r="L32" s="3825">
        <f>LARGE(L5:L31,1)+1</f>
        <v>26</v>
      </c>
      <c r="M32" s="3826" t="s">
        <v>1923</v>
      </c>
      <c r="N32" s="3825"/>
      <c r="O32" s="2094" t="s">
        <v>23</v>
      </c>
      <c r="P32" s="3825"/>
      <c r="Q32" s="2094" t="s">
        <v>810</v>
      </c>
      <c r="R32" s="3825"/>
      <c r="S32" s="2089"/>
      <c r="T32" s="2093"/>
      <c r="V32" s="3825">
        <f>LARGE(V5:V31,1)+1</f>
        <v>25</v>
      </c>
      <c r="W32" s="3826" t="s">
        <v>1844</v>
      </c>
      <c r="X32" s="3825">
        <f>LARGE(X5:X31,1)+1</f>
        <v>83</v>
      </c>
      <c r="Y32" s="3826" t="s">
        <v>1924</v>
      </c>
      <c r="Z32" s="3825">
        <f>LARGE(Z5:Z31,1)+1</f>
        <v>138</v>
      </c>
      <c r="AA32" s="3826" t="s">
        <v>1925</v>
      </c>
      <c r="AB32" s="3825"/>
      <c r="AC32" s="2096" t="s">
        <v>810</v>
      </c>
      <c r="AD32" s="3825">
        <f>LARGE(AD5:AD31,1)+1</f>
        <v>244</v>
      </c>
      <c r="AE32" s="3826" t="s">
        <v>1740</v>
      </c>
      <c r="AF32" s="3839"/>
      <c r="AG32" s="2095" t="s">
        <v>597</v>
      </c>
      <c r="AH32" s="3821">
        <f>LARGE(AH4:AH31,1)+1</f>
        <v>29</v>
      </c>
      <c r="AI32" s="3822" t="s">
        <v>3268</v>
      </c>
      <c r="AJ32" s="3836"/>
      <c r="AK32" s="3821">
        <f>LARGE(AK4:AK31,1)+1</f>
        <v>85</v>
      </c>
      <c r="AL32" s="3822" t="s">
        <v>3269</v>
      </c>
      <c r="AM32" s="3837"/>
      <c r="AN32" s="3837"/>
      <c r="AO32" s="3193"/>
      <c r="AP32" s="3829" t="s">
        <v>3270</v>
      </c>
      <c r="AR32" s="3191"/>
      <c r="AS32" s="3295"/>
      <c r="AT32" s="3813"/>
      <c r="AU32" s="3813"/>
      <c r="AV32" s="7092"/>
      <c r="AW32" s="7085"/>
      <c r="AX32" s="7085"/>
    </row>
    <row r="33" spans="2:50" s="2100" customFormat="1" ht="23.25">
      <c r="B33" s="2089"/>
      <c r="C33" s="2089"/>
      <c r="D33" s="2089"/>
      <c r="E33" s="2089"/>
      <c r="F33" s="2089"/>
      <c r="G33" s="2089"/>
      <c r="H33" s="2089"/>
      <c r="I33" s="2089"/>
      <c r="J33" s="2089"/>
      <c r="K33" s="2089"/>
      <c r="L33" s="3825">
        <f>LARGE(L5:L32,1)+1</f>
        <v>27</v>
      </c>
      <c r="M33" s="3826" t="s">
        <v>1926</v>
      </c>
      <c r="N33" s="3825">
        <f>LARGE(N5:N32,1)+1</f>
        <v>72</v>
      </c>
      <c r="O33" s="3826" t="s">
        <v>1734</v>
      </c>
      <c r="P33" s="3825">
        <f>LARGE(P5:P32,1)+1</f>
        <v>113</v>
      </c>
      <c r="Q33" s="3826" t="s">
        <v>1927</v>
      </c>
      <c r="R33" s="3825"/>
      <c r="S33" s="3819" t="s">
        <v>1834</v>
      </c>
      <c r="T33" s="2093"/>
      <c r="V33" s="3825">
        <f>LARGE(V5:V32,1)+1</f>
        <v>26</v>
      </c>
      <c r="W33" s="3826" t="s">
        <v>1853</v>
      </c>
      <c r="X33" s="3825">
        <f>LARGE(X5:X32,1)+1</f>
        <v>84</v>
      </c>
      <c r="Y33" s="3826" t="s">
        <v>1774</v>
      </c>
      <c r="Z33" s="3825">
        <f>LARGE(Z5:Z32,1)+1</f>
        <v>139</v>
      </c>
      <c r="AA33" s="3826" t="s">
        <v>3271</v>
      </c>
      <c r="AB33" s="3825">
        <f>LARGE(AB5:AB32,1)+1</f>
        <v>189</v>
      </c>
      <c r="AC33" s="3826" t="s">
        <v>1930</v>
      </c>
      <c r="AD33" s="3825">
        <f>LARGE(AD5:AD32,1)+1</f>
        <v>245</v>
      </c>
      <c r="AE33" s="3826" t="s">
        <v>1931</v>
      </c>
      <c r="AF33" s="3839">
        <f>LARGE(AF5:AF32,1)+1</f>
        <v>290</v>
      </c>
      <c r="AG33" s="3826" t="s">
        <v>1932</v>
      </c>
      <c r="AH33" s="3821">
        <f>LARGE(AH4:AH32,1)+1</f>
        <v>30</v>
      </c>
      <c r="AI33" s="3822" t="s">
        <v>3272</v>
      </c>
      <c r="AJ33" s="3836"/>
      <c r="AK33" s="3821">
        <f>LARGE(AK4:AK32,1)+1</f>
        <v>86</v>
      </c>
      <c r="AL33" s="3822" t="s">
        <v>3273</v>
      </c>
      <c r="AM33" s="3837"/>
      <c r="AN33" s="3837"/>
      <c r="AO33" s="3193"/>
      <c r="AP33" s="3829" t="s">
        <v>3274</v>
      </c>
      <c r="AR33" s="3848" t="s">
        <v>723</v>
      </c>
      <c r="AS33" s="3849" t="s">
        <v>3275</v>
      </c>
      <c r="AT33" s="3813"/>
      <c r="AU33" s="3813"/>
      <c r="AV33" s="3828">
        <v>2</v>
      </c>
      <c r="AW33" s="3830" t="s">
        <v>3276</v>
      </c>
      <c r="AX33" s="3830"/>
    </row>
    <row r="34" spans="2:50" s="2100" customFormat="1" ht="18.75">
      <c r="B34" s="2089"/>
      <c r="C34" s="2089"/>
      <c r="D34" s="2089"/>
      <c r="E34" s="2089"/>
      <c r="F34" s="2089"/>
      <c r="G34" s="2089"/>
      <c r="H34" s="2089"/>
      <c r="I34" s="2089"/>
      <c r="J34" s="2089"/>
      <c r="K34" s="2089"/>
      <c r="L34" s="3825">
        <f>LARGE(L5:L33,1)+1</f>
        <v>28</v>
      </c>
      <c r="M34" s="3826" t="s">
        <v>1933</v>
      </c>
      <c r="N34" s="3825">
        <f>LARGE(N5:N33,1)+1</f>
        <v>73</v>
      </c>
      <c r="O34" s="3826" t="s">
        <v>1766</v>
      </c>
      <c r="P34" s="3825">
        <f>LARGE(P5:P33,1)+1</f>
        <v>114</v>
      </c>
      <c r="Q34" s="3826" t="s">
        <v>1934</v>
      </c>
      <c r="R34" s="3825">
        <f>LARGE(R5:R33,1)+1</f>
        <v>155</v>
      </c>
      <c r="S34" s="3826" t="s">
        <v>1901</v>
      </c>
      <c r="T34" s="2093"/>
      <c r="V34" s="3825">
        <f>LARGE(V5:V33,1)+1</f>
        <v>27</v>
      </c>
      <c r="W34" s="3826" t="s">
        <v>1853</v>
      </c>
      <c r="X34" s="3825"/>
      <c r="Y34" s="2098"/>
      <c r="Z34" s="3825">
        <f>LARGE(Z5:Z33,1)+1</f>
        <v>140</v>
      </c>
      <c r="AA34" s="3826" t="s">
        <v>1929</v>
      </c>
      <c r="AB34" s="3825">
        <f>LARGE(AB5:AB33,1)+1</f>
        <v>190</v>
      </c>
      <c r="AC34" s="3826" t="s">
        <v>1927</v>
      </c>
      <c r="AD34" s="3825">
        <f>LARGE(AD5:AD33,1)+1</f>
        <v>246</v>
      </c>
      <c r="AE34" s="3826" t="s">
        <v>1754</v>
      </c>
      <c r="AF34" s="3850"/>
      <c r="AG34" s="3850"/>
      <c r="AH34" s="3821">
        <f>LARGE(AH4:AH33,1)+1</f>
        <v>31</v>
      </c>
      <c r="AI34" s="3822" t="s">
        <v>3277</v>
      </c>
      <c r="AJ34" s="3836"/>
      <c r="AK34" s="3821">
        <f>LARGE(AK4:AK33,1)+1</f>
        <v>87</v>
      </c>
      <c r="AL34" s="3822" t="s">
        <v>3278</v>
      </c>
      <c r="AM34" s="3837"/>
      <c r="AN34" s="3837"/>
      <c r="AO34" s="3193"/>
      <c r="AP34" s="3829" t="s">
        <v>3279</v>
      </c>
      <c r="AR34" s="3191"/>
      <c r="AS34" s="3295"/>
      <c r="AT34" s="3813"/>
      <c r="AU34" s="3813"/>
      <c r="AV34" s="3828">
        <v>3</v>
      </c>
      <c r="AW34" s="3830" t="s">
        <v>3280</v>
      </c>
      <c r="AX34" s="3830"/>
    </row>
    <row r="35" spans="2:50" s="2100" customFormat="1" ht="18.75">
      <c r="B35" s="2089"/>
      <c r="C35" s="2089"/>
      <c r="D35" s="2089"/>
      <c r="E35" s="2089"/>
      <c r="F35" s="2089"/>
      <c r="G35" s="2089"/>
      <c r="H35" s="2089"/>
      <c r="I35" s="2089"/>
      <c r="J35" s="2089"/>
      <c r="K35" s="2089"/>
      <c r="L35" s="3825">
        <f>LARGE(L5:L34,1)+1</f>
        <v>29</v>
      </c>
      <c r="M35" s="3826" t="s">
        <v>1933</v>
      </c>
      <c r="N35" s="3825">
        <f>LARGE(N5:N34,1)+1</f>
        <v>74</v>
      </c>
      <c r="O35" s="3826" t="s">
        <v>1799</v>
      </c>
      <c r="P35" s="3825">
        <f>LARGE(P5:P34,1)+1</f>
        <v>115</v>
      </c>
      <c r="Q35" s="3826" t="s">
        <v>1936</v>
      </c>
      <c r="R35" s="3825">
        <f>LARGE(R5:R34,1)+1</f>
        <v>156</v>
      </c>
      <c r="S35" s="3826" t="s">
        <v>1914</v>
      </c>
      <c r="T35" s="2093"/>
      <c r="V35" s="3825">
        <f>LARGE(V5:V34,1)+1</f>
        <v>28</v>
      </c>
      <c r="W35" s="3826" t="s">
        <v>1928</v>
      </c>
      <c r="X35" s="3825"/>
      <c r="Y35" s="2095" t="s">
        <v>1697</v>
      </c>
      <c r="Z35" s="3825">
        <f>LARGE(Z5:Z34,1)+1</f>
        <v>141</v>
      </c>
      <c r="AA35" s="3826" t="s">
        <v>1935</v>
      </c>
      <c r="AB35" s="3825">
        <f>LARGE(AB5:AB34,1)+1</f>
        <v>191</v>
      </c>
      <c r="AC35" s="3826" t="s">
        <v>1934</v>
      </c>
      <c r="AD35" s="3825">
        <f>LARGE(AD5:AD34,1)+1</f>
        <v>247</v>
      </c>
      <c r="AE35" s="3826" t="s">
        <v>1764</v>
      </c>
      <c r="AF35" s="3850"/>
      <c r="AG35" s="3850"/>
      <c r="AH35" s="3821">
        <f>LARGE(AH4:AH34,1)+1</f>
        <v>32</v>
      </c>
      <c r="AI35" s="3822" t="s">
        <v>3281</v>
      </c>
      <c r="AJ35" s="3836"/>
      <c r="AK35" s="3821">
        <f>LARGE(AK4:AK34,1)+1</f>
        <v>88</v>
      </c>
      <c r="AL35" s="3822" t="s">
        <v>3282</v>
      </c>
      <c r="AM35" s="3837"/>
      <c r="AN35" s="3837"/>
      <c r="AO35" s="3193"/>
      <c r="AP35" s="3829" t="s">
        <v>3283</v>
      </c>
      <c r="AR35" s="3848" t="s">
        <v>723</v>
      </c>
      <c r="AS35" s="3849" t="s">
        <v>3284</v>
      </c>
      <c r="AT35" s="3813"/>
      <c r="AU35" s="3813"/>
      <c r="AV35" s="3828">
        <v>4</v>
      </c>
      <c r="AW35" s="3851" t="s">
        <v>3285</v>
      </c>
      <c r="AX35" s="3851"/>
    </row>
    <row r="36" spans="2:50" s="2100" customFormat="1" ht="23.25" customHeight="1">
      <c r="B36" s="2089"/>
      <c r="C36" s="2089"/>
      <c r="D36" s="2089"/>
      <c r="E36" s="2089"/>
      <c r="F36" s="2089"/>
      <c r="G36" s="2089"/>
      <c r="H36" s="2089"/>
      <c r="I36" s="2089"/>
      <c r="J36" s="2089"/>
      <c r="K36" s="2089"/>
      <c r="L36" s="3825">
        <f>LARGE(L5:L35,1)+1</f>
        <v>30</v>
      </c>
      <c r="M36" s="3826" t="s">
        <v>1938</v>
      </c>
      <c r="N36" s="3825">
        <f>LARGE(N5:N35,1)+1</f>
        <v>75</v>
      </c>
      <c r="O36" s="3826" t="s">
        <v>1809</v>
      </c>
      <c r="P36" s="3825">
        <f>LARGE(P5:P35,1)+1</f>
        <v>116</v>
      </c>
      <c r="Q36" s="3826" t="s">
        <v>1939</v>
      </c>
      <c r="R36" s="3825">
        <f>LARGE(R5:R35,1)+1</f>
        <v>157</v>
      </c>
      <c r="S36" s="3826" t="s">
        <v>1919</v>
      </c>
      <c r="T36" s="2093"/>
      <c r="V36" s="3825">
        <f>LARGE(V5:V35,1)+1</f>
        <v>29</v>
      </c>
      <c r="W36" s="3826" t="s">
        <v>3286</v>
      </c>
      <c r="X36" s="3825">
        <f>LARGE(X5:X35,1)+1</f>
        <v>85</v>
      </c>
      <c r="Y36" s="3826" t="s">
        <v>1795</v>
      </c>
      <c r="Z36" s="3825">
        <f>LARGE(Z5:Z35,1)+1</f>
        <v>142</v>
      </c>
      <c r="AA36" s="3826" t="s">
        <v>1937</v>
      </c>
      <c r="AB36" s="3825">
        <f>LARGE(AB5:AB35,1)+1</f>
        <v>192</v>
      </c>
      <c r="AC36" s="3826" t="s">
        <v>1940</v>
      </c>
      <c r="AD36" s="3825">
        <f>LARGE(AD5:AD35,1)+1</f>
        <v>248</v>
      </c>
      <c r="AE36" s="3826" t="s">
        <v>1776</v>
      </c>
      <c r="AF36" s="3850"/>
      <c r="AG36" s="3850"/>
      <c r="AH36" s="3821">
        <f>LARGE(AH4:AH35,1)+1</f>
        <v>33</v>
      </c>
      <c r="AI36" s="3822" t="s">
        <v>3287</v>
      </c>
      <c r="AJ36" s="3836"/>
      <c r="AK36" s="3821">
        <f>LARGE(AK4:AK35,1)+1</f>
        <v>89</v>
      </c>
      <c r="AL36" s="3822" t="s">
        <v>3288</v>
      </c>
      <c r="AM36" s="3837"/>
      <c r="AN36" s="3837"/>
      <c r="AO36" s="3193"/>
      <c r="AP36" s="3829" t="s">
        <v>3289</v>
      </c>
      <c r="AR36" s="3813"/>
      <c r="AS36" s="3813"/>
      <c r="AT36" s="3813"/>
      <c r="AU36" s="3813"/>
      <c r="AV36" s="3828"/>
      <c r="AW36" s="7097" t="s">
        <v>3290</v>
      </c>
      <c r="AX36" s="7097"/>
    </row>
    <row r="37" spans="2:50" s="2100" customFormat="1" ht="18.75">
      <c r="B37" s="2089"/>
      <c r="C37" s="2089"/>
      <c r="D37" s="2089"/>
      <c r="E37" s="2089"/>
      <c r="F37" s="2089"/>
      <c r="G37" s="2089"/>
      <c r="H37" s="2089"/>
      <c r="I37" s="2089"/>
      <c r="J37" s="2089"/>
      <c r="K37" s="2089"/>
      <c r="L37" s="3825">
        <f>LARGE(L5:L36,1)+1</f>
        <v>31</v>
      </c>
      <c r="M37" s="3826" t="s">
        <v>1941</v>
      </c>
      <c r="N37" s="3825">
        <f>LARGE(N5:N36,1)+1</f>
        <v>76</v>
      </c>
      <c r="O37" s="3826" t="s">
        <v>1819</v>
      </c>
      <c r="P37" s="3825">
        <f>LARGE(P5:P36,1)+1</f>
        <v>117</v>
      </c>
      <c r="Q37" s="3826" t="s">
        <v>1942</v>
      </c>
      <c r="R37" s="3825"/>
      <c r="S37" s="2104"/>
      <c r="T37" s="2093"/>
      <c r="V37" s="3825">
        <f>LARGE(V5:V36,1)+1</f>
        <v>30</v>
      </c>
      <c r="W37" s="3826" t="s">
        <v>1863</v>
      </c>
      <c r="X37" s="3825">
        <f>LARGE(X5:X36,1)+1</f>
        <v>86</v>
      </c>
      <c r="Y37" s="3826" t="s">
        <v>1943</v>
      </c>
      <c r="Z37" s="3825">
        <f>LARGE(Z5:Z36,1)+1</f>
        <v>143</v>
      </c>
      <c r="AA37" s="2096" t="s">
        <v>1698</v>
      </c>
      <c r="AB37" s="3825">
        <f>LARGE(AB5:AB36,1)+1</f>
        <v>193</v>
      </c>
      <c r="AC37" s="3826" t="s">
        <v>1701</v>
      </c>
      <c r="AD37" s="3825">
        <f>LARGE(AD5:AD36,1)+1</f>
        <v>249</v>
      </c>
      <c r="AE37" s="3826" t="s">
        <v>1944</v>
      </c>
      <c r="AF37" s="3850"/>
      <c r="AG37" s="3850"/>
      <c r="AH37" s="3821">
        <f>LARGE(AH4:AH36,1)+1</f>
        <v>34</v>
      </c>
      <c r="AI37" s="3822" t="s">
        <v>3291</v>
      </c>
      <c r="AJ37" s="3836"/>
      <c r="AK37" s="3821">
        <f>LARGE(AK4:AK36,1)+1</f>
        <v>90</v>
      </c>
      <c r="AL37" s="3822" t="s">
        <v>3292</v>
      </c>
      <c r="AM37" s="3837"/>
      <c r="AN37" s="3837"/>
      <c r="AO37" s="3193"/>
      <c r="AP37" s="3829" t="s">
        <v>3293</v>
      </c>
      <c r="AR37" s="3813"/>
      <c r="AS37" s="3813"/>
      <c r="AT37" s="3813"/>
      <c r="AU37" s="3813"/>
      <c r="AV37" s="3828"/>
      <c r="AW37" s="7097"/>
      <c r="AX37" s="7097"/>
    </row>
    <row r="38" spans="2:50" s="2100" customFormat="1" ht="23.25">
      <c r="B38" s="2089"/>
      <c r="C38" s="2089"/>
      <c r="D38" s="2089"/>
      <c r="E38" s="2089"/>
      <c r="F38" s="2089"/>
      <c r="G38" s="2089"/>
      <c r="H38" s="2089"/>
      <c r="I38" s="2089"/>
      <c r="J38" s="2089"/>
      <c r="K38" s="2089"/>
      <c r="L38" s="3825">
        <f>LARGE(L5:L37,1)+1</f>
        <v>32</v>
      </c>
      <c r="M38" s="3826" t="s">
        <v>1945</v>
      </c>
      <c r="N38" s="3825">
        <f>LARGE(N5:N37,1)+1</f>
        <v>77</v>
      </c>
      <c r="O38" s="3826" t="s">
        <v>1829</v>
      </c>
      <c r="P38" s="3825">
        <f>LARGE(P5:P37,1)+1</f>
        <v>118</v>
      </c>
      <c r="Q38" s="3826" t="s">
        <v>1946</v>
      </c>
      <c r="R38" s="3825"/>
      <c r="S38" s="3819" t="s">
        <v>597</v>
      </c>
      <c r="T38" s="2093"/>
      <c r="V38" s="3825">
        <f>LARGE(V5:V37,1)+1</f>
        <v>31</v>
      </c>
      <c r="W38" s="3826" t="s">
        <v>1813</v>
      </c>
      <c r="X38" s="3825">
        <f>LARGE(X5:X37,1)+1</f>
        <v>87</v>
      </c>
      <c r="Y38" s="3826" t="s">
        <v>1804</v>
      </c>
      <c r="Z38" s="3825">
        <f>LARGE(Z5:Z37,1)+1</f>
        <v>144</v>
      </c>
      <c r="AA38" s="3826" t="s">
        <v>1705</v>
      </c>
      <c r="AB38" s="3825">
        <f>LARGE(AB5:AB37,1)+1</f>
        <v>194</v>
      </c>
      <c r="AC38" s="3826" t="s">
        <v>1714</v>
      </c>
      <c r="AD38" s="3825">
        <f>LARGE(AD5:AD37,1)+1</f>
        <v>250</v>
      </c>
      <c r="AE38" s="3826" t="s">
        <v>1948</v>
      </c>
      <c r="AF38" s="3850"/>
      <c r="AG38" s="3850"/>
      <c r="AH38" s="3821">
        <f>LARGE(AH4:AH37,1)+1</f>
        <v>35</v>
      </c>
      <c r="AI38" s="3822" t="s">
        <v>3294</v>
      </c>
      <c r="AJ38" s="3836"/>
      <c r="AK38" s="3821">
        <f>LARGE(AK4:AK37,1)+1</f>
        <v>91</v>
      </c>
      <c r="AL38" s="3822" t="s">
        <v>3295</v>
      </c>
      <c r="AM38" s="3837"/>
      <c r="AN38" s="3837"/>
      <c r="AO38" s="3193"/>
      <c r="AP38" s="3829" t="s">
        <v>3296</v>
      </c>
      <c r="AR38" s="3828"/>
      <c r="AS38" s="3852" t="s">
        <v>3297</v>
      </c>
      <c r="AT38" s="3817"/>
      <c r="AU38" s="3817"/>
      <c r="AV38" s="3828"/>
      <c r="AW38" s="3851"/>
      <c r="AX38" s="3851"/>
    </row>
    <row r="39" spans="2:50" s="2100" customFormat="1" ht="23.25" customHeight="1">
      <c r="B39" s="2089"/>
      <c r="C39" s="2089"/>
      <c r="D39" s="2089"/>
      <c r="E39" s="2089"/>
      <c r="F39" s="2089"/>
      <c r="G39" s="2089"/>
      <c r="H39" s="2089"/>
      <c r="I39" s="2089"/>
      <c r="J39" s="2089"/>
      <c r="K39" s="2089"/>
      <c r="L39" s="3825"/>
      <c r="M39" s="2094" t="s">
        <v>713</v>
      </c>
      <c r="N39" s="3825">
        <f>LARGE(N5:N38,1)+1</f>
        <v>78</v>
      </c>
      <c r="O39" s="3826" t="s">
        <v>1838</v>
      </c>
      <c r="P39" s="3825">
        <f>LARGE(P5:P38,1)+1</f>
        <v>119</v>
      </c>
      <c r="Q39" s="3826" t="s">
        <v>1949</v>
      </c>
      <c r="R39" s="3825">
        <f>LARGE(R5:R38,1)+1</f>
        <v>158</v>
      </c>
      <c r="S39" s="3826" t="s">
        <v>1932</v>
      </c>
      <c r="T39" s="2093"/>
      <c r="V39" s="3825">
        <f>LARGE(V5:V38,1)+1</f>
        <v>32</v>
      </c>
      <c r="W39" s="3826" t="s">
        <v>1870</v>
      </c>
      <c r="X39" s="3825">
        <f>LARGE(X5:X38,1)+1</f>
        <v>88</v>
      </c>
      <c r="Y39" s="3826" t="s">
        <v>1816</v>
      </c>
      <c r="Z39" s="3825">
        <f>LARGE(Z5:Z38,1)+1</f>
        <v>145</v>
      </c>
      <c r="AA39" s="3826" t="s">
        <v>1718</v>
      </c>
      <c r="AB39" s="3825">
        <f>LARGE(AB5:AB38,1)+1</f>
        <v>195</v>
      </c>
      <c r="AC39" s="3826" t="s">
        <v>1936</v>
      </c>
      <c r="AD39" s="3825"/>
      <c r="AE39" s="2101"/>
      <c r="AF39" s="3850"/>
      <c r="AG39" s="3850"/>
      <c r="AH39" s="3821">
        <f>LARGE(AH4:AH38,1)+1</f>
        <v>36</v>
      </c>
      <c r="AI39" s="3822" t="s">
        <v>3298</v>
      </c>
      <c r="AJ39" s="3836"/>
      <c r="AK39" s="3821">
        <f>LARGE(AK4:AK38,1)+1</f>
        <v>92</v>
      </c>
      <c r="AL39" s="3822" t="s">
        <v>3299</v>
      </c>
      <c r="AM39" s="3837"/>
      <c r="AN39" s="3837"/>
      <c r="AO39" s="3193"/>
      <c r="AP39" s="3829" t="s">
        <v>3300</v>
      </c>
      <c r="AR39" s="3828"/>
      <c r="AS39" s="3817"/>
      <c r="AT39" s="3817"/>
      <c r="AU39" s="3817"/>
      <c r="AV39" s="3831" t="s">
        <v>457</v>
      </c>
      <c r="AW39" s="3832" t="s">
        <v>3301</v>
      </c>
      <c r="AX39" s="3830"/>
    </row>
    <row r="40" spans="2:50" s="2100" customFormat="1" ht="18.75">
      <c r="B40" s="2089"/>
      <c r="C40" s="2089"/>
      <c r="D40" s="2089"/>
      <c r="E40" s="2089"/>
      <c r="F40" s="2089"/>
      <c r="G40" s="2089"/>
      <c r="H40" s="2089"/>
      <c r="I40" s="2089"/>
      <c r="J40" s="2089"/>
      <c r="K40" s="2089"/>
      <c r="L40" s="3825">
        <f>LARGE(L5:L39,1)+1</f>
        <v>33</v>
      </c>
      <c r="M40" s="3826" t="s">
        <v>1720</v>
      </c>
      <c r="N40" s="3825">
        <f>LARGE(N5:N39,1)+1</f>
        <v>79</v>
      </c>
      <c r="O40" s="3826" t="s">
        <v>1848</v>
      </c>
      <c r="P40" s="3825">
        <f>LARGE(P5:P39,1)+1</f>
        <v>120</v>
      </c>
      <c r="Q40" s="3826" t="s">
        <v>1950</v>
      </c>
      <c r="R40" s="3825"/>
      <c r="S40" s="2098"/>
      <c r="T40" s="2093"/>
      <c r="V40" s="3825">
        <f>LARGE(V5:V39,1)+1</f>
        <v>33</v>
      </c>
      <c r="W40" s="3826" t="s">
        <v>1877</v>
      </c>
      <c r="X40" s="3825">
        <f>LARGE(X5:X39,1)+1</f>
        <v>89</v>
      </c>
      <c r="Y40" s="3826" t="s">
        <v>1951</v>
      </c>
      <c r="Z40" s="3825">
        <f>LARGE(Z5:Z39,1)+1</f>
        <v>146</v>
      </c>
      <c r="AA40" s="3826" t="s">
        <v>1731</v>
      </c>
      <c r="AB40" s="3825">
        <f>LARGE(AB5:AB39,1)+1</f>
        <v>196</v>
      </c>
      <c r="AC40" s="3826" t="s">
        <v>1952</v>
      </c>
      <c r="AD40" s="3825"/>
      <c r="AE40" s="2096" t="s">
        <v>12</v>
      </c>
      <c r="AF40" s="3850"/>
      <c r="AG40" s="3850"/>
      <c r="AH40" s="3821">
        <f>LARGE(AH4:AH39,1)+1</f>
        <v>37</v>
      </c>
      <c r="AI40" s="3822" t="s">
        <v>3302</v>
      </c>
      <c r="AJ40" s="3836"/>
      <c r="AK40" s="3821">
        <f>LARGE(AK4:AK39,1)+1</f>
        <v>93</v>
      </c>
      <c r="AL40" s="3822" t="s">
        <v>3303</v>
      </c>
      <c r="AM40" s="3837"/>
      <c r="AN40" s="3837"/>
      <c r="AO40" s="3193"/>
      <c r="AP40" s="3829" t="s">
        <v>3304</v>
      </c>
      <c r="AR40" s="3828">
        <v>1</v>
      </c>
      <c r="AS40" s="3830" t="s">
        <v>3305</v>
      </c>
      <c r="AT40" s="3817"/>
      <c r="AU40" s="3817"/>
      <c r="AV40" s="3828">
        <v>1</v>
      </c>
      <c r="AW40" s="3830" t="s">
        <v>3306</v>
      </c>
      <c r="AX40" s="3830"/>
    </row>
    <row r="41" spans="2:50" s="2100" customFormat="1" ht="30">
      <c r="B41" s="2089"/>
      <c r="C41" s="2089"/>
      <c r="D41" s="2089"/>
      <c r="E41" s="2089"/>
      <c r="F41" s="2089"/>
      <c r="G41" s="2089"/>
      <c r="H41" s="2089"/>
      <c r="I41" s="2089"/>
      <c r="J41" s="2089"/>
      <c r="K41" s="2089"/>
      <c r="L41" s="3825">
        <f>LARGE(L5:L40,1)+1</f>
        <v>34</v>
      </c>
      <c r="M41" s="3826" t="s">
        <v>1733</v>
      </c>
      <c r="N41" s="3825">
        <f>LARGE(N5:N40,1)+1</f>
        <v>80</v>
      </c>
      <c r="O41" s="3826" t="s">
        <v>1866</v>
      </c>
      <c r="P41" s="3825">
        <f>LARGE(P5:P40,1)+1</f>
        <v>121</v>
      </c>
      <c r="Q41" s="3826" t="s">
        <v>1953</v>
      </c>
      <c r="R41" s="3825"/>
      <c r="S41" s="2098"/>
      <c r="T41" s="2093"/>
      <c r="V41" s="3825">
        <f>LARGE(V5:V40,1)+1</f>
        <v>34</v>
      </c>
      <c r="W41" s="3826" t="s">
        <v>1947</v>
      </c>
      <c r="X41" s="3825">
        <f>LARGE(X5:X40,1)+1</f>
        <v>90</v>
      </c>
      <c r="Y41" s="3826" t="s">
        <v>1826</v>
      </c>
      <c r="Z41" s="3825">
        <f>LARGE(Z5:Z40,1)+1</f>
        <v>147</v>
      </c>
      <c r="AA41" s="3826" t="s">
        <v>1954</v>
      </c>
      <c r="AB41" s="3825">
        <f>LARGE(AB5:AB40,1)+1</f>
        <v>197</v>
      </c>
      <c r="AC41" s="3826" t="s">
        <v>1727</v>
      </c>
      <c r="AD41" s="3825">
        <f>LARGE(AD5:AD40,1)+1</f>
        <v>251</v>
      </c>
      <c r="AE41" s="3826" t="s">
        <v>1955</v>
      </c>
      <c r="AF41" s="3850"/>
      <c r="AG41" s="3850"/>
      <c r="AH41" s="3821">
        <f>LARGE(AH4:AH40,1)+1</f>
        <v>38</v>
      </c>
      <c r="AI41" s="3822" t="s">
        <v>3307</v>
      </c>
      <c r="AJ41" s="3836"/>
      <c r="AK41" s="3821">
        <f>LARGE(AK4:AK40,1)+1</f>
        <v>94</v>
      </c>
      <c r="AL41" s="3822" t="s">
        <v>3308</v>
      </c>
      <c r="AM41" s="3837"/>
      <c r="AN41" s="3837"/>
      <c r="AO41" s="3193"/>
      <c r="AP41" s="3827" t="s">
        <v>713</v>
      </c>
      <c r="AR41" s="3828">
        <v>2</v>
      </c>
      <c r="AS41" s="3830" t="s">
        <v>3309</v>
      </c>
      <c r="AT41" s="3817"/>
      <c r="AU41" s="3817"/>
      <c r="AV41" s="3828">
        <v>2</v>
      </c>
      <c r="AW41" s="3830" t="s">
        <v>3310</v>
      </c>
      <c r="AX41" s="3830"/>
    </row>
    <row r="42" spans="2:50" s="2100" customFormat="1" ht="46.5" customHeight="1">
      <c r="B42" s="2089"/>
      <c r="C42" s="2089"/>
      <c r="D42" s="2089"/>
      <c r="E42" s="2089"/>
      <c r="F42" s="2089"/>
      <c r="G42" s="2089"/>
      <c r="H42" s="2089"/>
      <c r="I42" s="2089"/>
      <c r="J42" s="2089"/>
      <c r="K42" s="2089"/>
      <c r="L42" s="3825">
        <f>LARGE(L5:L41,1)+1</f>
        <v>35</v>
      </c>
      <c r="M42" s="3826" t="s">
        <v>1755</v>
      </c>
      <c r="N42" s="3825">
        <f>LARGE(N5:N41,1)+1</f>
        <v>81</v>
      </c>
      <c r="O42" s="3826" t="s">
        <v>1879</v>
      </c>
      <c r="P42" s="3825">
        <f>LARGE(P5:P41,1)+1</f>
        <v>122</v>
      </c>
      <c r="Q42" s="3826" t="s">
        <v>1956</v>
      </c>
      <c r="R42" s="3825"/>
      <c r="S42" s="2098"/>
      <c r="T42" s="2093"/>
      <c r="V42" s="3825">
        <f>LARGE(V5:V41,1)+1</f>
        <v>35</v>
      </c>
      <c r="W42" s="3826" t="s">
        <v>1883</v>
      </c>
      <c r="X42" s="3825">
        <f>LARGE(X5:X41,1)+1</f>
        <v>91</v>
      </c>
      <c r="Y42" s="3826" t="s">
        <v>1835</v>
      </c>
      <c r="Z42" s="3825"/>
      <c r="AA42" s="2103"/>
      <c r="AB42" s="3825">
        <f>LARGE(AB5:AB41,1)+1</f>
        <v>198</v>
      </c>
      <c r="AC42" s="3826" t="s">
        <v>1939</v>
      </c>
      <c r="AD42" s="3825">
        <f>LARGE(AD5:AD41,1)+1</f>
        <v>252</v>
      </c>
      <c r="AE42" s="3826" t="s">
        <v>1797</v>
      </c>
      <c r="AF42" s="3850"/>
      <c r="AG42" s="3850"/>
      <c r="AH42" s="3821">
        <f>LARGE(AH4:AH41,1)+1</f>
        <v>39</v>
      </c>
      <c r="AI42" s="3822" t="s">
        <v>3311</v>
      </c>
      <c r="AJ42" s="3836"/>
      <c r="AK42" s="3821">
        <f>LARGE(AK4:AK41,1)+1</f>
        <v>95</v>
      </c>
      <c r="AL42" s="3822" t="s">
        <v>3312</v>
      </c>
      <c r="AM42" s="3837"/>
      <c r="AN42" s="3837"/>
      <c r="AO42" s="3193"/>
      <c r="AP42" s="3829" t="s">
        <v>3313</v>
      </c>
      <c r="AR42" s="3828">
        <v>3</v>
      </c>
      <c r="AS42" s="3830" t="s">
        <v>3314</v>
      </c>
      <c r="AT42" s="3817"/>
      <c r="AU42" s="3817"/>
      <c r="AV42" s="3828"/>
      <c r="AW42" s="7096" t="s">
        <v>3315</v>
      </c>
      <c r="AX42" s="7096"/>
    </row>
    <row r="43" spans="2:50" s="2100" customFormat="1" ht="18.75">
      <c r="B43" s="2089"/>
      <c r="C43" s="2089"/>
      <c r="D43" s="2089"/>
      <c r="E43" s="2089"/>
      <c r="F43" s="2089"/>
      <c r="G43" s="2089"/>
      <c r="H43" s="2089"/>
      <c r="I43" s="2089"/>
      <c r="J43" s="2089"/>
      <c r="K43" s="2089"/>
      <c r="L43" s="3825">
        <f>LARGE(L5:L42,1)+1</f>
        <v>36</v>
      </c>
      <c r="M43" s="3826" t="s">
        <v>1765</v>
      </c>
      <c r="N43" s="3825">
        <f>LARGE(N5:N42,1)+1</f>
        <v>82</v>
      </c>
      <c r="O43" s="3826" t="s">
        <v>1778</v>
      </c>
      <c r="P43" s="3825">
        <f>LARGE(P5:P42,1)+1</f>
        <v>123</v>
      </c>
      <c r="Q43" s="3826" t="s">
        <v>1957</v>
      </c>
      <c r="R43" s="3825"/>
      <c r="S43" s="2098"/>
      <c r="T43" s="2093"/>
      <c r="V43" s="3825">
        <f>LARGE(V5:V42,1)+1</f>
        <v>36</v>
      </c>
      <c r="W43" s="3826" t="s">
        <v>1888</v>
      </c>
      <c r="X43" s="3825">
        <f>LARGE(X5:X42,1)+1</f>
        <v>92</v>
      </c>
      <c r="Y43" s="3826" t="s">
        <v>1845</v>
      </c>
      <c r="Z43" s="3825"/>
      <c r="AA43" s="2095" t="s">
        <v>20</v>
      </c>
      <c r="AB43" s="3825">
        <f>LARGE(AB5:AB42,1)+1</f>
        <v>199</v>
      </c>
      <c r="AC43" s="3826" t="s">
        <v>1959</v>
      </c>
      <c r="AD43" s="3825">
        <f>LARGE(AD5:AD42,1)+1</f>
        <v>253</v>
      </c>
      <c r="AE43" s="3826" t="s">
        <v>1806</v>
      </c>
      <c r="AF43" s="3850"/>
      <c r="AG43" s="3850"/>
      <c r="AH43" s="3821">
        <f>LARGE(AH4:AH42,1)+1</f>
        <v>40</v>
      </c>
      <c r="AI43" s="3822" t="s">
        <v>3316</v>
      </c>
      <c r="AJ43" s="3836"/>
      <c r="AK43" s="3821">
        <f>LARGE(AK4:AK42,1)+1</f>
        <v>96</v>
      </c>
      <c r="AL43" s="3822" t="s">
        <v>3317</v>
      </c>
      <c r="AM43" s="3837"/>
      <c r="AN43" s="3837"/>
      <c r="AO43" s="3193"/>
      <c r="AP43" s="3829" t="s">
        <v>3318</v>
      </c>
      <c r="AR43" s="3828">
        <v>4</v>
      </c>
      <c r="AS43" s="3830" t="s">
        <v>3319</v>
      </c>
      <c r="AT43" s="3817"/>
      <c r="AU43" s="3817"/>
      <c r="AV43" s="3828"/>
      <c r="AW43" s="7096"/>
      <c r="AX43" s="7096"/>
    </row>
    <row r="44" spans="2:50" s="2100" customFormat="1" ht="23.25" customHeight="1">
      <c r="B44" s="2089"/>
      <c r="C44" s="2089"/>
      <c r="D44" s="2089"/>
      <c r="E44" s="2089"/>
      <c r="F44" s="2089"/>
      <c r="G44" s="2089"/>
      <c r="H44" s="2089"/>
      <c r="I44" s="2089"/>
      <c r="J44" s="2089"/>
      <c r="K44" s="2089"/>
      <c r="L44" s="3825">
        <f>LARGE(L5:L43,1)+1</f>
        <v>37</v>
      </c>
      <c r="M44" s="3826" t="s">
        <v>1777</v>
      </c>
      <c r="N44" s="3825">
        <f>LARGE(N5:N43,1)+1</f>
        <v>83</v>
      </c>
      <c r="O44" s="3826" t="s">
        <v>1885</v>
      </c>
      <c r="P44" s="3825"/>
      <c r="Q44" s="2094" t="s">
        <v>811</v>
      </c>
      <c r="R44" s="3825"/>
      <c r="S44" s="2098"/>
      <c r="T44" s="2093"/>
      <c r="V44" s="3825">
        <f>LARGE(V5:V43,1)+1</f>
        <v>37</v>
      </c>
      <c r="W44" s="3826" t="s">
        <v>1891</v>
      </c>
      <c r="X44" s="3825">
        <f>LARGE(X5:X43,1)+1</f>
        <v>93</v>
      </c>
      <c r="Y44" s="3826" t="s">
        <v>1854</v>
      </c>
      <c r="Z44" s="3825">
        <f>LARGE(Z5:Z43,1)+1</f>
        <v>148</v>
      </c>
      <c r="AA44" s="3826" t="s">
        <v>1960</v>
      </c>
      <c r="AB44" s="3825">
        <f>LARGE(AB5:AB43,1)+1</f>
        <v>200</v>
      </c>
      <c r="AC44" s="3826" t="s">
        <v>1961</v>
      </c>
      <c r="AD44" s="3825">
        <f>LARGE(AD5:AD43,1)+1</f>
        <v>254</v>
      </c>
      <c r="AE44" s="3826" t="s">
        <v>1817</v>
      </c>
      <c r="AF44" s="3850"/>
      <c r="AG44" s="3850"/>
      <c r="AH44" s="3821">
        <f>LARGE(AH4:AH43,1)+1</f>
        <v>41</v>
      </c>
      <c r="AI44" s="3822" t="s">
        <v>3320</v>
      </c>
      <c r="AJ44" s="3836"/>
      <c r="AK44" s="3821">
        <f>LARGE(AK4:AK43,1)+1</f>
        <v>97</v>
      </c>
      <c r="AL44" s="3822" t="s">
        <v>3321</v>
      </c>
      <c r="AM44" s="3837"/>
      <c r="AN44" s="3837"/>
      <c r="AO44" s="3193"/>
      <c r="AP44" s="3829" t="s">
        <v>3322</v>
      </c>
      <c r="AR44" s="3828">
        <v>5</v>
      </c>
      <c r="AS44" s="3830" t="s">
        <v>3323</v>
      </c>
      <c r="AT44" s="3817"/>
      <c r="AU44" s="3817"/>
      <c r="AV44" s="3828">
        <v>3</v>
      </c>
      <c r="AW44" s="3830" t="s">
        <v>3324</v>
      </c>
      <c r="AX44" s="3830"/>
    </row>
    <row r="45" spans="2:50" s="2100" customFormat="1" ht="18.75">
      <c r="B45" s="2089"/>
      <c r="C45" s="2089"/>
      <c r="D45" s="2089"/>
      <c r="E45" s="2089"/>
      <c r="F45" s="2089"/>
      <c r="G45" s="2089"/>
      <c r="H45" s="2089"/>
      <c r="I45" s="2089"/>
      <c r="J45" s="2089"/>
      <c r="K45" s="2089"/>
      <c r="L45" s="3825">
        <f>LARGE(L5:L44,1)+1</f>
        <v>38</v>
      </c>
      <c r="M45" s="3826" t="s">
        <v>1787</v>
      </c>
      <c r="N45" s="3825">
        <f>LARGE(N5:N44,1)+1</f>
        <v>84</v>
      </c>
      <c r="O45" s="3826" t="s">
        <v>1893</v>
      </c>
      <c r="P45" s="3825">
        <f>LARGE(P5:P44,1)+1</f>
        <v>124</v>
      </c>
      <c r="Q45" s="3826" t="s">
        <v>1962</v>
      </c>
      <c r="R45" s="3825"/>
      <c r="S45" s="2098"/>
      <c r="T45" s="2093"/>
      <c r="V45" s="3825">
        <f>LARGE(V5:V44,1)+1</f>
        <v>38</v>
      </c>
      <c r="W45" s="3826" t="s">
        <v>1895</v>
      </c>
      <c r="X45" s="3825">
        <f>LARGE(X5:X44,1)+1</f>
        <v>94</v>
      </c>
      <c r="Y45" s="3826" t="s">
        <v>1864</v>
      </c>
      <c r="Z45" s="3825">
        <f>LARGE(Z5:Z44,1)+1</f>
        <v>149</v>
      </c>
      <c r="AA45" s="3826" t="s">
        <v>1753</v>
      </c>
      <c r="AB45" s="3825">
        <f>LARGE(AB5:AB44,1)+1</f>
        <v>201</v>
      </c>
      <c r="AC45" s="3826" t="s">
        <v>1942</v>
      </c>
      <c r="AD45" s="3825">
        <f>LARGE(AD5:AD44,1)+1</f>
        <v>255</v>
      </c>
      <c r="AE45" s="3826" t="s">
        <v>1963</v>
      </c>
      <c r="AF45" s="3850"/>
      <c r="AG45" s="3850"/>
      <c r="AH45" s="3821">
        <f>LARGE(AH4:AH44,1)+1</f>
        <v>42</v>
      </c>
      <c r="AI45" s="3822" t="s">
        <v>3325</v>
      </c>
      <c r="AJ45" s="3836"/>
      <c r="AK45" s="3821">
        <f>LARGE(AK4:AK44,1)+1</f>
        <v>98</v>
      </c>
      <c r="AL45" s="3822" t="s">
        <v>3326</v>
      </c>
      <c r="AM45" s="3837"/>
      <c r="AN45" s="3837"/>
      <c r="AO45" s="3193"/>
      <c r="AP45" s="3829" t="s">
        <v>3327</v>
      </c>
      <c r="AR45" s="3828"/>
      <c r="AS45" s="3191"/>
      <c r="AT45" s="3817"/>
      <c r="AU45" s="3817"/>
      <c r="AV45" s="3828">
        <v>4</v>
      </c>
      <c r="AW45" s="3830" t="s">
        <v>3328</v>
      </c>
      <c r="AX45" s="3830"/>
    </row>
    <row r="46" spans="2:50" s="2100" customFormat="1" ht="27" customHeight="1">
      <c r="B46" s="2089"/>
      <c r="C46" s="2089"/>
      <c r="D46" s="2089"/>
      <c r="E46" s="2089"/>
      <c r="F46" s="2089"/>
      <c r="G46" s="2089"/>
      <c r="H46" s="2089"/>
      <c r="I46" s="2089"/>
      <c r="J46" s="2089"/>
      <c r="K46" s="2089"/>
      <c r="L46" s="3825">
        <f>LARGE(L5:L45,1)+1</f>
        <v>39</v>
      </c>
      <c r="M46" s="3826" t="s">
        <v>1798</v>
      </c>
      <c r="N46" s="3825">
        <f>LARGE(N5:N45,1)+1</f>
        <v>85</v>
      </c>
      <c r="O46" s="3826" t="s">
        <v>1898</v>
      </c>
      <c r="P46" s="3825"/>
      <c r="Q46" s="2098"/>
      <c r="R46" s="3825"/>
      <c r="S46" s="2098"/>
      <c r="T46" s="2093"/>
      <c r="V46" s="3825">
        <f>LARGE(V5:V45,1)+1</f>
        <v>39</v>
      </c>
      <c r="W46" s="3826" t="s">
        <v>1958</v>
      </c>
      <c r="X46" s="3825">
        <f>LARGE(X5:X45,1)+1</f>
        <v>95</v>
      </c>
      <c r="Y46" s="3826" t="s">
        <v>1871</v>
      </c>
      <c r="Z46" s="3825">
        <f>LARGE(Z5:Z45,1)+1</f>
        <v>150</v>
      </c>
      <c r="AA46" s="3826" t="s">
        <v>1814</v>
      </c>
      <c r="AB46" s="3825">
        <f>LARGE(AB5:AB45,1)+1</f>
        <v>202</v>
      </c>
      <c r="AC46" s="3826" t="s">
        <v>1946</v>
      </c>
      <c r="AD46" s="3825">
        <f>LARGE(AD5:AD45,1)+1</f>
        <v>256</v>
      </c>
      <c r="AE46" s="3826" t="s">
        <v>1761</v>
      </c>
      <c r="AF46" s="3850"/>
      <c r="AG46" s="3850"/>
      <c r="AH46" s="3821">
        <f>LARGE(AH4:AH45,1)+1</f>
        <v>43</v>
      </c>
      <c r="AI46" s="3822" t="s">
        <v>3329</v>
      </c>
      <c r="AJ46" s="3836"/>
      <c r="AK46" s="3821">
        <f>LARGE(AK4:AK45,1)+1</f>
        <v>99</v>
      </c>
      <c r="AL46" s="3822" t="s">
        <v>3330</v>
      </c>
      <c r="AM46" s="3837"/>
      <c r="AN46" s="3837"/>
      <c r="AO46" s="3193"/>
      <c r="AP46" s="3829" t="s">
        <v>3331</v>
      </c>
      <c r="AR46" s="3828"/>
      <c r="AS46" s="3191"/>
      <c r="AT46" s="3817"/>
      <c r="AU46" s="3817"/>
      <c r="AV46" s="3828">
        <v>5</v>
      </c>
      <c r="AW46" s="3830" t="s">
        <v>3332</v>
      </c>
      <c r="AX46" s="3830"/>
    </row>
    <row r="47" spans="2:50" ht="30">
      <c r="B47" s="2089"/>
      <c r="C47" s="2089"/>
      <c r="D47" s="2089"/>
      <c r="E47" s="2089"/>
      <c r="F47" s="2089"/>
      <c r="G47" s="2089"/>
      <c r="H47" s="2089"/>
      <c r="I47" s="2089"/>
      <c r="J47" s="2089"/>
      <c r="K47" s="2089"/>
      <c r="L47" s="3825">
        <f>LARGE(L5:L46,1)+1</f>
        <v>40</v>
      </c>
      <c r="M47" s="3826" t="s">
        <v>1808</v>
      </c>
      <c r="N47" s="3825"/>
      <c r="O47" s="2094" t="s">
        <v>1782</v>
      </c>
      <c r="P47" s="3825"/>
      <c r="Q47" s="2094" t="s">
        <v>812</v>
      </c>
      <c r="R47" s="3825"/>
      <c r="S47" s="2098"/>
      <c r="T47" s="2093"/>
      <c r="V47" s="3825">
        <f>LARGE(V5:V46,1)+1</f>
        <v>40</v>
      </c>
      <c r="W47" s="3826" t="s">
        <v>1902</v>
      </c>
      <c r="X47" s="3825">
        <f>LARGE(X5:X46,1)+1</f>
        <v>96</v>
      </c>
      <c r="Y47" s="3826" t="s">
        <v>1878</v>
      </c>
      <c r="Z47" s="3825">
        <f>LARGE(Z5:Z46,1)+1</f>
        <v>151</v>
      </c>
      <c r="AA47" s="3826" t="s">
        <v>1823</v>
      </c>
      <c r="AB47" s="3825">
        <f>LARGE(AB5:AB46,1)+1</f>
        <v>203</v>
      </c>
      <c r="AC47" s="3826" t="s">
        <v>1949</v>
      </c>
      <c r="AD47" s="3825">
        <f>LARGE(AD5:AD46,1)+1</f>
        <v>257</v>
      </c>
      <c r="AE47" s="3826" t="s">
        <v>1827</v>
      </c>
      <c r="AF47" s="3850"/>
      <c r="AG47" s="3850"/>
      <c r="AH47" s="3821">
        <f>LARGE(AH4:AH46,1)+1</f>
        <v>44</v>
      </c>
      <c r="AI47" s="3822" t="s">
        <v>3333</v>
      </c>
      <c r="AJ47" s="3823"/>
      <c r="AK47" s="3821">
        <f>LARGE(AK4:AK46,1)+1</f>
        <v>100</v>
      </c>
      <c r="AL47" s="3822" t="s">
        <v>3334</v>
      </c>
      <c r="AM47" s="2090"/>
      <c r="AN47" s="2090"/>
      <c r="AO47" s="3193"/>
      <c r="AP47" s="3827" t="s">
        <v>1697</v>
      </c>
      <c r="AR47" s="3828">
        <v>1</v>
      </c>
      <c r="AS47" s="3830" t="s">
        <v>3335</v>
      </c>
      <c r="AV47" s="3828">
        <v>6</v>
      </c>
      <c r="AW47" s="3830" t="s">
        <v>3336</v>
      </c>
      <c r="AX47" s="3830"/>
    </row>
    <row r="48" spans="2:50" ht="27" customHeight="1">
      <c r="B48" s="2089"/>
      <c r="C48" s="2089"/>
      <c r="D48" s="2089"/>
      <c r="E48" s="2089"/>
      <c r="F48" s="2089"/>
      <c r="G48" s="2089"/>
      <c r="H48" s="2089"/>
      <c r="I48" s="2089"/>
      <c r="J48" s="2089"/>
      <c r="K48" s="2089"/>
      <c r="L48" s="3825">
        <f>LARGE(L5:L47,1)+1</f>
        <v>41</v>
      </c>
      <c r="M48" s="3826" t="s">
        <v>1818</v>
      </c>
      <c r="N48" s="3825">
        <f>LARGE(N5:N47,1)+1</f>
        <v>86</v>
      </c>
      <c r="O48" s="3826" t="s">
        <v>1922</v>
      </c>
      <c r="P48" s="3825">
        <f>LARGE(P5:P47,1)+1</f>
        <v>125</v>
      </c>
      <c r="Q48" s="3826" t="s">
        <v>1710</v>
      </c>
      <c r="R48" s="3825"/>
      <c r="S48" s="2098"/>
      <c r="T48" s="2093"/>
      <c r="V48" s="3825">
        <f>LARGE(V5:V47,1)+1</f>
        <v>41</v>
      </c>
      <c r="W48" s="3826" t="s">
        <v>1906</v>
      </c>
      <c r="X48" s="3825">
        <f>LARGE(X5:X47,1)+1</f>
        <v>97</v>
      </c>
      <c r="Y48" s="3826" t="s">
        <v>1884</v>
      </c>
      <c r="Z48" s="3825">
        <f>LARGE(Z5:Z47,1)+1</f>
        <v>152</v>
      </c>
      <c r="AA48" s="3826" t="s">
        <v>1964</v>
      </c>
      <c r="AB48" s="3825">
        <f>LARGE(AB5:AB47,1)+1</f>
        <v>204</v>
      </c>
      <c r="AC48" s="3826" t="s">
        <v>1965</v>
      </c>
      <c r="AD48" s="3825">
        <f>LARGE(AD5:AD47,1)+1</f>
        <v>258</v>
      </c>
      <c r="AE48" s="3826" t="s">
        <v>1836</v>
      </c>
      <c r="AF48" s="3850"/>
      <c r="AG48" s="3850"/>
      <c r="AH48" s="3821">
        <f>LARGE(AH4:AH47,1)+1</f>
        <v>45</v>
      </c>
      <c r="AI48" s="3822" t="s">
        <v>3337</v>
      </c>
      <c r="AJ48" s="3823"/>
      <c r="AK48" s="3821">
        <f>LARGE(AK4:AK47,1)+1</f>
        <v>101</v>
      </c>
      <c r="AL48" s="3822" t="s">
        <v>3338</v>
      </c>
      <c r="AM48" s="2090"/>
      <c r="AN48" s="2090"/>
      <c r="AO48" s="3193"/>
      <c r="AP48" s="3829" t="s">
        <v>3339</v>
      </c>
      <c r="AR48" s="3828">
        <v>2</v>
      </c>
      <c r="AS48" s="3830" t="s">
        <v>3340</v>
      </c>
      <c r="AV48" s="3828"/>
      <c r="AW48" s="7096" t="s">
        <v>3341</v>
      </c>
      <c r="AX48" s="7096"/>
    </row>
    <row r="49" spans="2:50" ht="18.75">
      <c r="B49" s="2089"/>
      <c r="C49" s="2089"/>
      <c r="D49" s="2089"/>
      <c r="E49" s="2089"/>
      <c r="F49" s="2089"/>
      <c r="G49" s="2089"/>
      <c r="H49" s="2089"/>
      <c r="I49" s="2089"/>
      <c r="J49" s="2089"/>
      <c r="K49" s="2089"/>
      <c r="L49" s="3825">
        <f>LARGE(L5:L48,1)+1</f>
        <v>42</v>
      </c>
      <c r="M49" s="3826" t="s">
        <v>1828</v>
      </c>
      <c r="N49" s="3825">
        <f>LARGE(N5:N48,1)+1</f>
        <v>87</v>
      </c>
      <c r="O49" s="3826" t="s">
        <v>1925</v>
      </c>
      <c r="P49" s="3825">
        <f>LARGE(P5:P48,1)+1</f>
        <v>126</v>
      </c>
      <c r="Q49" s="3826" t="s">
        <v>1736</v>
      </c>
      <c r="R49" s="3825"/>
      <c r="S49" s="2098"/>
      <c r="T49" s="2093"/>
      <c r="V49" s="3825">
        <f>LARGE(V5:V48,1)+1</f>
        <v>42</v>
      </c>
      <c r="W49" s="3826" t="s">
        <v>1910</v>
      </c>
      <c r="X49" s="3825">
        <f>LARGE(X5:X48,1)+1</f>
        <v>98</v>
      </c>
      <c r="Y49" s="3826" t="s">
        <v>1700</v>
      </c>
      <c r="Z49" s="3825"/>
      <c r="AA49" s="2103"/>
      <c r="AB49" s="3825">
        <f>LARGE(AB5:AB48,1)+1</f>
        <v>205</v>
      </c>
      <c r="AC49" s="3826" t="s">
        <v>1950</v>
      </c>
      <c r="AD49" s="3825">
        <f>LARGE(AD5:AD48,1)+1</f>
        <v>259</v>
      </c>
      <c r="AE49" s="3826" t="s">
        <v>1772</v>
      </c>
      <c r="AF49" s="3850"/>
      <c r="AG49" s="3850"/>
      <c r="AH49" s="3821">
        <f>LARGE(AH4:AH48,1)+1</f>
        <v>46</v>
      </c>
      <c r="AI49" s="3822" t="s">
        <v>3342</v>
      </c>
      <c r="AJ49" s="3823"/>
      <c r="AK49" s="3821">
        <f>LARGE(AK4:AK48,1)+1</f>
        <v>102</v>
      </c>
      <c r="AL49" s="3822" t="s">
        <v>3343</v>
      </c>
      <c r="AM49" s="2090"/>
      <c r="AN49" s="2090"/>
      <c r="AO49" s="3193"/>
      <c r="AP49" s="3829" t="s">
        <v>3344</v>
      </c>
      <c r="AR49" s="3828">
        <v>3</v>
      </c>
      <c r="AS49" s="3830" t="s">
        <v>3155</v>
      </c>
      <c r="AV49" s="3828"/>
      <c r="AW49" s="7096"/>
      <c r="AX49" s="7096"/>
    </row>
    <row r="50" spans="2:50" ht="18.75">
      <c r="B50" s="2089"/>
      <c r="C50" s="2089"/>
      <c r="D50" s="2089"/>
      <c r="E50" s="2089"/>
      <c r="F50" s="2089"/>
      <c r="G50" s="2089"/>
      <c r="H50" s="2089"/>
      <c r="I50" s="2089"/>
      <c r="J50" s="2089"/>
      <c r="K50" s="2089"/>
      <c r="L50" s="3825">
        <f>LARGE(L5:L49,1)+1</f>
        <v>43</v>
      </c>
      <c r="M50" s="3826" t="s">
        <v>1856</v>
      </c>
      <c r="N50" s="3825">
        <f>LARGE(N5:N49,1)+1</f>
        <v>88</v>
      </c>
      <c r="O50" s="3826" t="s">
        <v>1929</v>
      </c>
      <c r="P50" s="3825">
        <f>LARGE(P5:P49,1)+1</f>
        <v>127</v>
      </c>
      <c r="Q50" s="3826" t="s">
        <v>1747</v>
      </c>
      <c r="R50" s="3825"/>
      <c r="S50" s="2098"/>
      <c r="T50" s="2093"/>
      <c r="V50" s="3825">
        <f>LARGE(V5:V49,1)+1</f>
        <v>43</v>
      </c>
      <c r="W50" s="3826" t="s">
        <v>1915</v>
      </c>
      <c r="X50" s="3825">
        <f>LARGE(X5:X49,1)+1</f>
        <v>99</v>
      </c>
      <c r="Y50" s="3826" t="s">
        <v>1713</v>
      </c>
      <c r="Z50" s="3825"/>
      <c r="AA50" s="2096" t="s">
        <v>18</v>
      </c>
      <c r="AB50" s="3825">
        <f>LARGE(AB5:AB49,1)+1</f>
        <v>206</v>
      </c>
      <c r="AC50" s="3826" t="s">
        <v>1953</v>
      </c>
      <c r="AD50" s="3825">
        <f>LARGE(AD5:AD49,1)+1</f>
        <v>260</v>
      </c>
      <c r="AE50" s="3826" t="s">
        <v>1846</v>
      </c>
      <c r="AF50" s="3850"/>
      <c r="AG50" s="3850"/>
      <c r="AH50" s="3821">
        <f>LARGE(AH4:AH49,1)+1</f>
        <v>47</v>
      </c>
      <c r="AI50" s="3822" t="s">
        <v>3345</v>
      </c>
      <c r="AJ50" s="3823"/>
      <c r="AK50" s="3821">
        <f>LARGE(AK4:AK49,1)+1</f>
        <v>103</v>
      </c>
      <c r="AL50" s="3822" t="s">
        <v>3346</v>
      </c>
      <c r="AM50" s="2090"/>
      <c r="AN50" s="2090"/>
      <c r="AO50" s="3193"/>
      <c r="AP50" s="3829" t="s">
        <v>3347</v>
      </c>
      <c r="AR50" s="3828">
        <v>4</v>
      </c>
      <c r="AS50" s="3830" t="s">
        <v>3348</v>
      </c>
      <c r="AV50" s="7092">
        <v>7</v>
      </c>
      <c r="AW50" s="7085" t="s">
        <v>3349</v>
      </c>
      <c r="AX50" s="7085"/>
    </row>
    <row r="51" spans="2:50" ht="24.75" customHeight="1">
      <c r="B51" s="2089"/>
      <c r="C51" s="2089"/>
      <c r="D51" s="2089"/>
      <c r="E51" s="2089"/>
      <c r="F51" s="2089"/>
      <c r="G51" s="2089"/>
      <c r="H51" s="2089"/>
      <c r="I51" s="2089"/>
      <c r="J51" s="2089"/>
      <c r="K51" s="2089"/>
      <c r="L51" s="3825">
        <f>LARGE(L5:L50,1)+1</f>
        <v>44</v>
      </c>
      <c r="M51" s="3826" t="s">
        <v>1865</v>
      </c>
      <c r="N51" s="3825">
        <f>LARGE(N5:N50,1)+1</f>
        <v>89</v>
      </c>
      <c r="O51" s="3826" t="s">
        <v>1935</v>
      </c>
      <c r="P51" s="3825">
        <f>LARGE(P5:P50,1)+1</f>
        <v>128</v>
      </c>
      <c r="Q51" s="3826" t="s">
        <v>1758</v>
      </c>
      <c r="R51" s="3825"/>
      <c r="S51" s="2098"/>
      <c r="T51" s="2093"/>
      <c r="V51" s="3825">
        <f>LARGE(V5:V50,1)+1</f>
        <v>44</v>
      </c>
      <c r="W51" s="3826" t="s">
        <v>1822</v>
      </c>
      <c r="X51" s="3825">
        <f>LARGE(X5:X50,1)+1</f>
        <v>100</v>
      </c>
      <c r="Y51" s="3826" t="s">
        <v>1966</v>
      </c>
      <c r="Z51" s="3825">
        <f>LARGE(Z5:Z50,1)+1</f>
        <v>153</v>
      </c>
      <c r="AA51" s="3826" t="s">
        <v>1842</v>
      </c>
      <c r="AB51" s="3825">
        <f>LARGE(AB5:AB50,1)+1</f>
        <v>207</v>
      </c>
      <c r="AC51" s="3826" t="s">
        <v>1739</v>
      </c>
      <c r="AD51" s="3825">
        <f>LARGE(AD5:AD50,1)+1</f>
        <v>261</v>
      </c>
      <c r="AE51" s="3826" t="s">
        <v>1967</v>
      </c>
      <c r="AF51" s="3850"/>
      <c r="AG51" s="3850"/>
      <c r="AH51" s="3821">
        <f>LARGE(AH4:AH50,1)+1</f>
        <v>48</v>
      </c>
      <c r="AI51" s="3822" t="s">
        <v>3350</v>
      </c>
      <c r="AJ51" s="3823"/>
      <c r="AK51" s="3821">
        <f>LARGE(AK4:AK50,1)+1</f>
        <v>104</v>
      </c>
      <c r="AL51" s="3822" t="s">
        <v>3351</v>
      </c>
      <c r="AM51" s="2090"/>
      <c r="AN51" s="2090"/>
      <c r="AO51" s="3193"/>
      <c r="AP51" s="3829" t="s">
        <v>3352</v>
      </c>
      <c r="AR51" s="3828">
        <v>5</v>
      </c>
      <c r="AS51" s="3830" t="s">
        <v>3353</v>
      </c>
      <c r="AV51" s="7092"/>
      <c r="AW51" s="7085"/>
      <c r="AX51" s="7085"/>
    </row>
    <row r="52" spans="2:50" ht="30">
      <c r="B52" s="2089"/>
      <c r="C52" s="2089"/>
      <c r="D52" s="2089"/>
      <c r="E52" s="2089"/>
      <c r="F52" s="2089"/>
      <c r="G52" s="2089"/>
      <c r="H52" s="2089"/>
      <c r="I52" s="2089"/>
      <c r="J52" s="2089"/>
      <c r="K52" s="2089"/>
      <c r="L52" s="3825">
        <f>LARGE(L5:L51,1)+1</f>
        <v>45</v>
      </c>
      <c r="M52" s="3826" t="s">
        <v>1872</v>
      </c>
      <c r="N52" s="3825">
        <f>LARGE(N5:N51,1)+1</f>
        <v>90</v>
      </c>
      <c r="O52" s="3826" t="s">
        <v>1937</v>
      </c>
      <c r="P52" s="3825">
        <f>LARGE(P5:P51,1)+1</f>
        <v>129</v>
      </c>
      <c r="Q52" s="3826" t="s">
        <v>1768</v>
      </c>
      <c r="R52" s="3825"/>
      <c r="S52" s="2098"/>
      <c r="T52" s="2093"/>
      <c r="V52" s="3825">
        <f>LARGE(V5:V51,1)+1</f>
        <v>45</v>
      </c>
      <c r="W52" s="3826" t="s">
        <v>1920</v>
      </c>
      <c r="X52" s="3825">
        <f>LARGE(X5:X51,1)+1</f>
        <v>101</v>
      </c>
      <c r="Y52" s="3826" t="s">
        <v>3354</v>
      </c>
      <c r="Z52" s="3825"/>
      <c r="AA52" s="3850"/>
      <c r="AB52" s="3825">
        <f>LARGE(AB5:AB51,1)+1</f>
        <v>208</v>
      </c>
      <c r="AC52" s="3826" t="s">
        <v>1968</v>
      </c>
      <c r="AD52" s="3825">
        <f>LARGE(AD5:AD51,1)+1</f>
        <v>262</v>
      </c>
      <c r="AE52" s="3826" t="s">
        <v>1969</v>
      </c>
      <c r="AF52" s="3850"/>
      <c r="AG52" s="3850"/>
      <c r="AH52" s="3821">
        <f>LARGE(AH4:AH51,1)+1</f>
        <v>49</v>
      </c>
      <c r="AI52" s="3822" t="s">
        <v>3355</v>
      </c>
      <c r="AJ52" s="3823"/>
      <c r="AK52" s="3821">
        <f>LARGE(AK4:AK51,1)+1</f>
        <v>105</v>
      </c>
      <c r="AL52" s="3822" t="s">
        <v>3356</v>
      </c>
      <c r="AM52" s="2090"/>
      <c r="AN52" s="2090"/>
      <c r="AO52" s="3193"/>
      <c r="AP52" s="3827" t="s">
        <v>23</v>
      </c>
      <c r="AR52" s="3828">
        <v>6</v>
      </c>
      <c r="AS52" s="3830" t="s">
        <v>3171</v>
      </c>
      <c r="AV52" s="7092">
        <v>8</v>
      </c>
      <c r="AW52" s="7085" t="s">
        <v>3357</v>
      </c>
      <c r="AX52" s="7085"/>
    </row>
    <row r="53" spans="2:50" ht="19.5" thickBot="1">
      <c r="B53" s="2089"/>
      <c r="C53" s="2089"/>
      <c r="D53" s="2089"/>
      <c r="E53" s="2089"/>
      <c r="F53" s="2089"/>
      <c r="G53" s="2089"/>
      <c r="H53" s="2089"/>
      <c r="I53" s="2089"/>
      <c r="J53" s="2089"/>
      <c r="K53" s="2089"/>
      <c r="L53" s="3853"/>
      <c r="M53" s="3854"/>
      <c r="N53" s="3854"/>
      <c r="O53" s="3854"/>
      <c r="P53" s="3854"/>
      <c r="Q53" s="3854"/>
      <c r="R53" s="3855"/>
      <c r="S53" s="3855"/>
      <c r="T53" s="3856"/>
      <c r="V53" s="3825">
        <f>LARGE(V5:V52,1)+1</f>
        <v>46</v>
      </c>
      <c r="W53" s="3826" t="s">
        <v>1833</v>
      </c>
      <c r="X53" s="3825">
        <f>LARGE(X5:X52,1)+1</f>
        <v>102</v>
      </c>
      <c r="Y53" s="3826" t="s">
        <v>1726</v>
      </c>
      <c r="Z53" s="3825"/>
      <c r="AA53" s="2095" t="s">
        <v>398</v>
      </c>
      <c r="AB53" s="3825">
        <f>LARGE(AB5:AB52,1)+1</f>
        <v>209</v>
      </c>
      <c r="AC53" s="3826" t="s">
        <v>1956</v>
      </c>
      <c r="AD53" s="3825">
        <f>LARGE(AD5:AD52,1)+1</f>
        <v>263</v>
      </c>
      <c r="AE53" s="3826" t="s">
        <v>1784</v>
      </c>
      <c r="AF53" s="3820"/>
      <c r="AG53" s="3820"/>
      <c r="AH53" s="3821">
        <f>LARGE(AH4:AH52,1)+1</f>
        <v>50</v>
      </c>
      <c r="AI53" s="3822" t="s">
        <v>3358</v>
      </c>
      <c r="AJ53" s="3823"/>
      <c r="AK53" s="3821">
        <f>LARGE(AK4:AK52,1)+1</f>
        <v>106</v>
      </c>
      <c r="AL53" s="3822" t="s">
        <v>3359</v>
      </c>
      <c r="AM53" s="2090"/>
      <c r="AN53" s="2090"/>
      <c r="AO53" s="3193"/>
      <c r="AP53" s="3829" t="s">
        <v>3360</v>
      </c>
      <c r="AR53" s="3828">
        <v>7</v>
      </c>
      <c r="AS53" s="3830" t="s">
        <v>3361</v>
      </c>
      <c r="AV53" s="7092"/>
      <c r="AW53" s="7085"/>
      <c r="AX53" s="7085"/>
    </row>
    <row r="54" spans="2:50" ht="18.75">
      <c r="B54" s="2089"/>
      <c r="C54" s="2089"/>
      <c r="D54" s="2089"/>
      <c r="E54" s="2089"/>
      <c r="F54" s="2089"/>
      <c r="G54" s="2089"/>
      <c r="H54" s="2089"/>
      <c r="I54" s="2089"/>
      <c r="J54" s="2089"/>
      <c r="K54" s="2089"/>
      <c r="L54" s="2089"/>
      <c r="M54" s="2089"/>
      <c r="N54" s="2089"/>
      <c r="O54" s="2089"/>
      <c r="P54" s="2089"/>
      <c r="Q54" s="2089"/>
      <c r="R54" s="2089"/>
      <c r="S54" s="2089"/>
      <c r="T54" s="2089"/>
      <c r="V54" s="3825">
        <f>LARGE(V5:V53,1)+1</f>
        <v>47</v>
      </c>
      <c r="W54" s="3826" t="s">
        <v>1923</v>
      </c>
      <c r="X54" s="3825">
        <f>LARGE(X5:X53,1)+1</f>
        <v>103</v>
      </c>
      <c r="Y54" s="3826" t="s">
        <v>1896</v>
      </c>
      <c r="Z54" s="3825">
        <f>LARGE(Z5:Z53,1)+1</f>
        <v>154</v>
      </c>
      <c r="AA54" s="3826" t="s">
        <v>1971</v>
      </c>
      <c r="AB54" s="3825">
        <f>LARGE(AB5:AB53,1)+1</f>
        <v>210</v>
      </c>
      <c r="AC54" s="3826" t="s">
        <v>1972</v>
      </c>
      <c r="AD54" s="3825">
        <f>LARGE(AD5:AD53,1)+1</f>
        <v>264</v>
      </c>
      <c r="AE54" s="3826" t="s">
        <v>1973</v>
      </c>
      <c r="AF54" s="3820"/>
      <c r="AG54" s="3820"/>
      <c r="AH54" s="3821">
        <f>LARGE(AH4:AH53,1)+1</f>
        <v>51</v>
      </c>
      <c r="AI54" s="3822" t="s">
        <v>3362</v>
      </c>
      <c r="AJ54" s="3823"/>
      <c r="AK54" s="3821">
        <f>LARGE(AK4:AK53,1)+1</f>
        <v>107</v>
      </c>
      <c r="AL54" s="3822" t="s">
        <v>3363</v>
      </c>
      <c r="AM54" s="2090"/>
      <c r="AN54" s="2090"/>
      <c r="AO54" s="3193"/>
      <c r="AP54" s="3829" t="s">
        <v>3364</v>
      </c>
      <c r="AR54" s="3828">
        <v>8</v>
      </c>
      <c r="AS54" s="3830" t="s">
        <v>3365</v>
      </c>
      <c r="AV54" s="3828"/>
      <c r="AW54" s="7096" t="s">
        <v>3366</v>
      </c>
      <c r="AX54" s="7096"/>
    </row>
    <row r="55" spans="2:50" ht="18.75">
      <c r="B55" s="2089"/>
      <c r="C55" s="2089"/>
      <c r="D55" s="2089"/>
      <c r="E55" s="2089"/>
      <c r="F55" s="2089"/>
      <c r="G55" s="2089"/>
      <c r="H55" s="2089"/>
      <c r="I55" s="2089"/>
      <c r="J55" s="2089"/>
      <c r="K55" s="2089"/>
      <c r="L55" s="2089"/>
      <c r="M55" s="2089"/>
      <c r="N55" s="2089"/>
      <c r="O55" s="2089"/>
      <c r="P55" s="2089"/>
      <c r="Q55" s="2089"/>
      <c r="R55" s="2089"/>
      <c r="S55" s="2089"/>
      <c r="T55" s="2089"/>
      <c r="V55" s="3825">
        <f>LARGE(V5:V54,1)+1</f>
        <v>48</v>
      </c>
      <c r="W55" s="3826" t="s">
        <v>1926</v>
      </c>
      <c r="X55" s="3825">
        <f>LARGE(X5:X54,1)+1</f>
        <v>104</v>
      </c>
      <c r="Y55" s="3826" t="s">
        <v>1903</v>
      </c>
      <c r="Z55" s="3825">
        <f>LARGE(Z5:Z54,1)+1</f>
        <v>155</v>
      </c>
      <c r="AA55" s="3826" t="s">
        <v>1861</v>
      </c>
      <c r="AB55" s="3825">
        <f>LARGE(AB5:AB54,1)+1</f>
        <v>211</v>
      </c>
      <c r="AC55" s="3826" t="s">
        <v>1751</v>
      </c>
      <c r="AD55" s="3825">
        <f>LARGE(AD5:AD54,1)+1</f>
        <v>265</v>
      </c>
      <c r="AE55" s="3826" t="s">
        <v>1975</v>
      </c>
      <c r="AF55" s="3820"/>
      <c r="AG55" s="3820"/>
      <c r="AH55" s="3821">
        <f>LARGE(AH4:AH54,1)+1</f>
        <v>52</v>
      </c>
      <c r="AI55" s="3822" t="s">
        <v>3367</v>
      </c>
      <c r="AJ55" s="3823"/>
      <c r="AK55" s="3821">
        <f>LARGE(AK4:AK54,1)+1</f>
        <v>108</v>
      </c>
      <c r="AL55" s="3822" t="s">
        <v>3368</v>
      </c>
      <c r="AM55" s="2090"/>
      <c r="AN55" s="2090"/>
      <c r="AO55" s="3193"/>
      <c r="AP55" s="3829" t="s">
        <v>3369</v>
      </c>
      <c r="AR55" s="3828"/>
      <c r="AS55" s="3191"/>
      <c r="AV55" s="3828"/>
      <c r="AW55" s="7096"/>
      <c r="AX55" s="7096"/>
    </row>
    <row r="56" spans="2:50" ht="20.25" customHeight="1">
      <c r="B56" s="2089"/>
      <c r="C56" s="2089"/>
      <c r="D56" s="2089"/>
      <c r="E56" s="2089"/>
      <c r="F56" s="2089"/>
      <c r="G56" s="2089"/>
      <c r="H56" s="2089"/>
      <c r="I56" s="2089"/>
      <c r="J56" s="2089"/>
      <c r="K56" s="2089"/>
      <c r="L56" s="2089"/>
      <c r="M56" s="2089"/>
      <c r="N56" s="2089"/>
      <c r="O56" s="2089"/>
      <c r="P56" s="2089"/>
      <c r="Q56" s="2089"/>
      <c r="R56" s="2089"/>
      <c r="S56" s="2089"/>
      <c r="T56" s="2089"/>
      <c r="V56" s="3825">
        <f>LARGE(V5:V55,1)+1</f>
        <v>49</v>
      </c>
      <c r="W56" s="3826" t="s">
        <v>1933</v>
      </c>
      <c r="X56" s="3825">
        <f>LARGE(X5:X55,1)+1</f>
        <v>105</v>
      </c>
      <c r="Y56" s="3826" t="s">
        <v>1974</v>
      </c>
      <c r="Z56" s="3825">
        <f>LARGE(Z5:Z55,1)+1</f>
        <v>156</v>
      </c>
      <c r="AA56" s="3826" t="s">
        <v>1976</v>
      </c>
      <c r="AB56" s="3825">
        <f>LARGE(AB5:AB55,1)+1</f>
        <v>212</v>
      </c>
      <c r="AC56" s="3826" t="s">
        <v>1760</v>
      </c>
      <c r="AD56" s="3825">
        <f>LARGE(AD5:AD55,1)+1</f>
        <v>266</v>
      </c>
      <c r="AE56" s="3826" t="s">
        <v>1855</v>
      </c>
      <c r="AF56" s="3820"/>
      <c r="AG56" s="3820"/>
      <c r="AH56" s="3821">
        <f>LARGE(AH4:AH55,1)+1</f>
        <v>53</v>
      </c>
      <c r="AI56" s="3822" t="s">
        <v>3370</v>
      </c>
      <c r="AJ56" s="3823"/>
      <c r="AK56" s="3821">
        <f>LARGE(AK4:AK55,1)+1</f>
        <v>109</v>
      </c>
      <c r="AL56" s="3822" t="s">
        <v>3371</v>
      </c>
      <c r="AM56" s="2090"/>
      <c r="AN56" s="2090"/>
      <c r="AO56" s="3193"/>
      <c r="AP56" s="3829" t="s">
        <v>3372</v>
      </c>
      <c r="AR56" s="3828">
        <v>1</v>
      </c>
      <c r="AS56" s="3830" t="s">
        <v>3373</v>
      </c>
      <c r="AV56" s="3828"/>
      <c r="AW56" s="3830" t="s">
        <v>3374</v>
      </c>
      <c r="AX56" s="3830"/>
    </row>
    <row r="57" spans="2:50" ht="20.25" customHeight="1">
      <c r="B57" s="2089"/>
      <c r="C57" s="2089"/>
      <c r="D57" s="2089"/>
      <c r="E57" s="2089"/>
      <c r="F57" s="2089"/>
      <c r="G57" s="2089"/>
      <c r="H57" s="2089"/>
      <c r="I57" s="2089"/>
      <c r="J57" s="2089"/>
      <c r="K57" s="2089"/>
      <c r="L57" s="2089"/>
      <c r="M57" s="2089"/>
      <c r="N57" s="2089"/>
      <c r="O57" s="2089"/>
      <c r="P57" s="2089"/>
      <c r="Q57" s="2089"/>
      <c r="R57" s="2089"/>
      <c r="S57" s="2089"/>
      <c r="T57" s="2089"/>
      <c r="V57" s="3825">
        <f>LARGE(V5:V56,1)+1</f>
        <v>50</v>
      </c>
      <c r="W57" s="3826" t="s">
        <v>1970</v>
      </c>
      <c r="X57" s="3825">
        <f>LARGE(X5:X56,1)+1</f>
        <v>106</v>
      </c>
      <c r="Y57" s="3826" t="s">
        <v>1907</v>
      </c>
      <c r="Z57" s="3825">
        <f>LARGE(Z5:Z56,1)+1</f>
        <v>157</v>
      </c>
      <c r="AA57" s="3826" t="s">
        <v>1775</v>
      </c>
      <c r="AB57" s="3825">
        <f>LARGE(AB5:AB56,1)+1</f>
        <v>213</v>
      </c>
      <c r="AC57" s="3826" t="s">
        <v>1771</v>
      </c>
      <c r="AD57" s="3825">
        <f>LARGE(AD5:AD56,1)+1</f>
        <v>267</v>
      </c>
      <c r="AE57" s="3826" t="s">
        <v>1977</v>
      </c>
      <c r="AF57" s="3820"/>
      <c r="AG57" s="3820"/>
      <c r="AH57" s="3821">
        <f>LARGE(AH4:AH56,1)+1</f>
        <v>54</v>
      </c>
      <c r="AI57" s="3822" t="s">
        <v>3375</v>
      </c>
      <c r="AJ57" s="3823"/>
      <c r="AK57" s="3821">
        <f>LARGE(AK4:AK56,1)+1</f>
        <v>110</v>
      </c>
      <c r="AL57" s="3822" t="s">
        <v>3376</v>
      </c>
      <c r="AM57" s="2090"/>
      <c r="AN57" s="2090"/>
      <c r="AO57" s="3193"/>
      <c r="AP57" s="3829" t="s">
        <v>3377</v>
      </c>
      <c r="AR57" s="3828">
        <v>2</v>
      </c>
      <c r="AS57" s="3830" t="s">
        <v>3378</v>
      </c>
      <c r="AV57" s="3828">
        <v>9</v>
      </c>
      <c r="AW57" s="3830" t="s">
        <v>3379</v>
      </c>
      <c r="AX57" s="3830"/>
    </row>
    <row r="58" spans="2:50" ht="21" customHeight="1">
      <c r="B58" s="2089"/>
      <c r="C58" s="2089"/>
      <c r="D58" s="2089"/>
      <c r="E58" s="2089"/>
      <c r="F58" s="2089"/>
      <c r="G58" s="2089"/>
      <c r="H58" s="2089"/>
      <c r="I58" s="2089"/>
      <c r="J58" s="2089"/>
      <c r="K58" s="2089"/>
      <c r="L58" s="2089"/>
      <c r="M58" s="2089"/>
      <c r="N58" s="2089"/>
      <c r="O58" s="2089"/>
      <c r="P58" s="2089"/>
      <c r="Q58" s="2089"/>
      <c r="R58" s="2089"/>
      <c r="S58" s="2089"/>
      <c r="T58" s="2089"/>
      <c r="V58" s="3825">
        <f>LARGE(V5:V57,1)+1</f>
        <v>51</v>
      </c>
      <c r="W58" s="3826" t="s">
        <v>1938</v>
      </c>
      <c r="X58" s="3825">
        <f>LARGE(X5:X57,1)+1</f>
        <v>107</v>
      </c>
      <c r="Y58" s="3826" t="s">
        <v>1750</v>
      </c>
      <c r="Z58" s="3825">
        <f>LARGE(Z5:Z57,1)+1</f>
        <v>158</v>
      </c>
      <c r="AA58" s="3826" t="s">
        <v>1786</v>
      </c>
      <c r="AB58" s="3825">
        <f>LARGE(AB5:AB57,1)+1</f>
        <v>214</v>
      </c>
      <c r="AC58" s="3826" t="s">
        <v>1783</v>
      </c>
      <c r="AD58" s="3825"/>
      <c r="AE58" s="3820"/>
      <c r="AF58" s="3820"/>
      <c r="AG58" s="3820"/>
      <c r="AH58" s="3821">
        <f>LARGE(AH4:AH57,1)+1</f>
        <v>55</v>
      </c>
      <c r="AI58" s="3822" t="s">
        <v>3380</v>
      </c>
      <c r="AJ58" s="3823"/>
      <c r="AK58" s="3821">
        <f>LARGE(AK4:AK57,1)+1</f>
        <v>111</v>
      </c>
      <c r="AL58" s="3822" t="s">
        <v>3381</v>
      </c>
      <c r="AM58" s="2090"/>
      <c r="AN58" s="2090"/>
      <c r="AO58" s="3193"/>
      <c r="AP58" s="3829" t="s">
        <v>3382</v>
      </c>
      <c r="AR58" s="3828"/>
      <c r="AS58" s="3191"/>
      <c r="AV58" s="3828">
        <v>10</v>
      </c>
      <c r="AW58" s="3830" t="s">
        <v>3383</v>
      </c>
      <c r="AX58" s="3830"/>
    </row>
    <row r="59" spans="2:50" ht="24" customHeight="1">
      <c r="V59" s="3825">
        <f>LARGE(V5:V58,1)+1</f>
        <v>52</v>
      </c>
      <c r="W59" s="3826" t="s">
        <v>1941</v>
      </c>
      <c r="X59" s="3825">
        <f>LARGE(X5:X58,1)+1</f>
        <v>108</v>
      </c>
      <c r="Y59" s="3826" t="s">
        <v>1979</v>
      </c>
      <c r="Z59" s="3825">
        <f>LARGE(Z5:Z58,1)+1</f>
        <v>159</v>
      </c>
      <c r="AA59" s="3826" t="s">
        <v>1796</v>
      </c>
      <c r="AB59" s="3825">
        <f>LARGE(AB5:AB58,1)+1</f>
        <v>215</v>
      </c>
      <c r="AC59" s="3826" t="s">
        <v>1957</v>
      </c>
      <c r="AD59" s="3825"/>
      <c r="AE59" s="3820"/>
      <c r="AF59" s="3820"/>
      <c r="AG59" s="3820"/>
      <c r="AH59" s="3821">
        <f>LARGE(AH4:AH58,1)+1</f>
        <v>56</v>
      </c>
      <c r="AI59" s="3822" t="s">
        <v>3384</v>
      </c>
      <c r="AJ59" s="3823"/>
      <c r="AK59" s="3821"/>
      <c r="AL59" s="3857"/>
      <c r="AM59" s="2090"/>
      <c r="AN59" s="2090"/>
      <c r="AO59" s="3193"/>
      <c r="AP59" s="3829" t="s">
        <v>3385</v>
      </c>
      <c r="AR59" s="3828"/>
      <c r="AS59" s="3191"/>
      <c r="AV59" s="3828">
        <v>11</v>
      </c>
      <c r="AW59" s="3830" t="s">
        <v>3386</v>
      </c>
      <c r="AX59" s="3830"/>
    </row>
    <row r="60" spans="2:50" ht="24" customHeight="1">
      <c r="V60" s="3825">
        <f>LARGE(V5:V59,1)+1</f>
        <v>53</v>
      </c>
      <c r="W60" s="3826" t="s">
        <v>3387</v>
      </c>
      <c r="X60" s="3825">
        <f>LARGE(X5:X59,1)+1</f>
        <v>109</v>
      </c>
      <c r="Y60" s="3826" t="s">
        <v>1980</v>
      </c>
      <c r="Z60" s="3825">
        <f>LARGE(Z5:Z59,1)+1</f>
        <v>160</v>
      </c>
      <c r="AA60" s="3826" t="s">
        <v>1805</v>
      </c>
      <c r="AB60" s="3825"/>
      <c r="AC60" s="3820"/>
      <c r="AD60" s="3825"/>
      <c r="AE60" s="3820"/>
      <c r="AF60" s="3820"/>
      <c r="AG60" s="3820"/>
      <c r="AH60" s="2090"/>
      <c r="AI60" s="2090"/>
      <c r="AJ60" s="2090"/>
      <c r="AK60" s="2090"/>
      <c r="AL60" s="2090"/>
      <c r="AM60" s="2090"/>
      <c r="AN60" s="2090"/>
      <c r="AO60" s="3193"/>
      <c r="AP60" s="3827" t="s">
        <v>1782</v>
      </c>
      <c r="AR60" s="3828">
        <v>1</v>
      </c>
      <c r="AS60" s="3830" t="s">
        <v>3388</v>
      </c>
      <c r="AV60" s="3828">
        <v>12</v>
      </c>
      <c r="AW60" s="3830" t="s">
        <v>3389</v>
      </c>
      <c r="AX60" s="3830"/>
    </row>
    <row r="61" spans="2:50" ht="20.25" customHeight="1">
      <c r="V61" s="3825">
        <f>LARGE(V5:V60,1)+1</f>
        <v>54</v>
      </c>
      <c r="W61" s="3826" t="s">
        <v>1945</v>
      </c>
      <c r="X61" s="3825">
        <f>LARGE(X5:X60,1)+1</f>
        <v>110</v>
      </c>
      <c r="Y61" s="3826" t="s">
        <v>1911</v>
      </c>
      <c r="Z61" s="3825">
        <f>LARGE(Z5:Z60,1)+1</f>
        <v>161</v>
      </c>
      <c r="AA61" s="3826" t="s">
        <v>1981</v>
      </c>
      <c r="AB61" s="3825"/>
      <c r="AC61" s="2095" t="s">
        <v>811</v>
      </c>
      <c r="AD61" s="3825"/>
      <c r="AE61" s="3820"/>
      <c r="AF61" s="3820"/>
      <c r="AG61" s="3820"/>
      <c r="AH61" s="2090"/>
      <c r="AI61" s="2090"/>
      <c r="AJ61" s="2090"/>
      <c r="AK61" s="2090"/>
      <c r="AL61" s="2090"/>
      <c r="AM61" s="2090"/>
      <c r="AN61" s="2090"/>
      <c r="AO61" s="3193"/>
      <c r="AP61" s="3829" t="s">
        <v>3390</v>
      </c>
      <c r="AR61" s="3828">
        <v>2</v>
      </c>
      <c r="AS61" s="3830" t="s">
        <v>3391</v>
      </c>
      <c r="AV61" s="3828"/>
      <c r="AW61" s="3830"/>
      <c r="AX61" s="3830"/>
    </row>
    <row r="62" spans="2:50" ht="20.25" customHeight="1">
      <c r="V62" s="3825">
        <f>LARGE(V5:V61,1)+1</f>
        <v>55</v>
      </c>
      <c r="W62" s="3826" t="s">
        <v>1978</v>
      </c>
      <c r="X62" s="3825">
        <f>LARGE(X5:X61,1)+1</f>
        <v>111</v>
      </c>
      <c r="Y62" s="3826" t="s">
        <v>1916</v>
      </c>
      <c r="Z62" s="3825">
        <f>LARGE(Z5:Z61,1)+1</f>
        <v>162</v>
      </c>
      <c r="AA62" s="3826" t="s">
        <v>1982</v>
      </c>
      <c r="AB62" s="3825">
        <f>LARGE(AB5:AB61,1)+1</f>
        <v>216</v>
      </c>
      <c r="AC62" s="3826" t="s">
        <v>1962</v>
      </c>
      <c r="AD62" s="3825"/>
      <c r="AE62" s="3820"/>
      <c r="AF62" s="3820"/>
      <c r="AG62" s="3820"/>
      <c r="AH62" s="2090"/>
      <c r="AI62" s="2090"/>
      <c r="AJ62" s="2090"/>
      <c r="AK62" s="2090"/>
      <c r="AL62" s="2090"/>
      <c r="AM62" s="2090"/>
      <c r="AN62" s="2090"/>
      <c r="AO62" s="3193"/>
      <c r="AP62" s="3829" t="s">
        <v>3392</v>
      </c>
      <c r="AR62" s="3828">
        <v>3</v>
      </c>
      <c r="AS62" s="3830" t="s">
        <v>3393</v>
      </c>
      <c r="AV62" s="3831" t="s">
        <v>469</v>
      </c>
      <c r="AW62" s="3832" t="s">
        <v>3394</v>
      </c>
      <c r="AX62" s="3830"/>
    </row>
    <row r="63" spans="2:50" ht="20.25" customHeight="1">
      <c r="V63" s="2090"/>
      <c r="W63" s="2090"/>
      <c r="X63" s="3825">
        <f>LARGE(X5:X62,1)+1</f>
        <v>112</v>
      </c>
      <c r="Y63" s="3826" t="s">
        <v>1921</v>
      </c>
      <c r="Z63" s="3825"/>
      <c r="AA63" s="2090"/>
      <c r="AB63" s="3825"/>
      <c r="AC63" s="2090"/>
      <c r="AD63" s="3825"/>
      <c r="AE63" s="2090"/>
      <c r="AF63" s="2090"/>
      <c r="AG63" s="2090"/>
      <c r="AH63" s="2090"/>
      <c r="AI63" s="2090"/>
      <c r="AJ63" s="2090"/>
      <c r="AK63" s="2090"/>
      <c r="AL63" s="2090"/>
      <c r="AM63" s="2090"/>
      <c r="AN63" s="2090"/>
      <c r="AO63" s="3193"/>
      <c r="AP63" s="3838" t="s">
        <v>3395</v>
      </c>
      <c r="AR63" s="3828">
        <v>4</v>
      </c>
      <c r="AS63" s="3830" t="s">
        <v>3396</v>
      </c>
      <c r="AV63" s="7092">
        <v>1</v>
      </c>
      <c r="AW63" s="7085" t="s">
        <v>3397</v>
      </c>
      <c r="AX63" s="7085"/>
    </row>
    <row r="64" spans="2:50" ht="20.25" customHeight="1">
      <c r="V64" s="2090"/>
      <c r="W64" s="2090"/>
      <c r="X64" s="3839"/>
      <c r="Y64" s="2090"/>
      <c r="Z64" s="2090"/>
      <c r="AA64" s="2090"/>
      <c r="AB64" s="2090"/>
      <c r="AC64" s="2090"/>
      <c r="AD64" s="2090"/>
      <c r="AE64" s="2090"/>
      <c r="AF64" s="2090"/>
      <c r="AG64" s="2090"/>
      <c r="AH64" s="2090"/>
      <c r="AI64" s="2090"/>
      <c r="AJ64" s="2090"/>
      <c r="AK64" s="2090"/>
      <c r="AL64" s="2090"/>
      <c r="AM64" s="2090"/>
      <c r="AN64" s="2090"/>
      <c r="AO64" s="3193"/>
      <c r="AP64" s="3838" t="s">
        <v>3398</v>
      </c>
      <c r="AR64" s="3828">
        <v>5</v>
      </c>
      <c r="AS64" s="3830" t="s">
        <v>3399</v>
      </c>
      <c r="AV64" s="7092"/>
      <c r="AW64" s="7085"/>
      <c r="AX64" s="7085"/>
    </row>
    <row r="65" spans="22:50" ht="20.25" customHeight="1">
      <c r="V65" s="2090"/>
      <c r="W65" s="2090"/>
      <c r="X65" s="3839"/>
      <c r="Y65" s="2090"/>
      <c r="Z65" s="2090"/>
      <c r="AA65" s="2090"/>
      <c r="AB65" s="2090"/>
      <c r="AC65" s="2090"/>
      <c r="AD65" s="2090"/>
      <c r="AE65" s="2090"/>
      <c r="AF65" s="2090"/>
      <c r="AG65" s="2090"/>
      <c r="AH65" s="2090"/>
      <c r="AI65" s="2090"/>
      <c r="AJ65" s="2090"/>
      <c r="AK65" s="2090"/>
      <c r="AL65" s="2090"/>
      <c r="AM65" s="2090"/>
      <c r="AN65" s="2090"/>
      <c r="AO65" s="3193"/>
      <c r="AP65" s="3829" t="s">
        <v>3400</v>
      </c>
      <c r="AR65" s="3828">
        <v>6</v>
      </c>
      <c r="AS65" s="3830" t="s">
        <v>3401</v>
      </c>
      <c r="AV65" s="3828">
        <v>2</v>
      </c>
      <c r="AW65" s="3830" t="s">
        <v>3402</v>
      </c>
      <c r="AX65" s="3830"/>
    </row>
    <row r="66" spans="22:50" ht="20.25" customHeight="1">
      <c r="V66" s="2090"/>
      <c r="W66" s="3824" t="s">
        <v>723</v>
      </c>
      <c r="X66" s="3311" t="s">
        <v>3403</v>
      </c>
      <c r="Y66" s="1425"/>
      <c r="Z66" s="2090"/>
      <c r="AA66" s="2090"/>
      <c r="AB66" s="2090"/>
      <c r="AC66" s="2090"/>
      <c r="AD66" s="2090"/>
      <c r="AE66" s="2090"/>
      <c r="AF66" s="2090"/>
      <c r="AG66" s="2090"/>
      <c r="AH66" s="2090"/>
      <c r="AI66" s="2090"/>
      <c r="AJ66" s="2090"/>
      <c r="AK66" s="2090"/>
      <c r="AL66" s="2090"/>
      <c r="AM66" s="2090"/>
      <c r="AN66" s="2090"/>
      <c r="AO66" s="3193"/>
      <c r="AP66" s="3829" t="s">
        <v>3404</v>
      </c>
      <c r="AR66" s="3828">
        <v>7</v>
      </c>
      <c r="AS66" s="3830" t="s">
        <v>3405</v>
      </c>
      <c r="AV66" s="3828">
        <v>3</v>
      </c>
      <c r="AW66" s="3830" t="s">
        <v>3406</v>
      </c>
      <c r="AX66" s="3830"/>
    </row>
    <row r="67" spans="22:50" ht="20.25" customHeight="1">
      <c r="V67" s="2090"/>
      <c r="W67" s="3824" t="s">
        <v>723</v>
      </c>
      <c r="X67" s="3311" t="s">
        <v>3407</v>
      </c>
      <c r="Y67" s="1425"/>
      <c r="Z67" s="2090"/>
      <c r="AA67" s="2090"/>
      <c r="AB67" s="2090"/>
      <c r="AC67" s="2090"/>
      <c r="AD67" s="2090"/>
      <c r="AE67" s="2090"/>
      <c r="AF67" s="2090"/>
      <c r="AG67" s="2090"/>
      <c r="AH67" s="2090"/>
      <c r="AI67" s="2090"/>
      <c r="AJ67" s="2090"/>
      <c r="AK67" s="2090"/>
      <c r="AL67" s="2090"/>
      <c r="AM67" s="2090"/>
      <c r="AN67" s="2090"/>
      <c r="AO67" s="3193"/>
      <c r="AP67" s="3827" t="s">
        <v>20</v>
      </c>
      <c r="AR67" s="3828">
        <v>8</v>
      </c>
      <c r="AS67" s="3830" t="s">
        <v>3408</v>
      </c>
      <c r="AV67" s="3828">
        <v>4</v>
      </c>
      <c r="AW67" s="3830" t="s">
        <v>3409</v>
      </c>
      <c r="AX67" s="3830"/>
    </row>
    <row r="68" spans="22:50" ht="27" customHeight="1">
      <c r="V68" s="2090"/>
      <c r="W68" s="3824" t="s">
        <v>3410</v>
      </c>
      <c r="X68" s="3311" t="s">
        <v>3411</v>
      </c>
      <c r="Y68" s="3858"/>
      <c r="Z68" s="2090"/>
      <c r="AA68" s="2090"/>
      <c r="AB68" s="2090"/>
      <c r="AC68" s="2090"/>
      <c r="AD68" s="2090"/>
      <c r="AE68" s="2090"/>
      <c r="AF68" s="2090"/>
      <c r="AG68" s="2090"/>
      <c r="AH68" s="2090"/>
      <c r="AI68" s="2090"/>
      <c r="AJ68" s="2090"/>
      <c r="AK68" s="2090"/>
      <c r="AL68" s="2090"/>
      <c r="AM68" s="2090"/>
      <c r="AN68" s="2090"/>
      <c r="AO68" s="3193"/>
      <c r="AP68" s="3829" t="s">
        <v>3412</v>
      </c>
      <c r="AR68" s="3828">
        <v>9</v>
      </c>
      <c r="AS68" s="3830" t="s">
        <v>3413</v>
      </c>
      <c r="AV68" s="3828">
        <v>5</v>
      </c>
      <c r="AW68" s="3830" t="s">
        <v>3414</v>
      </c>
      <c r="AX68" s="3830"/>
    </row>
    <row r="69" spans="22:50" ht="18.75">
      <c r="V69" s="2090"/>
      <c r="W69" s="2090"/>
      <c r="X69" s="2090"/>
      <c r="Y69" s="2090"/>
      <c r="Z69" s="2090"/>
      <c r="AA69" s="2090"/>
      <c r="AB69" s="2090"/>
      <c r="AC69" s="2090"/>
      <c r="AD69" s="2090"/>
      <c r="AE69" s="2090"/>
      <c r="AF69" s="2090"/>
      <c r="AG69" s="2090"/>
      <c r="AH69" s="2090"/>
      <c r="AI69" s="2090"/>
      <c r="AJ69" s="2090"/>
      <c r="AK69" s="2090"/>
      <c r="AL69" s="2090"/>
      <c r="AM69" s="2090"/>
      <c r="AN69" s="2090"/>
      <c r="AO69" s="3193"/>
      <c r="AP69" s="3829" t="s">
        <v>3415</v>
      </c>
      <c r="AR69" s="3828">
        <v>10</v>
      </c>
      <c r="AS69" s="3830" t="s">
        <v>3416</v>
      </c>
      <c r="AV69" s="3828"/>
      <c r="AW69" s="3830"/>
      <c r="AX69" s="3830"/>
    </row>
    <row r="70" spans="22:50" ht="30">
      <c r="V70" s="2090"/>
      <c r="W70" s="2090"/>
      <c r="X70" s="2090"/>
      <c r="Y70" s="2090"/>
      <c r="Z70" s="2090"/>
      <c r="AA70" s="2090"/>
      <c r="AB70" s="2090"/>
      <c r="AC70" s="2090"/>
      <c r="AD70" s="2090"/>
      <c r="AE70" s="2090"/>
      <c r="AF70" s="2090"/>
      <c r="AG70" s="2090"/>
      <c r="AH70" s="2090"/>
      <c r="AI70" s="2090"/>
      <c r="AJ70" s="2090"/>
      <c r="AK70" s="2090"/>
      <c r="AL70" s="2090"/>
      <c r="AM70" s="2090"/>
      <c r="AN70" s="2090"/>
      <c r="AO70" s="3193"/>
      <c r="AP70" s="3827" t="s">
        <v>398</v>
      </c>
      <c r="AR70" s="3828">
        <v>11</v>
      </c>
      <c r="AS70" s="3830" t="s">
        <v>3417</v>
      </c>
      <c r="AV70" s="3831" t="s">
        <v>464</v>
      </c>
      <c r="AW70" s="3832" t="s">
        <v>1935</v>
      </c>
      <c r="AX70" s="3830"/>
    </row>
    <row r="71" spans="22:50" ht="18.75">
      <c r="V71" s="2090"/>
      <c r="W71" s="2090"/>
      <c r="X71" s="2090"/>
      <c r="Y71" s="2090"/>
      <c r="Z71" s="2090"/>
      <c r="AA71" s="2090"/>
      <c r="AB71" s="2090"/>
      <c r="AC71" s="2090"/>
      <c r="AD71" s="2090"/>
      <c r="AE71" s="2090"/>
      <c r="AF71" s="2090"/>
      <c r="AG71" s="2090"/>
      <c r="AH71" s="2090"/>
      <c r="AI71" s="2090"/>
      <c r="AJ71" s="2090"/>
      <c r="AK71" s="2090"/>
      <c r="AL71" s="2090"/>
      <c r="AM71" s="2090"/>
      <c r="AN71" s="2090"/>
      <c r="AO71" s="3193"/>
      <c r="AP71" s="3829" t="s">
        <v>3418</v>
      </c>
      <c r="AR71" s="3828">
        <v>12</v>
      </c>
      <c r="AS71" s="3830" t="s">
        <v>3419</v>
      </c>
      <c r="AV71" s="3828">
        <v>1</v>
      </c>
      <c r="AW71" s="3830" t="s">
        <v>3420</v>
      </c>
      <c r="AX71" s="3830"/>
    </row>
    <row r="72" spans="22:50" ht="18.75">
      <c r="V72" s="2090"/>
      <c r="W72" s="2090"/>
      <c r="X72" s="2090"/>
      <c r="Y72" s="2090"/>
      <c r="Z72" s="2090"/>
      <c r="AA72" s="2090"/>
      <c r="AB72" s="2090"/>
      <c r="AC72" s="2090"/>
      <c r="AD72" s="2090"/>
      <c r="AE72" s="2090"/>
      <c r="AF72" s="2090"/>
      <c r="AG72" s="2090"/>
      <c r="AH72" s="2090"/>
      <c r="AI72" s="2090"/>
      <c r="AJ72" s="2090"/>
      <c r="AK72" s="2090"/>
      <c r="AL72" s="2090"/>
      <c r="AM72" s="2090"/>
      <c r="AN72" s="2090"/>
      <c r="AO72" s="3193"/>
      <c r="AP72" s="3829" t="s">
        <v>3421</v>
      </c>
      <c r="AR72" s="3828"/>
      <c r="AS72" s="3191"/>
      <c r="AV72" s="3828">
        <v>2</v>
      </c>
      <c r="AW72" s="3830" t="s">
        <v>3422</v>
      </c>
      <c r="AX72" s="3830"/>
    </row>
    <row r="73" spans="22:50" ht="30">
      <c r="V73" s="2090"/>
      <c r="W73" s="2090"/>
      <c r="X73" s="2090"/>
      <c r="Y73" s="2090"/>
      <c r="Z73" s="2090"/>
      <c r="AA73" s="2090"/>
      <c r="AB73" s="2090"/>
      <c r="AC73" s="2090"/>
      <c r="AD73" s="2090"/>
      <c r="AE73" s="2090"/>
      <c r="AF73" s="2090"/>
      <c r="AG73" s="2090"/>
      <c r="AH73" s="2090"/>
      <c r="AI73" s="2090"/>
      <c r="AJ73" s="2090"/>
      <c r="AK73" s="2090"/>
      <c r="AL73" s="2090"/>
      <c r="AM73" s="2090"/>
      <c r="AN73" s="2090"/>
      <c r="AO73" s="3193"/>
      <c r="AP73" s="3827" t="s">
        <v>807</v>
      </c>
      <c r="AR73" s="3828"/>
      <c r="AS73" s="3191"/>
      <c r="AV73" s="3828">
        <v>3</v>
      </c>
      <c r="AW73" s="3830" t="s">
        <v>3423</v>
      </c>
      <c r="AX73" s="3830"/>
    </row>
    <row r="74" spans="22:50" ht="18.75">
      <c r="V74" s="2090"/>
      <c r="Z74" s="2090"/>
      <c r="AA74" s="2090"/>
      <c r="AB74" s="2090"/>
      <c r="AC74" s="2090"/>
      <c r="AD74" s="2090"/>
      <c r="AE74" s="2090"/>
      <c r="AF74" s="2090"/>
      <c r="AG74" s="2090"/>
      <c r="AH74" s="2090"/>
      <c r="AI74" s="2090"/>
      <c r="AJ74" s="2090"/>
      <c r="AK74" s="2090"/>
      <c r="AL74" s="2090"/>
      <c r="AN74" s="2090"/>
      <c r="AO74" s="3193"/>
      <c r="AP74" s="3829" t="s">
        <v>3424</v>
      </c>
      <c r="AR74" s="3828">
        <v>1</v>
      </c>
      <c r="AS74" s="3830" t="s">
        <v>3425</v>
      </c>
      <c r="AV74" s="7092">
        <v>4</v>
      </c>
      <c r="AW74" s="7098" t="s">
        <v>3426</v>
      </c>
      <c r="AX74" s="7098"/>
    </row>
    <row r="75" spans="22:50" ht="18.75">
      <c r="V75" s="2090"/>
      <c r="Z75" s="2090"/>
      <c r="AA75" s="2090"/>
      <c r="AB75" s="2090"/>
      <c r="AC75" s="2090"/>
      <c r="AD75" s="2090"/>
      <c r="AE75" s="2090"/>
      <c r="AF75" s="2090"/>
      <c r="AG75" s="2090"/>
      <c r="AH75" s="2090"/>
      <c r="AI75" s="2090"/>
      <c r="AJ75" s="2090"/>
      <c r="AK75" s="2090"/>
      <c r="AL75" s="2090"/>
      <c r="AN75" s="2090"/>
      <c r="AO75" s="3193"/>
      <c r="AP75" s="3829" t="s">
        <v>3427</v>
      </c>
      <c r="AR75" s="3828">
        <v>2</v>
      </c>
      <c r="AS75" s="3830" t="s">
        <v>3428</v>
      </c>
      <c r="AV75" s="7092"/>
      <c r="AW75" s="7098"/>
      <c r="AX75" s="7098"/>
    </row>
    <row r="76" spans="22:50" ht="18.75">
      <c r="V76" s="2090"/>
      <c r="Z76" s="2090"/>
      <c r="AA76" s="2090"/>
      <c r="AB76" s="2090"/>
      <c r="AC76" s="2090"/>
      <c r="AD76" s="2090"/>
      <c r="AE76" s="2090"/>
      <c r="AF76" s="2090"/>
      <c r="AG76" s="2090"/>
      <c r="AH76" s="2090"/>
      <c r="AI76" s="2090"/>
      <c r="AJ76" s="2090"/>
      <c r="AK76" s="2090"/>
      <c r="AL76" s="2090"/>
      <c r="AN76" s="2090"/>
      <c r="AO76" s="3193"/>
      <c r="AP76" s="3829" t="s">
        <v>3429</v>
      </c>
      <c r="AR76" s="3828">
        <v>3</v>
      </c>
      <c r="AS76" s="3830" t="s">
        <v>3430</v>
      </c>
      <c r="AV76" s="3828"/>
      <c r="AW76" s="3830"/>
      <c r="AX76" s="3830"/>
    </row>
    <row r="77" spans="22:50" ht="18.75">
      <c r="AN77" s="2090"/>
      <c r="AO77" s="3193"/>
      <c r="AP77" s="3829" t="s">
        <v>3431</v>
      </c>
      <c r="AR77" s="3828">
        <v>4</v>
      </c>
      <c r="AS77" s="3830" t="s">
        <v>3432</v>
      </c>
      <c r="AV77" s="3831" t="s">
        <v>461</v>
      </c>
      <c r="AW77" s="3832" t="s">
        <v>3433</v>
      </c>
      <c r="AX77" s="3830"/>
    </row>
    <row r="78" spans="22:50" ht="18.75">
      <c r="AN78" s="2090"/>
      <c r="AO78" s="3193"/>
      <c r="AP78" s="3838" t="s">
        <v>3434</v>
      </c>
      <c r="AR78" s="3828">
        <v>5</v>
      </c>
      <c r="AS78" s="3830" t="s">
        <v>3435</v>
      </c>
      <c r="AV78" s="3828">
        <v>1</v>
      </c>
      <c r="AW78" s="3830" t="s">
        <v>3436</v>
      </c>
      <c r="AX78" s="3830"/>
    </row>
    <row r="79" spans="22:50" ht="18.75">
      <c r="AN79" s="2090"/>
      <c r="AO79" s="3193"/>
      <c r="AP79" s="3838" t="s">
        <v>3437</v>
      </c>
      <c r="AR79" s="3828">
        <v>6</v>
      </c>
      <c r="AS79" s="3830" t="s">
        <v>3438</v>
      </c>
      <c r="AV79" s="3828">
        <v>2</v>
      </c>
      <c r="AW79" s="7085" t="s">
        <v>3439</v>
      </c>
      <c r="AX79" s="7085"/>
    </row>
    <row r="80" spans="22:50" ht="18.75">
      <c r="AN80" s="2090"/>
      <c r="AO80" s="3193"/>
      <c r="AP80" s="3829" t="s">
        <v>3440</v>
      </c>
      <c r="AR80" s="3828">
        <v>7</v>
      </c>
      <c r="AS80" s="3830" t="s">
        <v>3441</v>
      </c>
      <c r="AV80" s="3828">
        <v>3</v>
      </c>
      <c r="AW80" s="7085"/>
      <c r="AX80" s="7085"/>
    </row>
    <row r="81" spans="40:50" ht="30">
      <c r="AN81" s="2090"/>
      <c r="AO81" s="3193"/>
      <c r="AP81" s="3827" t="s">
        <v>808</v>
      </c>
      <c r="AR81" s="3828">
        <v>8</v>
      </c>
      <c r="AS81" s="3830" t="s">
        <v>3442</v>
      </c>
      <c r="AV81" s="3828"/>
      <c r="AW81" s="3830"/>
      <c r="AX81" s="3830"/>
    </row>
    <row r="82" spans="40:50" ht="18.75">
      <c r="AN82" s="2090"/>
      <c r="AO82" s="3193"/>
      <c r="AP82" s="3829" t="s">
        <v>3443</v>
      </c>
      <c r="AR82" s="3828">
        <v>9</v>
      </c>
      <c r="AS82" s="3830" t="s">
        <v>3444</v>
      </c>
      <c r="AV82" s="3859" t="s">
        <v>3445</v>
      </c>
      <c r="AW82" s="3860" t="s">
        <v>3446</v>
      </c>
      <c r="AX82" s="3830"/>
    </row>
    <row r="83" spans="40:50" ht="30">
      <c r="AN83" s="2090"/>
      <c r="AO83" s="3193"/>
      <c r="AP83" s="3827" t="s">
        <v>810</v>
      </c>
      <c r="AR83" s="3828">
        <v>10</v>
      </c>
      <c r="AS83" s="3830" t="s">
        <v>3215</v>
      </c>
      <c r="AV83" s="3859" t="s">
        <v>717</v>
      </c>
      <c r="AW83" s="7085" t="s">
        <v>3447</v>
      </c>
      <c r="AX83" s="7085"/>
    </row>
    <row r="84" spans="40:50" ht="25.5">
      <c r="AN84" s="2090"/>
      <c r="AO84" s="3193"/>
      <c r="AP84" s="3829" t="s">
        <v>3448</v>
      </c>
      <c r="AR84" s="3828">
        <v>11</v>
      </c>
      <c r="AS84" s="3830" t="s">
        <v>3449</v>
      </c>
      <c r="AV84" s="3828"/>
      <c r="AW84" s="7085"/>
      <c r="AX84" s="7085"/>
    </row>
    <row r="85" spans="40:50" ht="18.75">
      <c r="AN85" s="2090"/>
      <c r="AO85" s="3193"/>
      <c r="AP85" s="3829" t="s">
        <v>3450</v>
      </c>
      <c r="AR85" s="3828">
        <v>12</v>
      </c>
      <c r="AS85" s="3830" t="s">
        <v>3451</v>
      </c>
      <c r="AV85" s="3859" t="s">
        <v>718</v>
      </c>
      <c r="AW85" s="7085" t="s">
        <v>3452</v>
      </c>
      <c r="AX85" s="7085"/>
    </row>
    <row r="86" spans="40:50" ht="18.75">
      <c r="AN86" s="2090"/>
      <c r="AO86" s="3193"/>
      <c r="AP86" s="3829" t="s">
        <v>3453</v>
      </c>
      <c r="AR86" s="3828">
        <v>13</v>
      </c>
      <c r="AS86" s="3830" t="s">
        <v>3454</v>
      </c>
      <c r="AV86" s="3828"/>
      <c r="AW86" s="7085"/>
      <c r="AX86" s="7085"/>
    </row>
    <row r="87" spans="40:50" ht="18.75">
      <c r="AN87" s="2090"/>
      <c r="AO87" s="3193"/>
      <c r="AP87" s="3829" t="s">
        <v>3455</v>
      </c>
      <c r="AR87" s="3828">
        <v>14</v>
      </c>
      <c r="AS87" s="3830" t="s">
        <v>3456</v>
      </c>
      <c r="AV87" s="3859" t="s">
        <v>719</v>
      </c>
      <c r="AW87" s="3830" t="s">
        <v>3457</v>
      </c>
      <c r="AX87" s="3830"/>
    </row>
    <row r="88" spans="40:50" ht="18.75">
      <c r="AN88" s="2090"/>
      <c r="AO88" s="3193"/>
      <c r="AP88" s="3829" t="s">
        <v>3458</v>
      </c>
      <c r="AR88" s="3828">
        <v>15</v>
      </c>
      <c r="AS88" s="3830" t="s">
        <v>3459</v>
      </c>
      <c r="AV88" s="3859">
        <v>1</v>
      </c>
      <c r="AW88" s="3830" t="s">
        <v>3460</v>
      </c>
      <c r="AX88" s="3830"/>
    </row>
    <row r="89" spans="40:50" ht="18.75">
      <c r="AN89" s="2090"/>
      <c r="AO89" s="3193"/>
      <c r="AP89" s="3829" t="s">
        <v>3461</v>
      </c>
      <c r="AR89" s="3828">
        <v>16</v>
      </c>
      <c r="AS89" s="3830" t="s">
        <v>3462</v>
      </c>
      <c r="AV89" s="3859">
        <v>2</v>
      </c>
      <c r="AW89" s="3830" t="s">
        <v>3463</v>
      </c>
      <c r="AX89" s="3830"/>
    </row>
    <row r="90" spans="40:50" ht="25.5">
      <c r="AN90" s="2090"/>
      <c r="AO90" s="3193"/>
      <c r="AP90" s="3829" t="s">
        <v>3464</v>
      </c>
      <c r="AR90" s="3828"/>
      <c r="AS90" s="3191"/>
      <c r="AV90" s="3859">
        <v>3</v>
      </c>
      <c r="AW90" s="3830" t="s">
        <v>3465</v>
      </c>
      <c r="AX90" s="3830"/>
    </row>
    <row r="91" spans="40:50" ht="18.75">
      <c r="AN91" s="2090"/>
      <c r="AO91" s="3193"/>
      <c r="AP91" s="3829" t="s">
        <v>3466</v>
      </c>
      <c r="AR91" s="3828"/>
      <c r="AS91" s="3191"/>
      <c r="AV91" s="3859">
        <v>4</v>
      </c>
      <c r="AW91" s="3830" t="s">
        <v>3467</v>
      </c>
      <c r="AX91" s="3830"/>
    </row>
    <row r="92" spans="40:50" ht="25.5">
      <c r="AN92" s="2090"/>
      <c r="AO92" s="3193"/>
      <c r="AP92" s="3829" t="s">
        <v>3468</v>
      </c>
      <c r="AR92" s="3828">
        <v>1</v>
      </c>
      <c r="AS92" s="3830" t="s">
        <v>3469</v>
      </c>
      <c r="AV92" s="3828"/>
      <c r="AW92" s="3830"/>
      <c r="AX92" s="3830"/>
    </row>
    <row r="93" spans="40:50" ht="30">
      <c r="AN93" s="2090"/>
      <c r="AO93" s="3193"/>
      <c r="AP93" s="3827" t="s">
        <v>812</v>
      </c>
      <c r="AR93" s="3828">
        <v>2</v>
      </c>
      <c r="AS93" s="3830" t="s">
        <v>3470</v>
      </c>
      <c r="AV93" s="3828"/>
      <c r="AW93" s="3830"/>
      <c r="AX93" s="3830"/>
    </row>
    <row r="94" spans="40:50" ht="18.75">
      <c r="AN94" s="2090"/>
      <c r="AO94" s="3193"/>
      <c r="AP94" s="3829" t="s">
        <v>3471</v>
      </c>
      <c r="AR94" s="3828">
        <v>3</v>
      </c>
      <c r="AS94" s="3830" t="s">
        <v>3472</v>
      </c>
      <c r="AV94" s="3828"/>
      <c r="AW94" s="7098" t="s">
        <v>3473</v>
      </c>
      <c r="AX94" s="7098"/>
    </row>
    <row r="95" spans="40:50" ht="18.75">
      <c r="AN95" s="2090"/>
      <c r="AO95" s="3193"/>
      <c r="AP95" s="3829" t="s">
        <v>3474</v>
      </c>
      <c r="AR95" s="3828">
        <v>4</v>
      </c>
      <c r="AS95" s="3830" t="s">
        <v>3475</v>
      </c>
      <c r="AV95" s="3828"/>
      <c r="AW95" s="7098"/>
      <c r="AX95" s="7098"/>
    </row>
    <row r="96" spans="40:50" ht="18.75">
      <c r="AN96" s="2090"/>
      <c r="AO96" s="3193"/>
      <c r="AP96" s="3829" t="s">
        <v>3476</v>
      </c>
      <c r="AR96" s="3828">
        <v>5</v>
      </c>
      <c r="AS96" s="3830" t="s">
        <v>3477</v>
      </c>
      <c r="AV96" s="3828"/>
      <c r="AW96" s="7098" t="s">
        <v>3478</v>
      </c>
      <c r="AX96" s="7098"/>
    </row>
    <row r="97" spans="40:50" ht="18.75">
      <c r="AN97" s="2090"/>
      <c r="AO97" s="3193"/>
      <c r="AP97" s="3829" t="s">
        <v>3479</v>
      </c>
      <c r="AR97" s="3828">
        <v>6</v>
      </c>
      <c r="AS97" s="3830" t="s">
        <v>3480</v>
      </c>
      <c r="AV97" s="3828"/>
      <c r="AW97" s="7098"/>
      <c r="AX97" s="7098"/>
    </row>
    <row r="98" spans="40:50" ht="30">
      <c r="AN98" s="2090"/>
      <c r="AO98" s="3193"/>
      <c r="AP98" s="3827" t="s">
        <v>12</v>
      </c>
      <c r="AR98" s="3828">
        <v>7</v>
      </c>
      <c r="AS98" s="3830" t="s">
        <v>3481</v>
      </c>
      <c r="AV98" s="3828"/>
      <c r="AW98" s="7098"/>
      <c r="AX98" s="7098"/>
    </row>
    <row r="99" spans="40:50" ht="18.75">
      <c r="AN99" s="2090"/>
      <c r="AO99" s="3193"/>
      <c r="AP99" s="3829" t="s">
        <v>3482</v>
      </c>
      <c r="AR99" s="3828">
        <v>8</v>
      </c>
      <c r="AS99" s="3830" t="s">
        <v>3483</v>
      </c>
      <c r="AV99" s="3828"/>
      <c r="AW99" s="3861" t="s">
        <v>3484</v>
      </c>
      <c r="AX99" s="3830"/>
    </row>
    <row r="100" spans="40:50" ht="30">
      <c r="AN100" s="2090"/>
      <c r="AO100" s="3193"/>
      <c r="AP100" s="3827" t="s">
        <v>813</v>
      </c>
      <c r="AR100" s="3828">
        <v>9</v>
      </c>
      <c r="AS100" s="3830" t="s">
        <v>3485</v>
      </c>
      <c r="AV100" s="3828"/>
      <c r="AW100" s="7099" t="s">
        <v>3486</v>
      </c>
      <c r="AX100" s="7099"/>
    </row>
    <row r="101" spans="40:50" ht="18.75">
      <c r="AN101" s="2090"/>
      <c r="AO101" s="3193"/>
      <c r="AP101" s="3829" t="s">
        <v>3487</v>
      </c>
      <c r="AR101" s="3828">
        <v>10</v>
      </c>
      <c r="AS101" s="3830" t="s">
        <v>3488</v>
      </c>
      <c r="AV101" s="3828"/>
      <c r="AW101" s="7099" t="s">
        <v>3489</v>
      </c>
      <c r="AX101" s="7099"/>
    </row>
    <row r="102" spans="40:50" ht="18.75">
      <c r="AN102" s="2090"/>
      <c r="AO102" s="3193"/>
      <c r="AP102" s="3193"/>
      <c r="AR102" s="3828">
        <v>11</v>
      </c>
      <c r="AS102" s="3830" t="s">
        <v>3490</v>
      </c>
      <c r="AV102" s="3828"/>
      <c r="AW102" s="7099" t="s">
        <v>3491</v>
      </c>
      <c r="AX102" s="7099"/>
    </row>
    <row r="103" spans="40:50" ht="18.75">
      <c r="AN103" s="2090"/>
      <c r="AO103" s="3193"/>
      <c r="AP103" s="3829" t="s">
        <v>3492</v>
      </c>
      <c r="AR103" s="3828">
        <v>12</v>
      </c>
      <c r="AS103" s="3830" t="s">
        <v>3493</v>
      </c>
      <c r="AV103" s="3828"/>
      <c r="AW103" s="3830"/>
      <c r="AX103" s="3830"/>
    </row>
    <row r="104" spans="40:50" ht="18.75">
      <c r="AN104" s="2090"/>
      <c r="AO104" s="3193"/>
      <c r="AP104" s="3829" t="s">
        <v>3494</v>
      </c>
      <c r="AR104" s="3828">
        <v>13</v>
      </c>
      <c r="AS104" s="3830" t="s">
        <v>3495</v>
      </c>
    </row>
    <row r="105" spans="40:50" ht="18.75">
      <c r="AN105" s="2090"/>
      <c r="AO105" s="3193"/>
      <c r="AP105" s="3838" t="s">
        <v>3496</v>
      </c>
      <c r="AR105" s="3828">
        <v>14</v>
      </c>
      <c r="AS105" s="3830" t="s">
        <v>3497</v>
      </c>
    </row>
    <row r="106" spans="40:50" ht="18.75">
      <c r="AN106" s="2090"/>
      <c r="AO106" s="3193"/>
      <c r="AP106" s="3838" t="s">
        <v>3498</v>
      </c>
      <c r="AR106" s="3828">
        <v>15</v>
      </c>
      <c r="AS106" s="3830" t="s">
        <v>3499</v>
      </c>
    </row>
    <row r="107" spans="40:50" ht="30">
      <c r="AN107" s="2090"/>
      <c r="AO107" s="3193"/>
      <c r="AP107" s="3827" t="s">
        <v>1834</v>
      </c>
      <c r="AR107" s="3828"/>
      <c r="AS107" s="3830"/>
    </row>
    <row r="108" spans="40:50" ht="18.75">
      <c r="AN108" s="2090"/>
      <c r="AO108" s="3193"/>
      <c r="AP108" s="3829" t="s">
        <v>3500</v>
      </c>
      <c r="AR108" s="3828"/>
      <c r="AS108" s="3191"/>
    </row>
    <row r="109" spans="40:50" ht="30">
      <c r="AN109" s="2090"/>
      <c r="AO109" s="3193"/>
      <c r="AP109" s="3827" t="s">
        <v>597</v>
      </c>
      <c r="AR109" s="3828">
        <v>1</v>
      </c>
      <c r="AS109" s="3830" t="s">
        <v>3501</v>
      </c>
    </row>
    <row r="110" spans="40:50" ht="18.75">
      <c r="AN110" s="2090"/>
      <c r="AO110" s="3193"/>
      <c r="AP110" s="3829" t="s">
        <v>3502</v>
      </c>
      <c r="AR110" s="3828">
        <v>2</v>
      </c>
      <c r="AS110" s="3830" t="s">
        <v>3503</v>
      </c>
    </row>
    <row r="111" spans="40:50" ht="18.75">
      <c r="AN111" s="2090"/>
      <c r="AO111" s="3193"/>
      <c r="AP111" s="3829" t="s">
        <v>3504</v>
      </c>
      <c r="AR111" s="3828">
        <v>3</v>
      </c>
      <c r="AS111" s="3830" t="s">
        <v>3505</v>
      </c>
    </row>
    <row r="112" spans="40:50" ht="18.75">
      <c r="AN112" s="2090"/>
      <c r="AO112" s="3193"/>
      <c r="AP112" s="3193"/>
      <c r="AR112" s="3828">
        <v>4</v>
      </c>
      <c r="AS112" s="3830" t="s">
        <v>3506</v>
      </c>
    </row>
    <row r="113" spans="40:45" ht="18.75">
      <c r="AN113" s="2090"/>
      <c r="AO113" s="3193"/>
      <c r="AP113" s="3193"/>
      <c r="AR113" s="3828">
        <v>5</v>
      </c>
      <c r="AS113" s="3830" t="s">
        <v>3507</v>
      </c>
    </row>
    <row r="114" spans="40:45" ht="18.75">
      <c r="AN114" s="2090"/>
      <c r="AO114" s="3824" t="s">
        <v>723</v>
      </c>
      <c r="AP114" s="3862" t="s">
        <v>3508</v>
      </c>
      <c r="AR114" s="3828">
        <v>6</v>
      </c>
      <c r="AS114" s="3830" t="s">
        <v>3509</v>
      </c>
    </row>
    <row r="115" spans="40:45" ht="18.75">
      <c r="AN115" s="2090"/>
      <c r="AO115" s="3863"/>
      <c r="AP115" s="3862"/>
      <c r="AR115" s="3828">
        <v>7</v>
      </c>
      <c r="AS115" s="3830" t="s">
        <v>3510</v>
      </c>
    </row>
    <row r="116" spans="40:45" ht="18.75">
      <c r="AN116" s="2090"/>
      <c r="AO116" s="3824" t="s">
        <v>723</v>
      </c>
      <c r="AP116" s="3862" t="s">
        <v>3511</v>
      </c>
      <c r="AR116" s="3828">
        <v>8</v>
      </c>
      <c r="AS116" s="3830" t="s">
        <v>3512</v>
      </c>
    </row>
    <row r="117" spans="40:45" ht="18.75">
      <c r="AN117" s="2090"/>
      <c r="AP117" s="3193"/>
      <c r="AR117" s="3828"/>
      <c r="AS117" s="3191"/>
    </row>
    <row r="118" spans="40:45" ht="18.75">
      <c r="AN118" s="2090"/>
      <c r="AO118" s="3824" t="s">
        <v>723</v>
      </c>
      <c r="AP118" s="3862" t="s">
        <v>3513</v>
      </c>
      <c r="AR118" s="3828"/>
      <c r="AS118" s="3191"/>
    </row>
    <row r="119" spans="40:45" ht="18.75">
      <c r="AN119" s="2090"/>
      <c r="AR119" s="3828">
        <v>1</v>
      </c>
      <c r="AS119" s="3830" t="s">
        <v>3514</v>
      </c>
    </row>
    <row r="120" spans="40:45" ht="18.75">
      <c r="AN120" s="2090"/>
      <c r="AO120" s="3824" t="s">
        <v>723</v>
      </c>
      <c r="AP120" s="3862" t="s">
        <v>3515</v>
      </c>
      <c r="AR120" s="3828">
        <v>2</v>
      </c>
      <c r="AS120" s="3830" t="s">
        <v>3516</v>
      </c>
    </row>
    <row r="121" spans="40:45" ht="18.75">
      <c r="AN121" s="2090"/>
      <c r="AR121" s="3828">
        <v>3</v>
      </c>
      <c r="AS121" s="3830" t="s">
        <v>3517</v>
      </c>
    </row>
    <row r="122" spans="40:45" ht="18.75">
      <c r="AN122" s="2090"/>
      <c r="AO122" s="3824" t="s">
        <v>723</v>
      </c>
      <c r="AP122" s="3862" t="s">
        <v>3518</v>
      </c>
      <c r="AR122" s="3828">
        <v>4</v>
      </c>
      <c r="AS122" s="3830" t="s">
        <v>3519</v>
      </c>
    </row>
    <row r="123" spans="40:45" ht="18.75">
      <c r="AN123" s="2090"/>
      <c r="AR123" s="3828">
        <v>5</v>
      </c>
      <c r="AS123" s="3830" t="s">
        <v>3520</v>
      </c>
    </row>
    <row r="124" spans="40:45" ht="18.75">
      <c r="AN124" s="2090"/>
      <c r="AR124" s="3828">
        <v>6</v>
      </c>
      <c r="AS124" s="3830" t="s">
        <v>3521</v>
      </c>
    </row>
    <row r="125" spans="40:45" ht="18.75">
      <c r="AR125" s="3828">
        <v>7</v>
      </c>
      <c r="AS125" s="3830" t="s">
        <v>3522</v>
      </c>
    </row>
    <row r="126" spans="40:45" ht="18.75">
      <c r="AR126" s="3828"/>
      <c r="AS126" s="3191"/>
    </row>
    <row r="127" spans="40:45" ht="18.75">
      <c r="AR127" s="3828"/>
      <c r="AS127" s="3191"/>
    </row>
    <row r="128" spans="40:45" ht="18.75">
      <c r="AR128" s="3828">
        <v>1</v>
      </c>
      <c r="AS128" s="3830" t="s">
        <v>3523</v>
      </c>
    </row>
    <row r="129" spans="44:45" ht="18.75">
      <c r="AR129" s="3828">
        <v>2</v>
      </c>
      <c r="AS129" s="3830" t="s">
        <v>3524</v>
      </c>
    </row>
    <row r="130" spans="44:45" ht="18.75">
      <c r="AR130" s="3828">
        <v>3</v>
      </c>
      <c r="AS130" s="3830" t="s">
        <v>3525</v>
      </c>
    </row>
    <row r="131" spans="44:45" ht="18.75">
      <c r="AR131" s="3828">
        <v>4</v>
      </c>
      <c r="AS131" s="3830" t="s">
        <v>3526</v>
      </c>
    </row>
  </sheetData>
  <mergeCells count="39">
    <mergeCell ref="AW102:AX102"/>
    <mergeCell ref="AW83:AX84"/>
    <mergeCell ref="AW85:AX86"/>
    <mergeCell ref="AW94:AX95"/>
    <mergeCell ref="AW96:AX98"/>
    <mergeCell ref="AW100:AX100"/>
    <mergeCell ref="AW101:AX101"/>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S23:AT24"/>
    <mergeCell ref="AS25:AT26"/>
    <mergeCell ref="AV27:AV28"/>
    <mergeCell ref="AW27:AX28"/>
    <mergeCell ref="AV31:AV32"/>
    <mergeCell ref="AW31:AX32"/>
    <mergeCell ref="AW19:AX20"/>
    <mergeCell ref="W2:AM2"/>
    <mergeCell ref="B3:J3"/>
    <mergeCell ref="L3:T3"/>
    <mergeCell ref="AR3:AT3"/>
    <mergeCell ref="AV3:AX3"/>
    <mergeCell ref="AR4:AT4"/>
    <mergeCell ref="AV4:AX4"/>
    <mergeCell ref="AS5:AT5"/>
    <mergeCell ref="AW5:AX6"/>
    <mergeCell ref="AW11:AX12"/>
    <mergeCell ref="AW15:AX16"/>
    <mergeCell ref="AW17:AX18"/>
  </mergeCells>
  <hyperlinks>
    <hyperlink ref="AP4" r:id="rId1" xr:uid="{00000000-0004-0000-1E00-000000000000}"/>
    <hyperlink ref="AP114" r:id="rId2" xr:uid="{00000000-0004-0000-1E00-000001000000}"/>
    <hyperlink ref="AP116" r:id="rId3" xr:uid="{00000000-0004-0000-1E00-000002000000}"/>
    <hyperlink ref="AP118" r:id="rId4" xr:uid="{00000000-0004-0000-1E00-000003000000}"/>
    <hyperlink ref="AP120" r:id="rId5" xr:uid="{00000000-0004-0000-1E00-000004000000}"/>
    <hyperlink ref="AP122" r:id="rId6" xr:uid="{00000000-0004-0000-1E00-000005000000}"/>
    <hyperlink ref="X68" r:id="rId7" xr:uid="{00000000-0004-0000-1E00-000006000000}"/>
    <hyperlink ref="X66" r:id="rId8" xr:uid="{00000000-0004-0000-1E00-000007000000}"/>
    <hyperlink ref="X67" r:id="rId9" xr:uid="{00000000-0004-0000-1E00-000008000000}"/>
    <hyperlink ref="AS23:AT24" r:id="rId10" display="source : Fiches techniques de cuisine Annette et Jean Pierre DOMERGUES" xr:uid="{00000000-0004-0000-1E00-000009000000}"/>
    <hyperlink ref="AW99" r:id="rId11" xr:uid="{00000000-0004-0000-1E00-00000A000000}"/>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M174"/>
  <sheetViews>
    <sheetView zoomScale="75" zoomScaleNormal="75" workbookViewId="0">
      <selection activeCell="AC9" sqref="AC9"/>
    </sheetView>
  </sheetViews>
  <sheetFormatPr baseColWidth="10" defaultRowHeight="12.75"/>
  <cols>
    <col min="1" max="1" width="1.625" style="642" customWidth="1"/>
    <col min="2" max="2" width="11.125" style="642" customWidth="1"/>
    <col min="3" max="3" width="2.875" style="642" customWidth="1"/>
    <col min="4" max="5" width="11.125" style="642" customWidth="1"/>
    <col min="6" max="6" width="2.875" style="642" customWidth="1"/>
    <col min="7" max="8" width="11.125" style="642" customWidth="1"/>
    <col min="9" max="9" width="2.875" style="642" customWidth="1"/>
    <col min="10" max="10" width="16.875" style="642" customWidth="1"/>
    <col min="11" max="11" width="11.125" style="642" customWidth="1"/>
    <col min="12" max="12" width="2.875" style="642" customWidth="1"/>
    <col min="13" max="13" width="18.375" style="642" customWidth="1"/>
    <col min="14" max="14" width="2.625" style="642" customWidth="1"/>
    <col min="15" max="15" width="11.125" style="642" customWidth="1"/>
    <col min="16" max="16" width="2.875" style="642" customWidth="1"/>
    <col min="17" max="17" width="11.875" style="642" customWidth="1"/>
    <col min="18" max="18" width="11.125" style="642" customWidth="1"/>
    <col min="19" max="19" width="2.875" style="642" customWidth="1"/>
    <col min="20" max="20" width="11.75" style="642" customWidth="1"/>
    <col min="21" max="21" width="11.125" style="642" customWidth="1"/>
    <col min="22" max="22" width="2.875" style="642" customWidth="1"/>
    <col min="23" max="23" width="17.25" style="642" customWidth="1"/>
    <col min="24" max="24" width="10" style="642" customWidth="1"/>
    <col min="25" max="25" width="2.875" style="642" customWidth="1"/>
    <col min="26" max="26" width="19" style="642" customWidth="1"/>
    <col min="27" max="27" width="2.625" style="642" customWidth="1"/>
    <col min="28" max="29" width="11" style="642"/>
    <col min="30" max="30" width="23.875" style="2045" customWidth="1"/>
    <col min="31" max="31" width="8.5" style="2045" customWidth="1"/>
    <col min="32" max="32" width="1.25" style="2045" customWidth="1"/>
    <col min="33" max="33" width="8.5" style="2045" customWidth="1"/>
    <col min="34" max="34" width="1.25" style="2045" customWidth="1"/>
    <col min="35" max="35" width="8.5" style="2045" customWidth="1"/>
    <col min="36" max="36" width="1.25" style="2045" customWidth="1"/>
    <col min="37" max="37" width="8.5" style="2045" customWidth="1"/>
    <col min="38" max="38" width="1.25" style="2045" customWidth="1"/>
    <col min="39" max="39" width="8.5" style="2045" customWidth="1"/>
    <col min="40" max="40" width="1.25" style="2045" customWidth="1"/>
    <col min="41" max="41" width="8.5" style="2045" customWidth="1"/>
    <col min="42" max="42" width="1.25" style="2045" customWidth="1"/>
    <col min="43" max="43" width="8.5" style="2045" customWidth="1"/>
    <col min="44" max="44" width="1.25" style="2045" customWidth="1"/>
    <col min="45" max="45" width="8.5" style="2045" customWidth="1"/>
    <col min="46" max="46" width="1.25" style="2045" customWidth="1"/>
    <col min="47" max="47" width="8.5" style="2045" customWidth="1"/>
    <col min="48" max="48" width="1.25" style="2045" customWidth="1"/>
    <col min="49" max="49" width="8.5" style="2045" customWidth="1"/>
    <col min="50" max="50" width="1.25" style="2045" customWidth="1"/>
    <col min="51" max="51" width="8.5" style="2045" customWidth="1"/>
    <col min="52" max="52" width="1.25" style="2045" customWidth="1"/>
    <col min="53" max="53" width="8.5" style="2045" customWidth="1"/>
    <col min="54" max="54" width="1.25" style="2045" customWidth="1"/>
    <col min="55" max="55" width="11" style="2045"/>
    <col min="56" max="56" width="28.625" style="2045" customWidth="1"/>
    <col min="57" max="58" width="11" style="2045"/>
    <col min="59" max="59" width="3.5" style="2045" customWidth="1"/>
    <col min="60" max="61" width="11" style="2045"/>
    <col min="62" max="62" width="3.5" style="2045" customWidth="1"/>
    <col min="63" max="64" width="11" style="2045"/>
    <col min="65" max="65" width="3.5" style="2045" customWidth="1"/>
    <col min="66" max="67" width="11" style="2045"/>
    <col min="68" max="68" width="3.5" style="2045" customWidth="1"/>
    <col min="69" max="70" width="11" style="2045"/>
    <col min="71" max="71" width="3.5" style="2045" customWidth="1"/>
    <col min="72" max="73" width="11" style="2045"/>
    <col min="74" max="74" width="3.5" style="2045" customWidth="1"/>
    <col min="75" max="76" width="11" style="2045"/>
    <col min="77" max="77" width="3.5" style="2045" customWidth="1"/>
    <col min="78" max="79" width="11" style="2045"/>
    <col min="80" max="80" width="3.5" style="2045" customWidth="1"/>
    <col min="81" max="82" width="11" style="2045"/>
    <col min="83" max="83" width="3.5" style="2045" customWidth="1"/>
    <col min="84" max="85" width="11" style="2045"/>
    <col min="86" max="86" width="3.5" style="2045" customWidth="1"/>
    <col min="87" max="88" width="11" style="2045"/>
    <col min="89" max="89" width="3.5" style="2045" customWidth="1"/>
    <col min="90" max="91" width="11" style="2045"/>
    <col min="92" max="16384" width="11" style="443"/>
  </cols>
  <sheetData>
    <row r="1" spans="1:91" s="3191" customFormat="1" ht="15">
      <c r="A1" s="641"/>
      <c r="B1" s="641"/>
      <c r="C1" s="641"/>
      <c r="D1" s="641"/>
      <c r="E1" s="641"/>
      <c r="F1" s="641"/>
      <c r="G1" s="641"/>
      <c r="H1" s="641"/>
      <c r="I1" s="641"/>
      <c r="J1" s="641"/>
      <c r="K1" s="641"/>
      <c r="L1" s="641"/>
      <c r="M1" s="641"/>
      <c r="N1" s="641"/>
      <c r="O1" s="641"/>
      <c r="P1" s="641"/>
      <c r="Q1" s="641"/>
      <c r="R1" s="641"/>
      <c r="S1" s="641"/>
      <c r="T1" s="641"/>
      <c r="U1" s="641"/>
      <c r="V1" s="641"/>
      <c r="W1" s="641"/>
      <c r="X1" s="641"/>
      <c r="Y1" s="641"/>
      <c r="Z1" s="641"/>
    </row>
    <row r="2" spans="1:91" s="3191" customFormat="1" ht="26.25">
      <c r="A2" s="3017"/>
      <c r="B2" s="3017"/>
      <c r="C2" s="3017"/>
      <c r="D2" s="3017"/>
      <c r="E2" s="3017"/>
      <c r="F2" s="3017"/>
      <c r="G2" s="3017"/>
      <c r="H2" s="3017"/>
      <c r="I2" s="3017"/>
      <c r="J2" s="3017"/>
      <c r="K2" s="3017"/>
      <c r="L2" s="3017"/>
      <c r="M2" s="3017"/>
      <c r="N2" s="3017"/>
      <c r="O2" s="3017"/>
      <c r="P2" s="3017"/>
      <c r="Q2" s="3017"/>
      <c r="R2" s="3017"/>
      <c r="S2" s="3017"/>
      <c r="T2" s="3017"/>
      <c r="U2" s="3864" t="s">
        <v>2991</v>
      </c>
      <c r="V2" s="641"/>
      <c r="W2" s="641"/>
      <c r="X2" s="641"/>
      <c r="Y2" s="641"/>
      <c r="Z2" s="3018"/>
    </row>
    <row r="3" spans="1:91" s="3191" customFormat="1" ht="26.25">
      <c r="A3" s="641"/>
      <c r="B3" s="641"/>
      <c r="C3" s="641"/>
      <c r="D3" s="641"/>
      <c r="E3" s="641"/>
      <c r="F3" s="641"/>
      <c r="G3" s="641"/>
      <c r="H3" s="641"/>
      <c r="I3" s="641"/>
      <c r="J3" s="641"/>
      <c r="K3" s="641"/>
      <c r="L3" s="641"/>
      <c r="M3" s="641"/>
      <c r="N3" s="641"/>
      <c r="O3" s="641"/>
      <c r="P3" s="641"/>
      <c r="Q3" s="641"/>
      <c r="R3" s="641"/>
      <c r="S3" s="641"/>
      <c r="T3" s="641"/>
      <c r="U3" s="3864" t="s">
        <v>714</v>
      </c>
      <c r="V3" s="641"/>
      <c r="W3" s="641"/>
      <c r="X3" s="641"/>
      <c r="Y3" s="641"/>
      <c r="Z3" s="3018"/>
    </row>
    <row r="4" spans="1:91" s="3191" customFormat="1" ht="15">
      <c r="A4" s="641"/>
      <c r="B4" s="641"/>
      <c r="C4" s="641"/>
      <c r="D4" s="641"/>
      <c r="E4" s="641"/>
      <c r="F4" s="641"/>
      <c r="G4" s="641"/>
      <c r="H4" s="641"/>
      <c r="I4" s="641"/>
      <c r="J4" s="641"/>
      <c r="K4" s="641"/>
      <c r="L4" s="641"/>
      <c r="M4" s="641"/>
      <c r="N4" s="641"/>
      <c r="O4" s="641"/>
      <c r="P4" s="641"/>
      <c r="Q4" s="641"/>
      <c r="R4" s="641"/>
      <c r="S4" s="641"/>
      <c r="T4" s="641"/>
      <c r="U4" s="641"/>
      <c r="V4" s="641"/>
      <c r="W4" s="641"/>
      <c r="X4" s="641"/>
      <c r="Y4" s="641"/>
      <c r="Z4" s="641"/>
    </row>
    <row r="6" spans="1:91" ht="42">
      <c r="A6" s="3865">
        <v>0</v>
      </c>
      <c r="B6" s="3866" t="s">
        <v>3527</v>
      </c>
      <c r="C6" s="3867"/>
      <c r="D6" s="3868"/>
      <c r="E6" s="3869"/>
      <c r="F6" s="3869"/>
      <c r="G6" s="3869"/>
      <c r="H6" s="3869"/>
      <c r="I6" s="3869"/>
      <c r="J6" s="3869"/>
      <c r="K6" s="3869"/>
      <c r="L6" s="3869"/>
      <c r="M6" s="3869"/>
      <c r="N6" s="3869"/>
      <c r="O6" s="3869"/>
      <c r="P6" s="3869"/>
      <c r="Q6" s="3869"/>
      <c r="R6" s="3869"/>
      <c r="S6" s="3869"/>
      <c r="T6" s="3869"/>
      <c r="U6" s="3869"/>
      <c r="V6" s="3869"/>
      <c r="W6" s="3869"/>
      <c r="X6" s="3869"/>
      <c r="Y6" s="3869"/>
      <c r="Z6" s="3870"/>
      <c r="AB6" s="3865"/>
      <c r="AC6" s="3865"/>
    </row>
    <row r="7" spans="1:91">
      <c r="B7" s="3871" t="str">
        <f ca="1">CELL("nomfichier")</f>
        <v>D:\Données\Copie_ancien_DD\0-UPRT.fait\1-UPRT.FR-SITE-WEB\ff-fiches-fabrications\ff-fiches-fabrication-maj-08-2020\[ff-22-formats-formules-pourcentages.xlsx]Epurer.un.texte</v>
      </c>
      <c r="C7" s="3871"/>
      <c r="D7" s="3871"/>
      <c r="E7" s="3871"/>
      <c r="F7" s="3871"/>
      <c r="G7" s="3871"/>
      <c r="H7" s="3871"/>
      <c r="I7" s="3871"/>
      <c r="J7" s="3871"/>
      <c r="K7" s="3871"/>
      <c r="L7" s="3871"/>
      <c r="M7" s="3871"/>
      <c r="N7" s="3871"/>
      <c r="O7" s="3871"/>
      <c r="P7" s="3871"/>
      <c r="Q7" s="3871"/>
      <c r="R7" s="3871"/>
      <c r="S7" s="3871"/>
      <c r="T7" s="3871"/>
      <c r="U7" s="3871"/>
      <c r="V7" s="3871"/>
      <c r="W7" s="3871"/>
      <c r="X7" s="3871"/>
      <c r="Y7" s="3871"/>
      <c r="Z7" s="3871"/>
    </row>
    <row r="8" spans="1:91" ht="30">
      <c r="B8" s="3872" t="s">
        <v>3528</v>
      </c>
      <c r="C8" s="3873"/>
      <c r="D8" s="3874" t="s">
        <v>3529</v>
      </c>
      <c r="E8" s="3875" t="s">
        <v>3530</v>
      </c>
      <c r="F8" s="3876"/>
      <c r="G8" s="3876"/>
      <c r="H8" s="3876"/>
      <c r="I8" s="3876"/>
      <c r="J8" s="3876"/>
      <c r="K8" s="3876"/>
      <c r="L8" s="3876"/>
      <c r="M8" s="3877"/>
      <c r="O8" s="3872" t="s">
        <v>3528</v>
      </c>
      <c r="P8" s="3873"/>
      <c r="Q8" s="3874" t="s">
        <v>3529</v>
      </c>
      <c r="R8" s="3878" t="s">
        <v>3531</v>
      </c>
      <c r="S8" s="3879"/>
      <c r="T8" s="3879"/>
      <c r="U8" s="3879"/>
      <c r="V8" s="3879"/>
      <c r="W8" s="3879"/>
      <c r="X8" s="3879"/>
      <c r="Y8" s="3879"/>
      <c r="Z8" s="3880"/>
      <c r="AD8" s="642"/>
      <c r="AE8" s="642"/>
      <c r="AF8" s="642"/>
      <c r="AG8" s="642"/>
      <c r="AH8" s="642"/>
      <c r="AI8" s="642"/>
      <c r="AJ8" s="642"/>
      <c r="AK8" s="642"/>
      <c r="AL8" s="642"/>
      <c r="AM8" s="642"/>
      <c r="AN8" s="642"/>
      <c r="AO8" s="642"/>
      <c r="AP8" s="642"/>
      <c r="AQ8" s="642"/>
      <c r="AR8" s="642"/>
      <c r="AS8" s="642"/>
      <c r="AT8" s="642"/>
      <c r="AU8" s="642"/>
      <c r="AV8" s="443"/>
      <c r="AW8" s="443"/>
      <c r="AX8" s="443"/>
      <c r="AY8" s="443"/>
      <c r="AZ8" s="443"/>
      <c r="BA8" s="443"/>
      <c r="BB8" s="443"/>
      <c r="BC8" s="443"/>
      <c r="BD8" s="443"/>
      <c r="BE8" s="443"/>
      <c r="BF8" s="443"/>
      <c r="BG8" s="443"/>
      <c r="BH8" s="443"/>
      <c r="BI8" s="443"/>
      <c r="BJ8" s="443"/>
      <c r="BK8" s="443"/>
      <c r="BL8" s="443"/>
      <c r="BM8" s="443"/>
      <c r="BN8" s="443"/>
      <c r="BO8" s="443"/>
      <c r="BP8" s="443"/>
      <c r="BQ8" s="443"/>
      <c r="BR8" s="443"/>
      <c r="BS8" s="443"/>
      <c r="BT8" s="443"/>
      <c r="BU8" s="443"/>
      <c r="BV8" s="443"/>
      <c r="BW8" s="443"/>
      <c r="BX8" s="443"/>
      <c r="BY8" s="443"/>
      <c r="BZ8" s="443"/>
      <c r="CA8" s="443"/>
      <c r="CB8" s="443"/>
      <c r="CC8" s="443"/>
      <c r="CD8" s="443"/>
      <c r="CE8" s="443"/>
      <c r="CF8" s="443"/>
      <c r="CG8" s="443"/>
      <c r="CH8" s="443"/>
      <c r="CI8" s="443"/>
      <c r="CJ8" s="443"/>
      <c r="CK8" s="443"/>
      <c r="CL8" s="443"/>
      <c r="CM8" s="443"/>
    </row>
    <row r="9" spans="1:91" ht="20.25">
      <c r="B9" s="3881">
        <v>45</v>
      </c>
      <c r="C9" s="3882" t="s">
        <v>997</v>
      </c>
      <c r="D9" s="3883">
        <f>B9</f>
        <v>45</v>
      </c>
      <c r="E9" s="3884" t="s">
        <v>3532</v>
      </c>
      <c r="F9" s="3884"/>
      <c r="G9" s="3885"/>
      <c r="H9" s="3885"/>
      <c r="I9" s="3885"/>
      <c r="J9" s="3885"/>
      <c r="K9" s="3885"/>
      <c r="L9" s="3885"/>
      <c r="M9" s="3886"/>
      <c r="O9" s="3881" t="s">
        <v>3533</v>
      </c>
      <c r="P9" s="3882" t="s">
        <v>997</v>
      </c>
      <c r="Q9" s="3887" t="str">
        <f>O9</f>
        <v>Aa</v>
      </c>
      <c r="R9" s="3888" t="s">
        <v>3532</v>
      </c>
      <c r="S9" s="3888"/>
      <c r="T9" s="3888"/>
      <c r="U9" s="3888"/>
      <c r="V9" s="3888"/>
      <c r="W9" s="3888"/>
      <c r="X9" s="3888"/>
      <c r="Y9" s="3888"/>
      <c r="Z9" s="3889"/>
      <c r="AC9" s="478"/>
    </row>
    <row r="10" spans="1:91" ht="23.25">
      <c r="B10" s="3890"/>
      <c r="M10" s="3891"/>
      <c r="O10" s="3890"/>
      <c r="Z10" s="3891"/>
      <c r="AC10" s="478"/>
      <c r="AD10" s="3892" t="s">
        <v>3534</v>
      </c>
      <c r="BE10" s="3893" t="s">
        <v>3534</v>
      </c>
    </row>
    <row r="11" spans="1:91" ht="20.25">
      <c r="B11" s="3894" t="s">
        <v>3535</v>
      </c>
      <c r="C11" s="7102" t="s">
        <v>3536</v>
      </c>
      <c r="D11" s="7103"/>
      <c r="E11" s="3895" t="s">
        <v>3537</v>
      </c>
      <c r="F11" s="7102" t="s">
        <v>3536</v>
      </c>
      <c r="G11" s="7103"/>
      <c r="H11" s="3895" t="s">
        <v>3538</v>
      </c>
      <c r="I11" s="7102" t="s">
        <v>3536</v>
      </c>
      <c r="J11" s="7103"/>
      <c r="K11" s="3895" t="s">
        <v>3539</v>
      </c>
      <c r="L11" s="7102" t="s">
        <v>3536</v>
      </c>
      <c r="M11" s="7104"/>
      <c r="O11" s="3894" t="s">
        <v>3535</v>
      </c>
      <c r="P11" s="7100" t="s">
        <v>3536</v>
      </c>
      <c r="Q11" s="7101"/>
      <c r="R11" s="3895" t="s">
        <v>3537</v>
      </c>
      <c r="S11" s="7100" t="s">
        <v>3536</v>
      </c>
      <c r="T11" s="7101"/>
      <c r="U11" s="3895" t="s">
        <v>3538</v>
      </c>
      <c r="V11" s="7100" t="s">
        <v>3536</v>
      </c>
      <c r="W11" s="7101"/>
      <c r="X11" s="3895" t="s">
        <v>3539</v>
      </c>
      <c r="Y11" s="7100" t="s">
        <v>3536</v>
      </c>
      <c r="Z11" s="7106"/>
      <c r="AC11" s="478"/>
    </row>
    <row r="12" spans="1:91" ht="30">
      <c r="A12" s="478"/>
      <c r="B12" s="3896" t="s">
        <v>24</v>
      </c>
      <c r="C12" s="3897" t="s">
        <v>997</v>
      </c>
      <c r="D12" s="3898" t="s">
        <v>24</v>
      </c>
      <c r="E12" s="3899" t="s">
        <v>3540</v>
      </c>
      <c r="F12" s="3897" t="s">
        <v>997</v>
      </c>
      <c r="G12" s="3900" t="s">
        <v>3540</v>
      </c>
      <c r="H12" s="3901">
        <v>1</v>
      </c>
      <c r="I12" s="3897" t="s">
        <v>997</v>
      </c>
      <c r="J12" s="3898">
        <v>1</v>
      </c>
      <c r="K12" s="3901">
        <v>27</v>
      </c>
      <c r="L12" s="3897" t="s">
        <v>997</v>
      </c>
      <c r="M12" s="3902">
        <v>27</v>
      </c>
      <c r="N12" s="478"/>
      <c r="O12" s="3896" t="s">
        <v>24</v>
      </c>
      <c r="P12" s="3897" t="s">
        <v>997</v>
      </c>
      <c r="Q12" s="3903" t="s">
        <v>24</v>
      </c>
      <c r="R12" s="3899" t="s">
        <v>3540</v>
      </c>
      <c r="S12" s="3897" t="s">
        <v>997</v>
      </c>
      <c r="T12" s="3904" t="s">
        <v>3540</v>
      </c>
      <c r="U12" s="3901">
        <v>1</v>
      </c>
      <c r="V12" s="3897" t="s">
        <v>997</v>
      </c>
      <c r="W12" s="3903">
        <v>1</v>
      </c>
      <c r="X12" s="3901">
        <v>27</v>
      </c>
      <c r="Y12" s="3897" t="s">
        <v>997</v>
      </c>
      <c r="Z12" s="3905">
        <v>27</v>
      </c>
      <c r="AA12" s="478"/>
      <c r="AB12" s="478"/>
      <c r="AC12" s="478"/>
      <c r="AD12" s="3906" t="s">
        <v>3541</v>
      </c>
      <c r="AE12" s="3907" t="s">
        <v>3542</v>
      </c>
      <c r="AF12" s="3908"/>
      <c r="AG12" s="3907" t="s">
        <v>3543</v>
      </c>
      <c r="AH12" s="3908"/>
      <c r="AI12" s="3907" t="s">
        <v>3544</v>
      </c>
      <c r="AJ12" s="3908"/>
      <c r="AK12" s="3907" t="s">
        <v>3545</v>
      </c>
      <c r="AL12" s="3908"/>
      <c r="AM12" s="3907" t="s">
        <v>3546</v>
      </c>
      <c r="AN12" s="3908"/>
      <c r="AO12" s="3907" t="s">
        <v>3547</v>
      </c>
      <c r="AP12" s="3908"/>
      <c r="AQ12" s="3907" t="s">
        <v>3548</v>
      </c>
      <c r="AR12" s="3908"/>
      <c r="AS12" s="3907" t="s">
        <v>3549</v>
      </c>
      <c r="AT12" s="3908"/>
      <c r="AU12" s="3907" t="s">
        <v>3550</v>
      </c>
      <c r="AV12" s="3908"/>
      <c r="AW12" s="3907" t="s">
        <v>3551</v>
      </c>
      <c r="AX12" s="3908"/>
      <c r="AY12" s="3907" t="s">
        <v>3552</v>
      </c>
      <c r="AZ12" s="3908"/>
      <c r="BA12" s="3907" t="s">
        <v>3553</v>
      </c>
      <c r="BD12" s="7107" t="s">
        <v>3554</v>
      </c>
      <c r="BE12" s="3909">
        <v>1</v>
      </c>
      <c r="BF12" s="3910"/>
      <c r="BG12" s="3911"/>
      <c r="BH12" s="3909">
        <v>2</v>
      </c>
      <c r="BI12" s="3910"/>
      <c r="BJ12" s="3911"/>
      <c r="BK12" s="3909">
        <v>3</v>
      </c>
      <c r="BL12" s="3910"/>
      <c r="BM12" s="3911"/>
      <c r="BN12" s="3909">
        <v>4</v>
      </c>
      <c r="BO12" s="3910"/>
      <c r="BP12" s="3911"/>
      <c r="BQ12" s="3909">
        <v>5</v>
      </c>
      <c r="BR12" s="3910"/>
      <c r="BS12" s="3911"/>
      <c r="BT12" s="3909">
        <v>6</v>
      </c>
      <c r="BU12" s="3910"/>
      <c r="BV12" s="3911"/>
      <c r="BW12" s="3909">
        <v>7</v>
      </c>
      <c r="BX12" s="3910"/>
      <c r="BY12" s="3911"/>
      <c r="BZ12" s="3909">
        <v>8</v>
      </c>
      <c r="CA12" s="3910"/>
      <c r="CB12" s="3911"/>
      <c r="CC12" s="3909">
        <v>9</v>
      </c>
      <c r="CD12" s="3910"/>
      <c r="CE12" s="3911"/>
      <c r="CF12" s="3909">
        <v>0</v>
      </c>
      <c r="CG12" s="3910"/>
      <c r="CH12" s="3911"/>
      <c r="CI12" s="3909" t="s">
        <v>3555</v>
      </c>
      <c r="CJ12" s="3910"/>
      <c r="CK12" s="3911"/>
      <c r="CL12" s="3912" t="s">
        <v>1289</v>
      </c>
      <c r="CM12" s="3910"/>
    </row>
    <row r="13" spans="1:91" ht="44.25" customHeight="1">
      <c r="A13" s="478"/>
      <c r="B13" s="3896" t="s">
        <v>21</v>
      </c>
      <c r="C13" s="3897" t="s">
        <v>997</v>
      </c>
      <c r="D13" s="3898" t="s">
        <v>21</v>
      </c>
      <c r="E13" s="3899" t="s">
        <v>3556</v>
      </c>
      <c r="F13" s="3897" t="s">
        <v>997</v>
      </c>
      <c r="G13" s="3900" t="s">
        <v>3556</v>
      </c>
      <c r="H13" s="3901">
        <v>2</v>
      </c>
      <c r="I13" s="3897" t="s">
        <v>997</v>
      </c>
      <c r="J13" s="3898">
        <v>2</v>
      </c>
      <c r="K13" s="3901">
        <v>28</v>
      </c>
      <c r="L13" s="3897" t="s">
        <v>997</v>
      </c>
      <c r="M13" s="3902">
        <v>28</v>
      </c>
      <c r="N13" s="478"/>
      <c r="O13" s="3896" t="s">
        <v>21</v>
      </c>
      <c r="P13" s="3897" t="s">
        <v>997</v>
      </c>
      <c r="Q13" s="3903" t="s">
        <v>21</v>
      </c>
      <c r="R13" s="3899" t="s">
        <v>3556</v>
      </c>
      <c r="S13" s="3897" t="s">
        <v>997</v>
      </c>
      <c r="T13" s="3904" t="s">
        <v>3556</v>
      </c>
      <c r="U13" s="3901">
        <v>2</v>
      </c>
      <c r="V13" s="3897" t="s">
        <v>997</v>
      </c>
      <c r="W13" s="3903">
        <v>2</v>
      </c>
      <c r="X13" s="3901">
        <v>28</v>
      </c>
      <c r="Y13" s="3897" t="s">
        <v>997</v>
      </c>
      <c r="Z13" s="3905">
        <v>28</v>
      </c>
      <c r="AA13" s="478"/>
      <c r="AB13" s="478"/>
      <c r="AC13" s="478"/>
      <c r="AD13" s="3913"/>
      <c r="AE13" s="3914"/>
      <c r="AF13" s="3914"/>
      <c r="AG13" s="3914"/>
      <c r="AH13" s="3914"/>
      <c r="AI13" s="3914"/>
      <c r="AJ13" s="3914"/>
      <c r="AK13" s="3914"/>
      <c r="AL13" s="3914"/>
      <c r="AM13" s="3914"/>
      <c r="AN13" s="3914"/>
      <c r="AO13" s="3914"/>
      <c r="AP13" s="3914"/>
      <c r="AQ13" s="3914"/>
      <c r="AR13" s="3914"/>
      <c r="AS13" s="3914"/>
      <c r="AT13" s="3914"/>
      <c r="AU13" s="3914"/>
      <c r="AV13" s="3914"/>
      <c r="AW13" s="3914"/>
      <c r="AX13" s="3914"/>
      <c r="AY13" s="3914"/>
      <c r="AZ13" s="3914"/>
      <c r="BA13" s="3914"/>
      <c r="BD13" s="7107"/>
      <c r="BE13" s="3915" t="s">
        <v>682</v>
      </c>
      <c r="BF13" s="3916"/>
      <c r="BG13" s="3911"/>
      <c r="BH13" s="3915" t="s">
        <v>3557</v>
      </c>
      <c r="BI13" s="3916" t="s">
        <v>3558</v>
      </c>
      <c r="BJ13" s="3911"/>
      <c r="BK13" s="3915" t="s">
        <v>2007</v>
      </c>
      <c r="BL13" s="3916" t="s">
        <v>2008</v>
      </c>
      <c r="BM13" s="3911"/>
      <c r="BN13" s="3917" t="s">
        <v>3559</v>
      </c>
      <c r="BO13" s="3916" t="s">
        <v>3560</v>
      </c>
      <c r="BP13" s="3911"/>
      <c r="BQ13" s="3915" t="s">
        <v>1331</v>
      </c>
      <c r="BR13" s="3916" t="s">
        <v>3561</v>
      </c>
      <c r="BS13" s="3911"/>
      <c r="BT13" s="3917" t="s">
        <v>1321</v>
      </c>
      <c r="BU13" s="3916" t="s">
        <v>3562</v>
      </c>
      <c r="BV13" s="3911"/>
      <c r="BW13" s="3915" t="s">
        <v>3563</v>
      </c>
      <c r="BX13" s="3916" t="s">
        <v>3564</v>
      </c>
      <c r="BY13" s="3911"/>
      <c r="BZ13" s="3915" t="s">
        <v>3565</v>
      </c>
      <c r="CA13" s="3916" t="s">
        <v>3566</v>
      </c>
      <c r="CB13" s="3911"/>
      <c r="CC13" s="3915" t="s">
        <v>3567</v>
      </c>
      <c r="CD13" s="3916" t="s">
        <v>3568</v>
      </c>
      <c r="CE13" s="3911"/>
      <c r="CF13" s="3915" t="s">
        <v>3569</v>
      </c>
      <c r="CG13" s="3916" t="s">
        <v>78</v>
      </c>
      <c r="CH13" s="3911"/>
      <c r="CI13" s="3915" t="s">
        <v>1330</v>
      </c>
      <c r="CJ13" s="3916" t="s">
        <v>3570</v>
      </c>
      <c r="CK13" s="3911"/>
      <c r="CL13" s="3917" t="s">
        <v>997</v>
      </c>
      <c r="CM13" s="3916" t="s">
        <v>3571</v>
      </c>
    </row>
    <row r="14" spans="1:91" ht="30">
      <c r="A14" s="478"/>
      <c r="B14" s="3896" t="s">
        <v>6</v>
      </c>
      <c r="C14" s="3897" t="s">
        <v>997</v>
      </c>
      <c r="D14" s="3898" t="s">
        <v>6</v>
      </c>
      <c r="E14" s="3899" t="s">
        <v>3572</v>
      </c>
      <c r="F14" s="3897" t="s">
        <v>997</v>
      </c>
      <c r="G14" s="3900" t="s">
        <v>3572</v>
      </c>
      <c r="H14" s="3901">
        <v>3</v>
      </c>
      <c r="I14" s="3897" t="s">
        <v>997</v>
      </c>
      <c r="J14" s="3898">
        <v>3</v>
      </c>
      <c r="K14" s="3901">
        <v>29</v>
      </c>
      <c r="L14" s="3897" t="s">
        <v>997</v>
      </c>
      <c r="M14" s="3902">
        <v>29</v>
      </c>
      <c r="N14" s="478"/>
      <c r="O14" s="3896" t="s">
        <v>6</v>
      </c>
      <c r="P14" s="3897" t="s">
        <v>997</v>
      </c>
      <c r="Q14" s="3903" t="s">
        <v>6</v>
      </c>
      <c r="R14" s="3899" t="s">
        <v>3572</v>
      </c>
      <c r="S14" s="3897" t="s">
        <v>997</v>
      </c>
      <c r="T14" s="3904" t="s">
        <v>3572</v>
      </c>
      <c r="U14" s="3901">
        <v>3</v>
      </c>
      <c r="V14" s="3897" t="s">
        <v>997</v>
      </c>
      <c r="W14" s="3903">
        <v>3</v>
      </c>
      <c r="X14" s="3901">
        <v>29</v>
      </c>
      <c r="Y14" s="3897" t="s">
        <v>997</v>
      </c>
      <c r="Z14" s="3905">
        <v>29</v>
      </c>
      <c r="AA14" s="478"/>
      <c r="AB14" s="478"/>
      <c r="AC14" s="478"/>
      <c r="AD14" s="3906" t="s">
        <v>1987</v>
      </c>
      <c r="AE14" s="3918" t="s">
        <v>3573</v>
      </c>
      <c r="AF14" s="3919"/>
      <c r="AG14" s="3918" t="s">
        <v>3574</v>
      </c>
      <c r="AH14" s="3919"/>
      <c r="AI14" s="3918" t="s">
        <v>3575</v>
      </c>
      <c r="AJ14" s="3919"/>
      <c r="AK14" s="3918" t="s">
        <v>3576</v>
      </c>
      <c r="AL14" s="3919"/>
      <c r="AM14" s="3918" t="s">
        <v>2013</v>
      </c>
      <c r="AN14" s="3919"/>
      <c r="AO14" s="3918" t="s">
        <v>2989</v>
      </c>
      <c r="AP14" s="3919"/>
      <c r="AQ14" s="3918" t="s">
        <v>3577</v>
      </c>
      <c r="AR14" s="3919"/>
      <c r="AS14" s="3918" t="s">
        <v>3578</v>
      </c>
      <c r="AT14" s="3919"/>
      <c r="AU14" s="3918" t="s">
        <v>3579</v>
      </c>
      <c r="AV14" s="3919"/>
      <c r="AW14" s="3918" t="s">
        <v>2014</v>
      </c>
      <c r="AX14" s="3919"/>
      <c r="AY14" s="3918" t="s">
        <v>2015</v>
      </c>
      <c r="AZ14" s="3919"/>
      <c r="BA14" s="3918" t="s">
        <v>2016</v>
      </c>
      <c r="BD14" s="3920"/>
      <c r="BE14" s="3911"/>
      <c r="BF14" s="3911"/>
      <c r="BG14" s="3911"/>
      <c r="BH14" s="3911"/>
      <c r="BI14" s="3911"/>
      <c r="BJ14" s="3911"/>
      <c r="BK14" s="3911"/>
      <c r="BL14" s="3911"/>
      <c r="BM14" s="3911"/>
      <c r="BN14" s="3911"/>
      <c r="BO14" s="3911"/>
      <c r="BP14" s="3911"/>
      <c r="BQ14" s="3911"/>
      <c r="BR14" s="3911"/>
      <c r="BS14" s="3911"/>
      <c r="BT14" s="3911"/>
      <c r="BU14" s="3911"/>
      <c r="BV14" s="3911"/>
      <c r="BW14" s="3911"/>
      <c r="BX14" s="3911"/>
      <c r="BY14" s="3911"/>
      <c r="BZ14" s="3911"/>
      <c r="CA14" s="3911"/>
      <c r="CB14" s="3911"/>
      <c r="CC14" s="3911"/>
      <c r="CD14" s="3911"/>
      <c r="CE14" s="3911"/>
      <c r="CF14" s="3911"/>
      <c r="CG14" s="3911"/>
      <c r="CH14" s="3911"/>
      <c r="CI14" s="3911"/>
      <c r="CJ14" s="3911"/>
      <c r="CK14" s="3911"/>
      <c r="CL14" s="3911"/>
      <c r="CM14" s="3911"/>
    </row>
    <row r="15" spans="1:91" ht="30">
      <c r="A15" s="478"/>
      <c r="B15" s="3896" t="s">
        <v>713</v>
      </c>
      <c r="C15" s="3897" t="s">
        <v>997</v>
      </c>
      <c r="D15" s="3898" t="s">
        <v>713</v>
      </c>
      <c r="E15" s="3899" t="s">
        <v>3580</v>
      </c>
      <c r="F15" s="3897" t="s">
        <v>997</v>
      </c>
      <c r="G15" s="3900" t="s">
        <v>3580</v>
      </c>
      <c r="H15" s="3901">
        <v>4</v>
      </c>
      <c r="I15" s="3897" t="s">
        <v>997</v>
      </c>
      <c r="J15" s="3898">
        <v>4</v>
      </c>
      <c r="K15" s="3901">
        <v>30</v>
      </c>
      <c r="L15" s="3897" t="s">
        <v>997</v>
      </c>
      <c r="M15" s="3902">
        <v>30</v>
      </c>
      <c r="N15" s="478"/>
      <c r="O15" s="3896" t="s">
        <v>713</v>
      </c>
      <c r="P15" s="3897" t="s">
        <v>997</v>
      </c>
      <c r="Q15" s="3903" t="s">
        <v>713</v>
      </c>
      <c r="R15" s="3899" t="s">
        <v>3580</v>
      </c>
      <c r="S15" s="3897" t="s">
        <v>997</v>
      </c>
      <c r="T15" s="3904" t="s">
        <v>3580</v>
      </c>
      <c r="U15" s="3901">
        <v>4</v>
      </c>
      <c r="V15" s="3897" t="s">
        <v>997</v>
      </c>
      <c r="W15" s="3903">
        <v>4</v>
      </c>
      <c r="X15" s="3901">
        <v>30</v>
      </c>
      <c r="Y15" s="3897" t="s">
        <v>997</v>
      </c>
      <c r="Z15" s="3905">
        <v>30</v>
      </c>
      <c r="AA15" s="478"/>
      <c r="AB15" s="478"/>
      <c r="AC15" s="478"/>
      <c r="AD15" s="3913"/>
      <c r="AE15" s="3921"/>
      <c r="AF15" s="3921"/>
      <c r="AG15" s="3921"/>
      <c r="AH15" s="3921"/>
      <c r="AI15" s="3921"/>
      <c r="AJ15" s="3921"/>
      <c r="AK15" s="3921"/>
      <c r="AL15" s="3921"/>
      <c r="AM15" s="3921"/>
      <c r="AN15" s="3921"/>
      <c r="AO15" s="3921"/>
      <c r="AP15" s="3921"/>
      <c r="AQ15" s="3921"/>
      <c r="AR15" s="3921"/>
      <c r="AS15" s="3921"/>
      <c r="AT15" s="3921"/>
      <c r="AU15" s="3921"/>
      <c r="AV15" s="3921"/>
      <c r="AW15" s="3921"/>
      <c r="AX15" s="3921"/>
      <c r="AY15" s="3921"/>
      <c r="AZ15" s="3921"/>
      <c r="BA15" s="3921"/>
      <c r="BD15" s="7105" t="s">
        <v>588</v>
      </c>
      <c r="BE15" s="3922">
        <v>1</v>
      </c>
      <c r="BF15" s="3923"/>
      <c r="BG15" s="3924"/>
      <c r="BH15" s="3922">
        <v>2</v>
      </c>
      <c r="BI15" s="3923"/>
      <c r="BJ15" s="3924"/>
      <c r="BK15" s="3922">
        <v>3</v>
      </c>
      <c r="BL15" s="3923"/>
      <c r="BM15" s="3924"/>
      <c r="BN15" s="3922">
        <v>4</v>
      </c>
      <c r="BO15" s="3923"/>
      <c r="BP15" s="3924"/>
      <c r="BQ15" s="3922">
        <v>5</v>
      </c>
      <c r="BR15" s="3923"/>
      <c r="BS15" s="3924"/>
      <c r="BT15" s="3922">
        <v>6</v>
      </c>
      <c r="BU15" s="3923"/>
      <c r="BV15" s="3924"/>
      <c r="BW15" s="3922">
        <v>7</v>
      </c>
      <c r="BX15" s="3923"/>
      <c r="BY15" s="3924"/>
      <c r="BZ15" s="3922">
        <v>8</v>
      </c>
      <c r="CA15" s="3923"/>
      <c r="CB15" s="3924"/>
      <c r="CC15" s="3922">
        <v>9</v>
      </c>
      <c r="CD15" s="3923"/>
      <c r="CE15" s="3924"/>
      <c r="CF15" s="3922">
        <v>0</v>
      </c>
      <c r="CG15" s="3923"/>
      <c r="CH15" s="3924"/>
      <c r="CI15" s="3922" t="s">
        <v>3555</v>
      </c>
      <c r="CJ15" s="3923"/>
      <c r="CK15" s="3924"/>
      <c r="CL15" s="3922" t="s">
        <v>1289</v>
      </c>
      <c r="CM15" s="3923"/>
    </row>
    <row r="16" spans="1:91" ht="20.25">
      <c r="A16" s="478"/>
      <c r="B16" s="3896" t="s">
        <v>1697</v>
      </c>
      <c r="C16" s="3897" t="s">
        <v>997</v>
      </c>
      <c r="D16" s="3898" t="s">
        <v>1697</v>
      </c>
      <c r="E16" s="3899" t="s">
        <v>3581</v>
      </c>
      <c r="F16" s="3897" t="s">
        <v>997</v>
      </c>
      <c r="G16" s="3900" t="s">
        <v>3581</v>
      </c>
      <c r="H16" s="3901">
        <v>5</v>
      </c>
      <c r="I16" s="3897" t="s">
        <v>997</v>
      </c>
      <c r="J16" s="3898">
        <v>5</v>
      </c>
      <c r="K16" s="3901">
        <v>31</v>
      </c>
      <c r="L16" s="3897" t="s">
        <v>997</v>
      </c>
      <c r="M16" s="3902">
        <v>31</v>
      </c>
      <c r="N16" s="478"/>
      <c r="O16" s="3896" t="s">
        <v>1697</v>
      </c>
      <c r="P16" s="3897" t="s">
        <v>997</v>
      </c>
      <c r="Q16" s="3903" t="s">
        <v>1697</v>
      </c>
      <c r="R16" s="3899" t="s">
        <v>3581</v>
      </c>
      <c r="S16" s="3897" t="s">
        <v>997</v>
      </c>
      <c r="T16" s="3904" t="s">
        <v>3581</v>
      </c>
      <c r="U16" s="3901">
        <v>5</v>
      </c>
      <c r="V16" s="3897" t="s">
        <v>997</v>
      </c>
      <c r="W16" s="3903">
        <v>5</v>
      </c>
      <c r="X16" s="3901">
        <v>31</v>
      </c>
      <c r="Y16" s="3897" t="s">
        <v>997</v>
      </c>
      <c r="Z16" s="3905">
        <v>31</v>
      </c>
      <c r="AA16" s="478"/>
      <c r="AB16" s="478"/>
      <c r="AC16" s="478"/>
      <c r="AD16" s="3906" t="s">
        <v>588</v>
      </c>
      <c r="AE16" s="3925" t="s">
        <v>3573</v>
      </c>
      <c r="AF16" s="3924">
        <v>0</v>
      </c>
      <c r="AG16" s="3925" t="s">
        <v>3574</v>
      </c>
      <c r="AH16" s="3924">
        <v>0</v>
      </c>
      <c r="AI16" s="3925" t="s">
        <v>3575</v>
      </c>
      <c r="AJ16" s="3924">
        <v>0</v>
      </c>
      <c r="AK16" s="3925" t="s">
        <v>3576</v>
      </c>
      <c r="AL16" s="3924">
        <v>0</v>
      </c>
      <c r="AM16" s="3925" t="s">
        <v>2013</v>
      </c>
      <c r="AN16" s="3924">
        <v>0</v>
      </c>
      <c r="AO16" s="3925" t="s">
        <v>2989</v>
      </c>
      <c r="AP16" s="3924">
        <v>0</v>
      </c>
      <c r="AQ16" s="3925" t="s">
        <v>3577</v>
      </c>
      <c r="AR16" s="3924">
        <v>0</v>
      </c>
      <c r="AS16" s="3925" t="s">
        <v>3578</v>
      </c>
      <c r="AT16" s="3924">
        <v>0</v>
      </c>
      <c r="AU16" s="3925" t="s">
        <v>3579</v>
      </c>
      <c r="AV16" s="3924">
        <v>0</v>
      </c>
      <c r="AW16" s="3925" t="s">
        <v>2014</v>
      </c>
      <c r="AX16" s="3924">
        <v>0</v>
      </c>
      <c r="AY16" s="3925" t="s">
        <v>2015</v>
      </c>
      <c r="AZ16" s="3924">
        <v>0</v>
      </c>
      <c r="BA16" s="3925" t="s">
        <v>2016</v>
      </c>
      <c r="BD16" s="7105"/>
      <c r="BE16" s="3926" t="s">
        <v>682</v>
      </c>
      <c r="BF16" s="3927"/>
      <c r="BG16" s="3924"/>
      <c r="BH16" s="3926" t="s">
        <v>3557</v>
      </c>
      <c r="BI16" s="3927" t="s">
        <v>3558</v>
      </c>
      <c r="BJ16" s="3924"/>
      <c r="BK16" s="3926" t="s">
        <v>2007</v>
      </c>
      <c r="BL16" s="3927" t="s">
        <v>2008</v>
      </c>
      <c r="BM16" s="3924"/>
      <c r="BN16" s="3926" t="s">
        <v>3559</v>
      </c>
      <c r="BO16" s="3927" t="s">
        <v>3560</v>
      </c>
      <c r="BP16" s="3924"/>
      <c r="BQ16" s="3926" t="s">
        <v>1331</v>
      </c>
      <c r="BR16" s="3927" t="s">
        <v>3561</v>
      </c>
      <c r="BS16" s="3924"/>
      <c r="BT16" s="3926" t="s">
        <v>1321</v>
      </c>
      <c r="BU16" s="3927" t="s">
        <v>3562</v>
      </c>
      <c r="BV16" s="3924"/>
      <c r="BW16" s="3926" t="s">
        <v>3563</v>
      </c>
      <c r="BX16" s="3927" t="s">
        <v>3564</v>
      </c>
      <c r="BY16" s="3924"/>
      <c r="BZ16" s="3926" t="s">
        <v>3565</v>
      </c>
      <c r="CA16" s="3927" t="s">
        <v>3566</v>
      </c>
      <c r="CB16" s="3924"/>
      <c r="CC16" s="3926" t="s">
        <v>3567</v>
      </c>
      <c r="CD16" s="3927" t="s">
        <v>3568</v>
      </c>
      <c r="CE16" s="3924"/>
      <c r="CF16" s="3926" t="s">
        <v>3569</v>
      </c>
      <c r="CG16" s="3927" t="s">
        <v>78</v>
      </c>
      <c r="CH16" s="3924"/>
      <c r="CI16" s="3926" t="s">
        <v>1330</v>
      </c>
      <c r="CJ16" s="3927" t="s">
        <v>3570</v>
      </c>
      <c r="CK16" s="3924"/>
      <c r="CL16" s="3926" t="s">
        <v>997</v>
      </c>
      <c r="CM16" s="3927" t="s">
        <v>3571</v>
      </c>
    </row>
    <row r="17" spans="1:91" ht="30">
      <c r="A17" s="478"/>
      <c r="B17" s="3896" t="s">
        <v>23</v>
      </c>
      <c r="C17" s="3897" t="s">
        <v>997</v>
      </c>
      <c r="D17" s="3898" t="s">
        <v>23</v>
      </c>
      <c r="E17" s="3899" t="s">
        <v>3582</v>
      </c>
      <c r="F17" s="3897" t="s">
        <v>997</v>
      </c>
      <c r="G17" s="3900" t="s">
        <v>3582</v>
      </c>
      <c r="H17" s="3901">
        <v>6</v>
      </c>
      <c r="I17" s="3897" t="s">
        <v>997</v>
      </c>
      <c r="J17" s="3898">
        <v>6</v>
      </c>
      <c r="K17" s="3901">
        <v>32</v>
      </c>
      <c r="L17" s="3897" t="s">
        <v>997</v>
      </c>
      <c r="M17" s="3902">
        <v>32</v>
      </c>
      <c r="N17" s="478"/>
      <c r="O17" s="3896" t="s">
        <v>23</v>
      </c>
      <c r="P17" s="3897" t="s">
        <v>997</v>
      </c>
      <c r="Q17" s="3903" t="s">
        <v>23</v>
      </c>
      <c r="R17" s="3899" t="s">
        <v>3582</v>
      </c>
      <c r="S17" s="3897" t="s">
        <v>997</v>
      </c>
      <c r="T17" s="3904" t="s">
        <v>3582</v>
      </c>
      <c r="U17" s="3901">
        <v>6</v>
      </c>
      <c r="V17" s="3897" t="s">
        <v>997</v>
      </c>
      <c r="W17" s="3903">
        <v>6</v>
      </c>
      <c r="X17" s="3901">
        <v>32</v>
      </c>
      <c r="Y17" s="3897" t="s">
        <v>997</v>
      </c>
      <c r="Z17" s="3905">
        <v>32</v>
      </c>
      <c r="AA17" s="478"/>
      <c r="AB17" s="478"/>
      <c r="AC17" s="478"/>
      <c r="AD17" s="3913"/>
      <c r="AE17" s="3921"/>
      <c r="AF17" s="3921"/>
      <c r="AG17" s="3921"/>
      <c r="AH17" s="3921"/>
      <c r="AI17" s="3921"/>
      <c r="AJ17" s="3921"/>
      <c r="AK17" s="3921"/>
      <c r="AL17" s="3921"/>
      <c r="AM17" s="3921"/>
      <c r="AN17" s="3921"/>
      <c r="AO17" s="3921"/>
      <c r="AP17" s="3921"/>
      <c r="AQ17" s="3921"/>
      <c r="AR17" s="3921"/>
      <c r="AS17" s="3921"/>
      <c r="AT17" s="3921"/>
      <c r="AU17" s="3921"/>
      <c r="AV17" s="3921"/>
      <c r="AW17" s="3921"/>
      <c r="AX17" s="3921"/>
      <c r="AY17" s="3921"/>
      <c r="AZ17" s="3921"/>
      <c r="BA17" s="3921"/>
      <c r="BD17" s="3920"/>
      <c r="BE17" s="3921"/>
      <c r="BF17" s="3921"/>
      <c r="BG17" s="3921"/>
      <c r="BH17" s="3921"/>
      <c r="BI17" s="3921"/>
      <c r="BJ17" s="3921"/>
      <c r="BK17" s="3921"/>
      <c r="BL17" s="3921"/>
      <c r="BM17" s="3921"/>
      <c r="BN17" s="3921"/>
      <c r="BO17" s="3921"/>
      <c r="BP17" s="3921"/>
      <c r="BQ17" s="3921"/>
      <c r="BR17" s="3921"/>
      <c r="BS17" s="3921"/>
      <c r="BT17" s="3921"/>
      <c r="BU17" s="3921"/>
      <c r="BV17" s="3921"/>
      <c r="BW17" s="3921"/>
      <c r="BX17" s="3921"/>
      <c r="BY17" s="3921"/>
      <c r="BZ17" s="3921"/>
      <c r="CA17" s="3921"/>
      <c r="CB17" s="3921"/>
      <c r="CC17" s="3921"/>
      <c r="CD17" s="3921"/>
      <c r="CE17" s="3921"/>
      <c r="CF17" s="3921"/>
      <c r="CG17" s="3921"/>
      <c r="CH17" s="3921"/>
      <c r="CI17" s="3921"/>
      <c r="CJ17" s="3921"/>
      <c r="CK17" s="3921"/>
      <c r="CL17" s="3921"/>
      <c r="CM17" s="3921"/>
    </row>
    <row r="18" spans="1:91" ht="44.25" customHeight="1">
      <c r="A18" s="478"/>
      <c r="B18" s="3896" t="s">
        <v>1782</v>
      </c>
      <c r="C18" s="3897" t="s">
        <v>997</v>
      </c>
      <c r="D18" s="3898" t="s">
        <v>1782</v>
      </c>
      <c r="E18" s="3899" t="s">
        <v>2072</v>
      </c>
      <c r="F18" s="3897" t="s">
        <v>997</v>
      </c>
      <c r="G18" s="3900" t="s">
        <v>2072</v>
      </c>
      <c r="H18" s="3901">
        <v>7</v>
      </c>
      <c r="I18" s="3897" t="s">
        <v>997</v>
      </c>
      <c r="J18" s="3898">
        <v>7</v>
      </c>
      <c r="K18" s="3901">
        <v>33</v>
      </c>
      <c r="L18" s="3897" t="s">
        <v>997</v>
      </c>
      <c r="M18" s="3902">
        <v>33</v>
      </c>
      <c r="N18" s="478"/>
      <c r="O18" s="3896" t="s">
        <v>1782</v>
      </c>
      <c r="P18" s="3897" t="s">
        <v>997</v>
      </c>
      <c r="Q18" s="3903" t="s">
        <v>1782</v>
      </c>
      <c r="R18" s="3899" t="s">
        <v>2072</v>
      </c>
      <c r="S18" s="3897" t="s">
        <v>997</v>
      </c>
      <c r="T18" s="3904" t="s">
        <v>2072</v>
      </c>
      <c r="U18" s="3901">
        <v>7</v>
      </c>
      <c r="V18" s="3897" t="s">
        <v>997</v>
      </c>
      <c r="W18" s="3903">
        <v>7</v>
      </c>
      <c r="X18" s="3901">
        <v>33</v>
      </c>
      <c r="Y18" s="3897" t="s">
        <v>997</v>
      </c>
      <c r="Z18" s="3905">
        <v>33</v>
      </c>
      <c r="AA18" s="478"/>
      <c r="AB18" s="478"/>
      <c r="AC18" s="478"/>
      <c r="AD18" s="3906" t="s">
        <v>3583</v>
      </c>
      <c r="AE18" s="3928" t="s">
        <v>3573</v>
      </c>
      <c r="AF18" s="3929">
        <v>0</v>
      </c>
      <c r="AG18" s="3928" t="s">
        <v>3574</v>
      </c>
      <c r="AH18" s="3929">
        <v>0</v>
      </c>
      <c r="AI18" s="3928" t="s">
        <v>3575</v>
      </c>
      <c r="AJ18" s="3929">
        <v>0</v>
      </c>
      <c r="AK18" s="3928" t="s">
        <v>3576</v>
      </c>
      <c r="AL18" s="3929">
        <v>0</v>
      </c>
      <c r="AM18" s="3928" t="s">
        <v>2013</v>
      </c>
      <c r="AN18" s="3929">
        <v>0</v>
      </c>
      <c r="AO18" s="3928" t="s">
        <v>2989</v>
      </c>
      <c r="AP18" s="3929">
        <v>0</v>
      </c>
      <c r="AQ18" s="3928" t="s">
        <v>3577</v>
      </c>
      <c r="AR18" s="3929">
        <v>0</v>
      </c>
      <c r="AS18" s="3928" t="s">
        <v>3578</v>
      </c>
      <c r="AT18" s="3929">
        <v>0</v>
      </c>
      <c r="AU18" s="3928" t="s">
        <v>3579</v>
      </c>
      <c r="AV18" s="3929">
        <v>0</v>
      </c>
      <c r="AW18" s="3928" t="s">
        <v>2014</v>
      </c>
      <c r="AX18" s="3929">
        <v>0</v>
      </c>
      <c r="AY18" s="3928" t="s">
        <v>2015</v>
      </c>
      <c r="AZ18" s="3929">
        <v>0</v>
      </c>
      <c r="BA18" s="3928" t="s">
        <v>2016</v>
      </c>
      <c r="BD18" s="7105" t="s">
        <v>3584</v>
      </c>
      <c r="BE18" s="3930">
        <v>1</v>
      </c>
      <c r="BF18" s="3931"/>
      <c r="BG18" s="3929"/>
      <c r="BH18" s="3930">
        <v>2</v>
      </c>
      <c r="BI18" s="3931"/>
      <c r="BJ18" s="3929"/>
      <c r="BK18" s="3930">
        <v>3</v>
      </c>
      <c r="BL18" s="3931"/>
      <c r="BM18" s="3929"/>
      <c r="BN18" s="3930">
        <v>4</v>
      </c>
      <c r="BO18" s="3931"/>
      <c r="BP18" s="3929"/>
      <c r="BQ18" s="3930">
        <v>5</v>
      </c>
      <c r="BR18" s="3931"/>
      <c r="BS18" s="3929"/>
      <c r="BT18" s="3930">
        <v>6</v>
      </c>
      <c r="BU18" s="3931"/>
      <c r="BV18" s="3929"/>
      <c r="BW18" s="3930">
        <v>7</v>
      </c>
      <c r="BX18" s="3931"/>
      <c r="BY18" s="3929"/>
      <c r="BZ18" s="3930">
        <v>8</v>
      </c>
      <c r="CA18" s="3931"/>
      <c r="CB18" s="3929"/>
      <c r="CC18" s="3930">
        <v>9</v>
      </c>
      <c r="CD18" s="3931"/>
      <c r="CE18" s="3929"/>
      <c r="CF18" s="3930">
        <v>0</v>
      </c>
      <c r="CG18" s="3931"/>
      <c r="CH18" s="3929"/>
      <c r="CI18" s="3930" t="s">
        <v>3555</v>
      </c>
      <c r="CJ18" s="3931"/>
      <c r="CK18" s="3929"/>
      <c r="CL18" s="3930" t="s">
        <v>1289</v>
      </c>
      <c r="CM18" s="3931"/>
    </row>
    <row r="19" spans="1:91" ht="30">
      <c r="A19" s="478"/>
      <c r="B19" s="3896" t="s">
        <v>1698</v>
      </c>
      <c r="C19" s="3897" t="s">
        <v>997</v>
      </c>
      <c r="D19" s="3898" t="s">
        <v>1698</v>
      </c>
      <c r="E19" s="3899" t="s">
        <v>3585</v>
      </c>
      <c r="F19" s="3897" t="s">
        <v>997</v>
      </c>
      <c r="G19" s="3900" t="s">
        <v>3585</v>
      </c>
      <c r="H19" s="3901">
        <v>8</v>
      </c>
      <c r="I19" s="3897" t="s">
        <v>997</v>
      </c>
      <c r="J19" s="3898">
        <v>8</v>
      </c>
      <c r="K19" s="3901">
        <v>34</v>
      </c>
      <c r="L19" s="3897" t="s">
        <v>997</v>
      </c>
      <c r="M19" s="3902">
        <v>34</v>
      </c>
      <c r="N19" s="478"/>
      <c r="O19" s="3896" t="s">
        <v>1698</v>
      </c>
      <c r="P19" s="3897" t="s">
        <v>997</v>
      </c>
      <c r="Q19" s="3903" t="s">
        <v>1698</v>
      </c>
      <c r="R19" s="3899" t="s">
        <v>3585</v>
      </c>
      <c r="S19" s="3897" t="s">
        <v>997</v>
      </c>
      <c r="T19" s="3904" t="s">
        <v>3585</v>
      </c>
      <c r="U19" s="3901">
        <v>8</v>
      </c>
      <c r="V19" s="3897" t="s">
        <v>997</v>
      </c>
      <c r="W19" s="3903">
        <v>8</v>
      </c>
      <c r="X19" s="3901">
        <v>34</v>
      </c>
      <c r="Y19" s="3897" t="s">
        <v>997</v>
      </c>
      <c r="Z19" s="3905">
        <v>34</v>
      </c>
      <c r="AA19" s="478"/>
      <c r="AB19" s="478"/>
      <c r="AC19" s="478"/>
      <c r="AD19" s="3913"/>
      <c r="AE19" s="3921"/>
      <c r="AF19" s="3921"/>
      <c r="AG19" s="3921"/>
      <c r="AH19" s="3921"/>
      <c r="AI19" s="3921"/>
      <c r="AJ19" s="3921"/>
      <c r="AK19" s="3921"/>
      <c r="AL19" s="3921"/>
      <c r="AM19" s="3921"/>
      <c r="AN19" s="3921"/>
      <c r="AO19" s="3921"/>
      <c r="AP19" s="3921"/>
      <c r="AQ19" s="3921"/>
      <c r="AR19" s="3921"/>
      <c r="AS19" s="3921"/>
      <c r="AT19" s="3921"/>
      <c r="AU19" s="3921"/>
      <c r="AV19" s="3921"/>
      <c r="AW19" s="3921"/>
      <c r="AX19" s="3921"/>
      <c r="AY19" s="3921"/>
      <c r="AZ19" s="3921"/>
      <c r="BA19" s="3921"/>
      <c r="BD19" s="7105"/>
      <c r="BE19" s="3932" t="s">
        <v>682</v>
      </c>
      <c r="BF19" s="3933"/>
      <c r="BG19" s="3929"/>
      <c r="BH19" s="3932" t="s">
        <v>3557</v>
      </c>
      <c r="BI19" s="3933" t="s">
        <v>3558</v>
      </c>
      <c r="BJ19" s="3929"/>
      <c r="BK19" s="3932" t="s">
        <v>2007</v>
      </c>
      <c r="BL19" s="3933" t="s">
        <v>2008</v>
      </c>
      <c r="BM19" s="3929"/>
      <c r="BN19" s="3932" t="s">
        <v>3559</v>
      </c>
      <c r="BO19" s="3933" t="s">
        <v>3560</v>
      </c>
      <c r="BP19" s="3929"/>
      <c r="BQ19" s="3932" t="s">
        <v>1331</v>
      </c>
      <c r="BR19" s="3933" t="s">
        <v>3561</v>
      </c>
      <c r="BS19" s="3929"/>
      <c r="BT19" s="3932" t="s">
        <v>1321</v>
      </c>
      <c r="BU19" s="3933" t="s">
        <v>3562</v>
      </c>
      <c r="BV19" s="3929"/>
      <c r="BW19" s="3932" t="s">
        <v>3563</v>
      </c>
      <c r="BX19" s="3933" t="s">
        <v>3564</v>
      </c>
      <c r="BY19" s="3929"/>
      <c r="BZ19" s="3932" t="s">
        <v>3565</v>
      </c>
      <c r="CA19" s="3933" t="s">
        <v>3566</v>
      </c>
      <c r="CB19" s="3929"/>
      <c r="CC19" s="3932" t="s">
        <v>3567</v>
      </c>
      <c r="CD19" s="3933" t="s">
        <v>3568</v>
      </c>
      <c r="CE19" s="3929"/>
      <c r="CF19" s="3932" t="s">
        <v>3569</v>
      </c>
      <c r="CG19" s="3933" t="s">
        <v>78</v>
      </c>
      <c r="CH19" s="3929"/>
      <c r="CI19" s="3932" t="s">
        <v>1330</v>
      </c>
      <c r="CJ19" s="3933" t="s">
        <v>3570</v>
      </c>
      <c r="CK19" s="3929"/>
      <c r="CL19" s="3932" t="s">
        <v>997</v>
      </c>
      <c r="CM19" s="3933" t="s">
        <v>3571</v>
      </c>
    </row>
    <row r="20" spans="1:91" ht="30">
      <c r="A20" s="478"/>
      <c r="B20" s="3896" t="s">
        <v>20</v>
      </c>
      <c r="C20" s="3897" t="s">
        <v>997</v>
      </c>
      <c r="D20" s="3898" t="s">
        <v>20</v>
      </c>
      <c r="E20" s="3899" t="s">
        <v>3586</v>
      </c>
      <c r="F20" s="3897" t="s">
        <v>997</v>
      </c>
      <c r="G20" s="3900" t="s">
        <v>3586</v>
      </c>
      <c r="H20" s="3901">
        <v>9</v>
      </c>
      <c r="I20" s="3897" t="s">
        <v>997</v>
      </c>
      <c r="J20" s="3898">
        <v>9</v>
      </c>
      <c r="K20" s="3901">
        <v>35</v>
      </c>
      <c r="L20" s="3897" t="s">
        <v>997</v>
      </c>
      <c r="M20" s="3902">
        <v>35</v>
      </c>
      <c r="N20" s="478"/>
      <c r="O20" s="3896" t="s">
        <v>20</v>
      </c>
      <c r="P20" s="3897" t="s">
        <v>997</v>
      </c>
      <c r="Q20" s="3903" t="s">
        <v>20</v>
      </c>
      <c r="R20" s="3899" t="s">
        <v>3586</v>
      </c>
      <c r="S20" s="3897" t="s">
        <v>997</v>
      </c>
      <c r="T20" s="3904" t="s">
        <v>3586</v>
      </c>
      <c r="U20" s="3901">
        <v>9</v>
      </c>
      <c r="V20" s="3897" t="s">
        <v>997</v>
      </c>
      <c r="W20" s="3903">
        <v>9</v>
      </c>
      <c r="X20" s="3901">
        <v>35</v>
      </c>
      <c r="Y20" s="3897" t="s">
        <v>997</v>
      </c>
      <c r="Z20" s="3905">
        <v>35</v>
      </c>
      <c r="AA20" s="478"/>
      <c r="AB20" s="478"/>
      <c r="AC20" s="478"/>
      <c r="AD20" s="3906" t="s">
        <v>3587</v>
      </c>
      <c r="AE20" s="3934" t="s">
        <v>3573</v>
      </c>
      <c r="AF20" s="3935">
        <v>0</v>
      </c>
      <c r="AG20" s="3934" t="s">
        <v>3574</v>
      </c>
      <c r="AH20" s="3935">
        <v>0</v>
      </c>
      <c r="AI20" s="3934" t="s">
        <v>3575</v>
      </c>
      <c r="AJ20" s="3935">
        <v>0</v>
      </c>
      <c r="AK20" s="3934" t="s">
        <v>3576</v>
      </c>
      <c r="AL20" s="3935">
        <v>0</v>
      </c>
      <c r="AM20" s="3934" t="s">
        <v>2013</v>
      </c>
      <c r="AN20" s="3935">
        <v>0</v>
      </c>
      <c r="AO20" s="3934" t="s">
        <v>2989</v>
      </c>
      <c r="AP20" s="3935">
        <v>0</v>
      </c>
      <c r="AQ20" s="3934" t="s">
        <v>3577</v>
      </c>
      <c r="AR20" s="3935">
        <v>0</v>
      </c>
      <c r="AS20" s="3934" t="s">
        <v>3578</v>
      </c>
      <c r="AT20" s="3935">
        <v>0</v>
      </c>
      <c r="AU20" s="3934" t="s">
        <v>3579</v>
      </c>
      <c r="AV20" s="3935">
        <v>0</v>
      </c>
      <c r="AW20" s="3934" t="s">
        <v>2014</v>
      </c>
      <c r="AX20" s="3935">
        <v>0</v>
      </c>
      <c r="AY20" s="3934" t="s">
        <v>2015</v>
      </c>
      <c r="AZ20" s="3935">
        <v>0</v>
      </c>
      <c r="BA20" s="3934" t="s">
        <v>2016</v>
      </c>
      <c r="BD20" s="3913"/>
      <c r="BE20" s="3921"/>
      <c r="BF20" s="3921"/>
      <c r="BG20" s="3921"/>
      <c r="BH20" s="3921"/>
      <c r="BI20" s="3921"/>
      <c r="BJ20" s="3921"/>
      <c r="BK20" s="3921"/>
      <c r="BL20" s="3921"/>
      <c r="BM20" s="3921"/>
      <c r="BN20" s="3921"/>
      <c r="BO20" s="3921"/>
      <c r="BP20" s="3921"/>
      <c r="BQ20" s="3921"/>
      <c r="BR20" s="3921"/>
      <c r="BS20" s="3921"/>
      <c r="BT20" s="3921"/>
      <c r="BU20" s="3921"/>
      <c r="BV20" s="3921"/>
      <c r="BW20" s="3921"/>
      <c r="BX20" s="3921"/>
      <c r="BY20" s="3921"/>
      <c r="BZ20" s="3921"/>
      <c r="CA20" s="3921"/>
      <c r="CB20" s="3921"/>
      <c r="CC20" s="3921"/>
      <c r="CD20" s="3921"/>
      <c r="CE20" s="3921"/>
      <c r="CF20" s="3921"/>
      <c r="CG20" s="3921"/>
      <c r="CH20" s="3921"/>
      <c r="CI20" s="3921"/>
      <c r="CJ20" s="3921"/>
      <c r="CK20" s="3921"/>
      <c r="CL20" s="3921"/>
      <c r="CM20" s="3921"/>
    </row>
    <row r="21" spans="1:91" ht="30">
      <c r="A21" s="478"/>
      <c r="B21" s="3896" t="s">
        <v>18</v>
      </c>
      <c r="C21" s="3897" t="s">
        <v>997</v>
      </c>
      <c r="D21" s="3898" t="s">
        <v>18</v>
      </c>
      <c r="E21" s="3899" t="s">
        <v>3588</v>
      </c>
      <c r="F21" s="3897" t="s">
        <v>997</v>
      </c>
      <c r="G21" s="3900" t="s">
        <v>3588</v>
      </c>
      <c r="H21" s="3901">
        <v>10</v>
      </c>
      <c r="I21" s="3897" t="s">
        <v>997</v>
      </c>
      <c r="J21" s="3898">
        <v>10</v>
      </c>
      <c r="K21" s="3901">
        <v>36</v>
      </c>
      <c r="L21" s="3897" t="s">
        <v>997</v>
      </c>
      <c r="M21" s="3902">
        <v>36</v>
      </c>
      <c r="N21" s="478"/>
      <c r="O21" s="3896" t="s">
        <v>18</v>
      </c>
      <c r="P21" s="3897" t="s">
        <v>997</v>
      </c>
      <c r="Q21" s="3903" t="s">
        <v>18</v>
      </c>
      <c r="R21" s="3899" t="s">
        <v>3588</v>
      </c>
      <c r="S21" s="3897" t="s">
        <v>997</v>
      </c>
      <c r="T21" s="3904" t="s">
        <v>3588</v>
      </c>
      <c r="U21" s="3901">
        <v>10</v>
      </c>
      <c r="V21" s="3897" t="s">
        <v>997</v>
      </c>
      <c r="W21" s="3903">
        <v>10</v>
      </c>
      <c r="X21" s="3901">
        <v>36</v>
      </c>
      <c r="Y21" s="3897" t="s">
        <v>997</v>
      </c>
      <c r="Z21" s="3905">
        <v>36</v>
      </c>
      <c r="AA21" s="478"/>
      <c r="AB21" s="478"/>
      <c r="AC21" s="478"/>
      <c r="AD21" s="3913"/>
      <c r="AE21" s="3921"/>
      <c r="AF21" s="3921"/>
      <c r="AG21" s="3921"/>
      <c r="AH21" s="3921"/>
      <c r="AI21" s="3921"/>
      <c r="AJ21" s="3921"/>
      <c r="AK21" s="3921"/>
      <c r="AL21" s="3921"/>
      <c r="AM21" s="3921"/>
      <c r="AN21" s="3921"/>
      <c r="AO21" s="3921"/>
      <c r="AP21" s="3921"/>
      <c r="AQ21" s="3921"/>
      <c r="AR21" s="3921"/>
      <c r="AS21" s="3921"/>
      <c r="AT21" s="3921"/>
      <c r="AU21" s="3921"/>
      <c r="AV21" s="3921"/>
      <c r="AW21" s="3921"/>
      <c r="AX21" s="3921"/>
      <c r="AY21" s="3921"/>
      <c r="AZ21" s="3921"/>
      <c r="BA21" s="3921"/>
      <c r="BD21" s="7105" t="s">
        <v>3589</v>
      </c>
      <c r="BE21" s="3936">
        <v>1</v>
      </c>
      <c r="BF21" s="3937"/>
      <c r="BG21" s="3935"/>
      <c r="BH21" s="3936">
        <v>2</v>
      </c>
      <c r="BI21" s="3937"/>
      <c r="BJ21" s="3935"/>
      <c r="BK21" s="3936">
        <v>3</v>
      </c>
      <c r="BL21" s="3937"/>
      <c r="BM21" s="3935"/>
      <c r="BN21" s="3936">
        <v>4</v>
      </c>
      <c r="BO21" s="3937"/>
      <c r="BP21" s="3935"/>
      <c r="BQ21" s="3936">
        <v>5</v>
      </c>
      <c r="BR21" s="3937"/>
      <c r="BS21" s="3935"/>
      <c r="BT21" s="3936">
        <v>6</v>
      </c>
      <c r="BU21" s="3937"/>
      <c r="BV21" s="3935"/>
      <c r="BW21" s="3936">
        <v>7</v>
      </c>
      <c r="BX21" s="3937"/>
      <c r="BY21" s="3935"/>
      <c r="BZ21" s="3936">
        <v>8</v>
      </c>
      <c r="CA21" s="3937"/>
      <c r="CB21" s="3935"/>
      <c r="CC21" s="3936">
        <v>9</v>
      </c>
      <c r="CD21" s="3937"/>
      <c r="CE21" s="3935"/>
      <c r="CF21" s="3936">
        <v>0</v>
      </c>
      <c r="CG21" s="3937"/>
      <c r="CH21" s="3935"/>
      <c r="CI21" s="3936" t="s">
        <v>3555</v>
      </c>
      <c r="CJ21" s="3937"/>
      <c r="CK21" s="3935"/>
      <c r="CL21" s="3936" t="s">
        <v>1289</v>
      </c>
      <c r="CM21" s="3937"/>
    </row>
    <row r="22" spans="1:91" ht="20.25">
      <c r="A22" s="478"/>
      <c r="B22" s="3896" t="s">
        <v>15</v>
      </c>
      <c r="C22" s="3897" t="s">
        <v>997</v>
      </c>
      <c r="D22" s="3898" t="s">
        <v>15</v>
      </c>
      <c r="E22" s="3899" t="s">
        <v>3590</v>
      </c>
      <c r="F22" s="3897" t="s">
        <v>997</v>
      </c>
      <c r="G22" s="3900" t="s">
        <v>3590</v>
      </c>
      <c r="H22" s="3901">
        <v>11</v>
      </c>
      <c r="I22" s="3897" t="s">
        <v>997</v>
      </c>
      <c r="J22" s="3898">
        <v>11</v>
      </c>
      <c r="K22" s="3901">
        <v>37</v>
      </c>
      <c r="L22" s="3897" t="s">
        <v>997</v>
      </c>
      <c r="M22" s="3902">
        <v>37</v>
      </c>
      <c r="N22" s="478"/>
      <c r="O22" s="3896" t="s">
        <v>15</v>
      </c>
      <c r="P22" s="3897" t="s">
        <v>997</v>
      </c>
      <c r="Q22" s="3903" t="s">
        <v>15</v>
      </c>
      <c r="R22" s="3899" t="s">
        <v>3590</v>
      </c>
      <c r="S22" s="3897" t="s">
        <v>997</v>
      </c>
      <c r="T22" s="3904" t="s">
        <v>3590</v>
      </c>
      <c r="U22" s="3901">
        <v>11</v>
      </c>
      <c r="V22" s="3897" t="s">
        <v>997</v>
      </c>
      <c r="W22" s="3903">
        <v>11</v>
      </c>
      <c r="X22" s="3901">
        <v>37</v>
      </c>
      <c r="Y22" s="3897" t="s">
        <v>997</v>
      </c>
      <c r="Z22" s="3905">
        <v>37</v>
      </c>
      <c r="AA22" s="478"/>
      <c r="AB22" s="478"/>
      <c r="AC22" s="478"/>
      <c r="AD22" s="3906" t="s">
        <v>3591</v>
      </c>
      <c r="AE22" s="3938" t="s">
        <v>3573</v>
      </c>
      <c r="AF22" s="3939">
        <v>0</v>
      </c>
      <c r="AG22" s="3938" t="s">
        <v>3574</v>
      </c>
      <c r="AH22" s="3939">
        <v>0</v>
      </c>
      <c r="AI22" s="3938" t="s">
        <v>3575</v>
      </c>
      <c r="AJ22" s="3939">
        <v>0</v>
      </c>
      <c r="AK22" s="3938" t="s">
        <v>3576</v>
      </c>
      <c r="AL22" s="3939">
        <v>0</v>
      </c>
      <c r="AM22" s="3938" t="s">
        <v>2013</v>
      </c>
      <c r="AN22" s="3939">
        <v>0</v>
      </c>
      <c r="AO22" s="3938" t="s">
        <v>2989</v>
      </c>
      <c r="AP22" s="3939">
        <v>0</v>
      </c>
      <c r="AQ22" s="3938" t="s">
        <v>3577</v>
      </c>
      <c r="AR22" s="3939">
        <v>0</v>
      </c>
      <c r="AS22" s="3938" t="s">
        <v>3578</v>
      </c>
      <c r="AT22" s="3939">
        <v>0</v>
      </c>
      <c r="AU22" s="3938" t="s">
        <v>3579</v>
      </c>
      <c r="AV22" s="3939">
        <v>0</v>
      </c>
      <c r="AW22" s="3938" t="s">
        <v>2014</v>
      </c>
      <c r="AX22" s="3939">
        <v>0</v>
      </c>
      <c r="AY22" s="3938" t="s">
        <v>2015</v>
      </c>
      <c r="AZ22" s="3939">
        <v>0</v>
      </c>
      <c r="BA22" s="3938" t="s">
        <v>2016</v>
      </c>
      <c r="BD22" s="7105"/>
      <c r="BE22" s="3940" t="s">
        <v>682</v>
      </c>
      <c r="BF22" s="3941"/>
      <c r="BG22" s="3935"/>
      <c r="BH22" s="3940" t="s">
        <v>3557</v>
      </c>
      <c r="BI22" s="3941" t="s">
        <v>3558</v>
      </c>
      <c r="BJ22" s="3935"/>
      <c r="BK22" s="3940" t="s">
        <v>2007</v>
      </c>
      <c r="BL22" s="3941" t="s">
        <v>2008</v>
      </c>
      <c r="BM22" s="3935"/>
      <c r="BN22" s="3940" t="s">
        <v>3559</v>
      </c>
      <c r="BO22" s="3941" t="s">
        <v>3560</v>
      </c>
      <c r="BP22" s="3935"/>
      <c r="BQ22" s="3940" t="s">
        <v>1331</v>
      </c>
      <c r="BR22" s="3941" t="s">
        <v>3561</v>
      </c>
      <c r="BS22" s="3935"/>
      <c r="BT22" s="3940" t="s">
        <v>1321</v>
      </c>
      <c r="BU22" s="3941" t="s">
        <v>3562</v>
      </c>
      <c r="BV22" s="3935"/>
      <c r="BW22" s="3940" t="s">
        <v>3563</v>
      </c>
      <c r="BX22" s="3941" t="s">
        <v>3564</v>
      </c>
      <c r="BY22" s="3935"/>
      <c r="BZ22" s="3940" t="s">
        <v>3565</v>
      </c>
      <c r="CA22" s="3941" t="s">
        <v>3566</v>
      </c>
      <c r="CB22" s="3935"/>
      <c r="CC22" s="3940" t="s">
        <v>3567</v>
      </c>
      <c r="CD22" s="3941" t="s">
        <v>3568</v>
      </c>
      <c r="CE22" s="3935"/>
      <c r="CF22" s="3940" t="s">
        <v>3569</v>
      </c>
      <c r="CG22" s="3941" t="s">
        <v>78</v>
      </c>
      <c r="CH22" s="3935"/>
      <c r="CI22" s="3940" t="s">
        <v>1330</v>
      </c>
      <c r="CJ22" s="3941" t="s">
        <v>3570</v>
      </c>
      <c r="CK22" s="3935"/>
      <c r="CL22" s="3940" t="s">
        <v>997</v>
      </c>
      <c r="CM22" s="3941" t="s">
        <v>3571</v>
      </c>
    </row>
    <row r="23" spans="1:91" ht="30">
      <c r="A23" s="478"/>
      <c r="B23" s="3896" t="s">
        <v>398</v>
      </c>
      <c r="C23" s="3897" t="s">
        <v>997</v>
      </c>
      <c r="D23" s="3898" t="s">
        <v>398</v>
      </c>
      <c r="E23" s="3899" t="s">
        <v>3592</v>
      </c>
      <c r="F23" s="3897" t="s">
        <v>997</v>
      </c>
      <c r="G23" s="3900" t="s">
        <v>3592</v>
      </c>
      <c r="H23" s="3901">
        <v>12</v>
      </c>
      <c r="I23" s="3897" t="s">
        <v>997</v>
      </c>
      <c r="J23" s="3942">
        <v>12</v>
      </c>
      <c r="K23" s="3901">
        <v>38</v>
      </c>
      <c r="L23" s="3897" t="s">
        <v>997</v>
      </c>
      <c r="M23" s="3902">
        <v>38</v>
      </c>
      <c r="N23" s="478"/>
      <c r="O23" s="3896" t="s">
        <v>398</v>
      </c>
      <c r="P23" s="3897" t="s">
        <v>997</v>
      </c>
      <c r="Q23" s="3903" t="s">
        <v>398</v>
      </c>
      <c r="R23" s="3899" t="s">
        <v>3592</v>
      </c>
      <c r="S23" s="3897" t="s">
        <v>997</v>
      </c>
      <c r="T23" s="3904" t="s">
        <v>3592</v>
      </c>
      <c r="U23" s="3901">
        <v>12</v>
      </c>
      <c r="V23" s="3897" t="s">
        <v>997</v>
      </c>
      <c r="W23" s="3903">
        <v>12</v>
      </c>
      <c r="X23" s="3901">
        <v>38</v>
      </c>
      <c r="Y23" s="3897" t="s">
        <v>997</v>
      </c>
      <c r="Z23" s="3905">
        <v>38</v>
      </c>
      <c r="AA23" s="478"/>
      <c r="AB23" s="478"/>
      <c r="AC23" s="478"/>
      <c r="BD23" s="3913"/>
      <c r="BE23" s="3921"/>
      <c r="BF23" s="3921"/>
      <c r="BG23" s="3921"/>
      <c r="BH23" s="3921"/>
      <c r="BI23" s="3921"/>
      <c r="BJ23" s="3921"/>
      <c r="BK23" s="3921"/>
      <c r="BL23" s="3921"/>
      <c r="BM23" s="3921"/>
      <c r="BN23" s="3921"/>
      <c r="BO23" s="3921"/>
      <c r="BP23" s="3921"/>
      <c r="BQ23" s="3921"/>
      <c r="BR23" s="3921"/>
      <c r="BS23" s="3921"/>
      <c r="BT23" s="3921"/>
      <c r="BU23" s="3921"/>
      <c r="BV23" s="3921"/>
      <c r="BW23" s="3921"/>
      <c r="BX23" s="3921"/>
      <c r="BY23" s="3921"/>
      <c r="BZ23" s="3921"/>
      <c r="CA23" s="3921"/>
      <c r="CB23" s="3921"/>
      <c r="CC23" s="3921"/>
      <c r="CD23" s="3921"/>
      <c r="CE23" s="3921"/>
      <c r="CF23" s="3921"/>
      <c r="CG23" s="3921"/>
      <c r="CH23" s="3921"/>
      <c r="CI23" s="3921"/>
      <c r="CJ23" s="3921"/>
      <c r="CK23" s="3921"/>
      <c r="CL23" s="3921"/>
      <c r="CM23" s="3921"/>
    </row>
    <row r="24" spans="1:91" ht="23.25">
      <c r="A24" s="478"/>
      <c r="B24" s="3896" t="s">
        <v>807</v>
      </c>
      <c r="C24" s="3897" t="s">
        <v>997</v>
      </c>
      <c r="D24" s="3898" t="s">
        <v>807</v>
      </c>
      <c r="E24" s="3899" t="s">
        <v>3593</v>
      </c>
      <c r="F24" s="3897" t="s">
        <v>997</v>
      </c>
      <c r="G24" s="3900" t="s">
        <v>3593</v>
      </c>
      <c r="H24" s="3901">
        <v>13</v>
      </c>
      <c r="I24" s="3897" t="s">
        <v>997</v>
      </c>
      <c r="J24" s="3942">
        <v>13</v>
      </c>
      <c r="K24" s="3901">
        <v>39</v>
      </c>
      <c r="L24" s="3897" t="s">
        <v>997</v>
      </c>
      <c r="M24" s="3902">
        <v>39</v>
      </c>
      <c r="N24" s="478"/>
      <c r="O24" s="3896" t="s">
        <v>807</v>
      </c>
      <c r="P24" s="3897" t="s">
        <v>997</v>
      </c>
      <c r="Q24" s="3903" t="s">
        <v>807</v>
      </c>
      <c r="R24" s="3899" t="s">
        <v>3593</v>
      </c>
      <c r="S24" s="3897" t="s">
        <v>997</v>
      </c>
      <c r="T24" s="3904" t="s">
        <v>3593</v>
      </c>
      <c r="U24" s="3901">
        <v>13</v>
      </c>
      <c r="V24" s="3897" t="s">
        <v>997</v>
      </c>
      <c r="W24" s="3903">
        <v>13</v>
      </c>
      <c r="X24" s="3901">
        <v>39</v>
      </c>
      <c r="Y24" s="3897" t="s">
        <v>997</v>
      </c>
      <c r="Z24" s="3905">
        <v>39</v>
      </c>
      <c r="AA24" s="478"/>
      <c r="AB24" s="478"/>
      <c r="AC24" s="478"/>
      <c r="AD24" s="3892" t="s">
        <v>3594</v>
      </c>
      <c r="BD24" s="7105" t="s">
        <v>3591</v>
      </c>
      <c r="BE24" s="3943">
        <v>1</v>
      </c>
      <c r="BF24" s="3944"/>
      <c r="BG24" s="3939"/>
      <c r="BH24" s="3943">
        <v>2</v>
      </c>
      <c r="BI24" s="3944"/>
      <c r="BJ24" s="3939"/>
      <c r="BK24" s="3943">
        <v>3</v>
      </c>
      <c r="BL24" s="3944"/>
      <c r="BM24" s="3939"/>
      <c r="BN24" s="3943">
        <v>4</v>
      </c>
      <c r="BO24" s="3944"/>
      <c r="BP24" s="3939"/>
      <c r="BQ24" s="3943">
        <v>5</v>
      </c>
      <c r="BR24" s="3944"/>
      <c r="BS24" s="3939"/>
      <c r="BT24" s="3943">
        <v>6</v>
      </c>
      <c r="BU24" s="3944"/>
      <c r="BV24" s="3939"/>
      <c r="BW24" s="3943">
        <v>7</v>
      </c>
      <c r="BX24" s="3944"/>
      <c r="BY24" s="3939"/>
      <c r="BZ24" s="3943">
        <v>8</v>
      </c>
      <c r="CA24" s="3944"/>
      <c r="CB24" s="3939"/>
      <c r="CC24" s="3943">
        <v>9</v>
      </c>
      <c r="CD24" s="3944"/>
      <c r="CE24" s="3939"/>
      <c r="CF24" s="3943">
        <v>0</v>
      </c>
      <c r="CG24" s="3944"/>
      <c r="CH24" s="3939"/>
      <c r="CI24" s="3943" t="s">
        <v>3555</v>
      </c>
      <c r="CJ24" s="3944"/>
      <c r="CK24" s="3939"/>
      <c r="CL24" s="3943" t="s">
        <v>1289</v>
      </c>
      <c r="CM24" s="3944"/>
    </row>
    <row r="25" spans="1:91" ht="20.25">
      <c r="A25" s="478"/>
      <c r="B25" s="3896" t="s">
        <v>808</v>
      </c>
      <c r="C25" s="3897" t="s">
        <v>997</v>
      </c>
      <c r="D25" s="3898" t="s">
        <v>808</v>
      </c>
      <c r="E25" s="3899" t="s">
        <v>3595</v>
      </c>
      <c r="F25" s="3897" t="s">
        <v>997</v>
      </c>
      <c r="G25" s="3900" t="s">
        <v>3595</v>
      </c>
      <c r="H25" s="3901">
        <v>14</v>
      </c>
      <c r="I25" s="3897" t="s">
        <v>997</v>
      </c>
      <c r="J25" s="3942">
        <v>14</v>
      </c>
      <c r="K25" s="3901">
        <v>40</v>
      </c>
      <c r="L25" s="3897" t="s">
        <v>997</v>
      </c>
      <c r="M25" s="3902">
        <v>40</v>
      </c>
      <c r="N25" s="478"/>
      <c r="O25" s="3896" t="s">
        <v>808</v>
      </c>
      <c r="P25" s="3897" t="s">
        <v>997</v>
      </c>
      <c r="Q25" s="3903" t="s">
        <v>808</v>
      </c>
      <c r="R25" s="3899" t="s">
        <v>3595</v>
      </c>
      <c r="S25" s="3897" t="s">
        <v>997</v>
      </c>
      <c r="T25" s="3904" t="s">
        <v>3595</v>
      </c>
      <c r="U25" s="3901">
        <v>14</v>
      </c>
      <c r="V25" s="3897" t="s">
        <v>997</v>
      </c>
      <c r="W25" s="3903">
        <v>14</v>
      </c>
      <c r="X25" s="3901">
        <v>40</v>
      </c>
      <c r="Y25" s="3897" t="s">
        <v>997</v>
      </c>
      <c r="Z25" s="3905">
        <v>40</v>
      </c>
      <c r="AA25" s="478"/>
      <c r="AB25" s="478"/>
      <c r="AC25" s="478"/>
      <c r="AD25" s="3906" t="s">
        <v>3541</v>
      </c>
      <c r="AE25" s="3945" t="s">
        <v>3596</v>
      </c>
      <c r="AF25" s="3946"/>
      <c r="AG25" s="3945" t="s">
        <v>3597</v>
      </c>
      <c r="AH25" s="3946"/>
      <c r="AI25" s="3945" t="s">
        <v>3598</v>
      </c>
      <c r="AJ25" s="3946"/>
      <c r="AK25" s="3945" t="s">
        <v>3599</v>
      </c>
      <c r="AL25" s="3946"/>
      <c r="AM25" s="3945" t="s">
        <v>3600</v>
      </c>
      <c r="AN25" s="3946"/>
      <c r="AO25" s="3945" t="s">
        <v>3601</v>
      </c>
      <c r="AP25" s="3946"/>
      <c r="AQ25" s="3945" t="s">
        <v>3602</v>
      </c>
      <c r="AR25" s="3946"/>
      <c r="AS25" s="3945" t="s">
        <v>3603</v>
      </c>
      <c r="AT25" s="3946"/>
      <c r="AU25" s="3945" t="s">
        <v>3604</v>
      </c>
      <c r="AV25" s="3946"/>
      <c r="AW25" s="3945" t="s">
        <v>3605</v>
      </c>
      <c r="AX25" s="3946"/>
      <c r="AY25" s="3945" t="s">
        <v>3606</v>
      </c>
      <c r="AZ25" s="3946"/>
      <c r="BA25" s="3945" t="s">
        <v>3607</v>
      </c>
      <c r="BD25" s="7105"/>
      <c r="BE25" s="3947" t="s">
        <v>682</v>
      </c>
      <c r="BF25" s="3948"/>
      <c r="BG25" s="3939"/>
      <c r="BH25" s="3947" t="s">
        <v>3557</v>
      </c>
      <c r="BI25" s="3948" t="s">
        <v>3558</v>
      </c>
      <c r="BJ25" s="3939"/>
      <c r="BK25" s="3947" t="s">
        <v>2007</v>
      </c>
      <c r="BL25" s="3948" t="s">
        <v>2008</v>
      </c>
      <c r="BM25" s="3939"/>
      <c r="BN25" s="3947" t="s">
        <v>3559</v>
      </c>
      <c r="BO25" s="3948" t="s">
        <v>3560</v>
      </c>
      <c r="BP25" s="3939"/>
      <c r="BQ25" s="3947" t="s">
        <v>1331</v>
      </c>
      <c r="BR25" s="3948" t="s">
        <v>3561</v>
      </c>
      <c r="BS25" s="3939"/>
      <c r="BT25" s="3947" t="s">
        <v>1321</v>
      </c>
      <c r="BU25" s="3948" t="s">
        <v>3562</v>
      </c>
      <c r="BV25" s="3939"/>
      <c r="BW25" s="3947" t="s">
        <v>3563</v>
      </c>
      <c r="BX25" s="3948" t="s">
        <v>3564</v>
      </c>
      <c r="BY25" s="3939"/>
      <c r="BZ25" s="3947" t="s">
        <v>3565</v>
      </c>
      <c r="CA25" s="3948" t="s">
        <v>3566</v>
      </c>
      <c r="CB25" s="3939"/>
      <c r="CC25" s="3947" t="s">
        <v>3567</v>
      </c>
      <c r="CD25" s="3948" t="s">
        <v>3568</v>
      </c>
      <c r="CE25" s="3939"/>
      <c r="CF25" s="3947" t="s">
        <v>3569</v>
      </c>
      <c r="CG25" s="3948" t="s">
        <v>78</v>
      </c>
      <c r="CH25" s="3939"/>
      <c r="CI25" s="3947" t="s">
        <v>1330</v>
      </c>
      <c r="CJ25" s="3948" t="s">
        <v>3570</v>
      </c>
      <c r="CK25" s="3939"/>
      <c r="CL25" s="3947" t="s">
        <v>997</v>
      </c>
      <c r="CM25" s="3948" t="s">
        <v>3571</v>
      </c>
    </row>
    <row r="26" spans="1:91" ht="30">
      <c r="A26" s="478"/>
      <c r="B26" s="3896" t="s">
        <v>809</v>
      </c>
      <c r="C26" s="3897" t="s">
        <v>997</v>
      </c>
      <c r="D26" s="3898" t="s">
        <v>809</v>
      </c>
      <c r="E26" s="3899" t="s">
        <v>3608</v>
      </c>
      <c r="F26" s="3897" t="s">
        <v>997</v>
      </c>
      <c r="G26" s="3900" t="s">
        <v>3608</v>
      </c>
      <c r="H26" s="3901">
        <v>15</v>
      </c>
      <c r="I26" s="3897" t="s">
        <v>997</v>
      </c>
      <c r="J26" s="3942">
        <v>15</v>
      </c>
      <c r="K26" s="3901">
        <v>41</v>
      </c>
      <c r="L26" s="3897" t="s">
        <v>997</v>
      </c>
      <c r="M26" s="3902">
        <v>41</v>
      </c>
      <c r="N26" s="478"/>
      <c r="O26" s="3896" t="s">
        <v>809</v>
      </c>
      <c r="P26" s="3897" t="s">
        <v>997</v>
      </c>
      <c r="Q26" s="3903" t="s">
        <v>809</v>
      </c>
      <c r="R26" s="3899" t="s">
        <v>3608</v>
      </c>
      <c r="S26" s="3897" t="s">
        <v>997</v>
      </c>
      <c r="T26" s="3904" t="s">
        <v>3608</v>
      </c>
      <c r="U26" s="3901">
        <v>15</v>
      </c>
      <c r="V26" s="3897" t="s">
        <v>997</v>
      </c>
      <c r="W26" s="3903">
        <v>15</v>
      </c>
      <c r="X26" s="3901">
        <v>41</v>
      </c>
      <c r="Y26" s="3897" t="s">
        <v>997</v>
      </c>
      <c r="Z26" s="3905">
        <v>41</v>
      </c>
      <c r="AA26" s="478"/>
      <c r="AB26" s="478"/>
      <c r="AC26" s="478"/>
      <c r="AD26" s="3913"/>
      <c r="AE26" s="3949"/>
      <c r="AF26" s="3949"/>
      <c r="AG26" s="3949"/>
      <c r="AH26" s="3949"/>
      <c r="AI26" s="3949"/>
      <c r="AJ26" s="3949"/>
      <c r="AK26" s="3949"/>
      <c r="AL26" s="3949"/>
      <c r="AM26" s="3949"/>
      <c r="AN26" s="3949"/>
      <c r="AO26" s="3949"/>
      <c r="AP26" s="3949"/>
      <c r="AQ26" s="3949"/>
      <c r="AR26" s="3949"/>
      <c r="AS26" s="3949"/>
      <c r="AT26" s="3949"/>
      <c r="AU26" s="3949"/>
      <c r="AV26" s="3949"/>
      <c r="AW26" s="3949"/>
      <c r="AX26" s="3949"/>
      <c r="AY26" s="3949"/>
      <c r="AZ26" s="3949"/>
      <c r="BA26" s="3949"/>
      <c r="BD26" s="3913"/>
      <c r="BE26" s="3921"/>
      <c r="BF26" s="3921"/>
      <c r="BG26" s="3921"/>
      <c r="BH26" s="3921"/>
      <c r="BI26" s="3921"/>
      <c r="BJ26" s="3921"/>
      <c r="BK26" s="3921"/>
      <c r="BL26" s="3921"/>
      <c r="BM26" s="3921"/>
      <c r="BN26" s="3921"/>
      <c r="BO26" s="3921"/>
      <c r="BP26" s="3921"/>
      <c r="BQ26" s="3921"/>
      <c r="BR26" s="3921"/>
      <c r="BS26" s="3921"/>
      <c r="BT26" s="3921"/>
      <c r="BU26" s="3921"/>
      <c r="BV26" s="3921"/>
      <c r="BW26" s="3921"/>
      <c r="BX26" s="3921"/>
      <c r="BY26" s="3921"/>
      <c r="BZ26" s="3921"/>
      <c r="CA26" s="3921"/>
      <c r="CB26" s="3921"/>
      <c r="CC26" s="3921"/>
      <c r="CD26" s="3921"/>
      <c r="CE26" s="3921"/>
      <c r="CF26" s="3921"/>
      <c r="CG26" s="3921"/>
      <c r="CH26" s="3921"/>
      <c r="CI26" s="3921"/>
      <c r="CJ26" s="3921"/>
      <c r="CK26" s="3921"/>
      <c r="CL26" s="3921"/>
      <c r="CM26" s="3921"/>
    </row>
    <row r="27" spans="1:91" ht="33">
      <c r="A27" s="478"/>
      <c r="B27" s="3896" t="s">
        <v>810</v>
      </c>
      <c r="C27" s="3897" t="s">
        <v>997</v>
      </c>
      <c r="D27" s="3898" t="s">
        <v>810</v>
      </c>
      <c r="E27" s="3899" t="s">
        <v>593</v>
      </c>
      <c r="F27" s="3897" t="s">
        <v>997</v>
      </c>
      <c r="G27" s="3900" t="s">
        <v>593</v>
      </c>
      <c r="H27" s="3901">
        <v>16</v>
      </c>
      <c r="I27" s="3897" t="s">
        <v>997</v>
      </c>
      <c r="J27" s="3942">
        <v>16</v>
      </c>
      <c r="K27" s="3901">
        <v>42</v>
      </c>
      <c r="L27" s="3897" t="s">
        <v>997</v>
      </c>
      <c r="M27" s="3902">
        <v>42</v>
      </c>
      <c r="N27" s="478"/>
      <c r="O27" s="3896" t="s">
        <v>810</v>
      </c>
      <c r="P27" s="3897" t="s">
        <v>997</v>
      </c>
      <c r="Q27" s="3903" t="s">
        <v>810</v>
      </c>
      <c r="R27" s="3899" t="s">
        <v>593</v>
      </c>
      <c r="S27" s="3897" t="s">
        <v>997</v>
      </c>
      <c r="T27" s="3904" t="s">
        <v>593</v>
      </c>
      <c r="U27" s="3901">
        <v>16</v>
      </c>
      <c r="V27" s="3897" t="s">
        <v>997</v>
      </c>
      <c r="W27" s="3903">
        <v>16</v>
      </c>
      <c r="X27" s="3901">
        <v>42</v>
      </c>
      <c r="Y27" s="3897" t="s">
        <v>997</v>
      </c>
      <c r="Z27" s="3905">
        <v>42</v>
      </c>
      <c r="AA27" s="478"/>
      <c r="AB27" s="478"/>
      <c r="AC27" s="478"/>
      <c r="AD27" s="3906" t="s">
        <v>1987</v>
      </c>
      <c r="AE27" s="3950" t="s">
        <v>2017</v>
      </c>
      <c r="AF27" s="3951"/>
      <c r="AG27" s="3950" t="s">
        <v>3609</v>
      </c>
      <c r="AH27" s="3951"/>
      <c r="AI27" s="3950" t="s">
        <v>3610</v>
      </c>
      <c r="AJ27" s="3951"/>
      <c r="AK27" s="3950" t="s">
        <v>3611</v>
      </c>
      <c r="AL27" s="3951"/>
      <c r="AM27" s="3950" t="s">
        <v>3612</v>
      </c>
      <c r="AN27" s="3951"/>
      <c r="AO27" s="3950" t="s">
        <v>3613</v>
      </c>
      <c r="AP27" s="3951"/>
      <c r="AQ27" s="3950" t="s">
        <v>3614</v>
      </c>
      <c r="AR27" s="3951"/>
      <c r="AS27" s="3950" t="s">
        <v>3615</v>
      </c>
      <c r="AT27" s="3951"/>
      <c r="AU27" s="3950" t="s">
        <v>3616</v>
      </c>
      <c r="AV27" s="3951"/>
      <c r="AW27" s="3950" t="s">
        <v>3617</v>
      </c>
      <c r="AX27" s="3951"/>
      <c r="AY27" s="3950" t="s">
        <v>3618</v>
      </c>
      <c r="AZ27" s="3951"/>
      <c r="BA27" s="3950" t="s">
        <v>3619</v>
      </c>
      <c r="BD27" s="3913"/>
      <c r="BE27" s="3893" t="s">
        <v>3620</v>
      </c>
      <c r="BF27" s="3921"/>
      <c r="BG27" s="3921"/>
      <c r="BH27" s="3921"/>
      <c r="BI27" s="3921"/>
      <c r="BJ27" s="3921"/>
      <c r="BK27" s="3921"/>
      <c r="BL27" s="3921"/>
      <c r="BM27" s="3921"/>
      <c r="BN27" s="3921"/>
      <c r="BO27" s="3921"/>
      <c r="BP27" s="3921"/>
      <c r="BQ27" s="3921"/>
      <c r="BR27" s="3921"/>
      <c r="BS27" s="3921"/>
      <c r="BT27" s="3921"/>
      <c r="BU27" s="3921"/>
      <c r="BV27" s="3921"/>
      <c r="BW27" s="3921"/>
      <c r="BX27" s="3921"/>
      <c r="BY27" s="3921"/>
      <c r="BZ27" s="3921"/>
      <c r="CA27" s="3921"/>
      <c r="CB27" s="3921"/>
      <c r="CC27" s="3921"/>
      <c r="CD27" s="3921"/>
      <c r="CE27" s="3921"/>
      <c r="CF27" s="3921"/>
      <c r="CG27" s="3921"/>
      <c r="CH27" s="3921"/>
      <c r="CI27" s="3921"/>
      <c r="CJ27" s="3921"/>
      <c r="CK27" s="3921"/>
      <c r="CL27" s="3921"/>
      <c r="CM27" s="3921"/>
    </row>
    <row r="28" spans="1:91" ht="33">
      <c r="A28" s="478"/>
      <c r="B28" s="3896" t="s">
        <v>811</v>
      </c>
      <c r="C28" s="3897" t="s">
        <v>997</v>
      </c>
      <c r="D28" s="3898" t="s">
        <v>811</v>
      </c>
      <c r="E28" s="3899" t="s">
        <v>473</v>
      </c>
      <c r="F28" s="3897" t="s">
        <v>997</v>
      </c>
      <c r="G28" s="3900" t="s">
        <v>473</v>
      </c>
      <c r="H28" s="3901">
        <v>17</v>
      </c>
      <c r="I28" s="3897" t="s">
        <v>997</v>
      </c>
      <c r="J28" s="3942">
        <v>17</v>
      </c>
      <c r="K28" s="3901">
        <v>43</v>
      </c>
      <c r="L28" s="3897" t="s">
        <v>997</v>
      </c>
      <c r="M28" s="3902">
        <v>43</v>
      </c>
      <c r="N28" s="478"/>
      <c r="O28" s="3896" t="s">
        <v>811</v>
      </c>
      <c r="P28" s="3897" t="s">
        <v>997</v>
      </c>
      <c r="Q28" s="3903" t="s">
        <v>811</v>
      </c>
      <c r="R28" s="3899" t="s">
        <v>473</v>
      </c>
      <c r="S28" s="3897" t="s">
        <v>997</v>
      </c>
      <c r="T28" s="3904" t="s">
        <v>473</v>
      </c>
      <c r="U28" s="3901">
        <v>17</v>
      </c>
      <c r="V28" s="3897" t="s">
        <v>997</v>
      </c>
      <c r="W28" s="3903">
        <v>17</v>
      </c>
      <c r="X28" s="3901">
        <v>43</v>
      </c>
      <c r="Y28" s="3897" t="s">
        <v>997</v>
      </c>
      <c r="Z28" s="3905">
        <v>43</v>
      </c>
      <c r="AA28" s="478"/>
      <c r="AB28" s="478"/>
      <c r="AC28" s="478"/>
      <c r="AD28" s="3913"/>
      <c r="AE28" s="3952"/>
      <c r="AF28" s="3952"/>
      <c r="AG28" s="3952"/>
      <c r="AH28" s="3952"/>
      <c r="AI28" s="3952"/>
      <c r="AJ28" s="3952"/>
      <c r="AK28" s="3952"/>
      <c r="AL28" s="3952"/>
      <c r="AM28" s="3952"/>
      <c r="AN28" s="3952"/>
      <c r="AO28" s="3952"/>
      <c r="AP28" s="3952"/>
      <c r="AQ28" s="3952"/>
      <c r="AR28" s="3952"/>
      <c r="AS28" s="3952"/>
      <c r="AT28" s="3952"/>
      <c r="AU28" s="3952"/>
      <c r="AV28" s="3952"/>
      <c r="AW28" s="3952"/>
      <c r="AX28" s="3952"/>
      <c r="AY28" s="3952"/>
      <c r="AZ28" s="3952"/>
      <c r="BA28" s="3952"/>
      <c r="BD28" s="7107" t="s">
        <v>3554</v>
      </c>
      <c r="BE28" s="3909" t="s">
        <v>24</v>
      </c>
      <c r="BF28" s="3910"/>
      <c r="BG28" s="3911"/>
      <c r="BH28" s="3909" t="s">
        <v>597</v>
      </c>
      <c r="BI28" s="3910"/>
      <c r="BJ28" s="3911"/>
      <c r="BK28" s="3909" t="s">
        <v>1697</v>
      </c>
      <c r="BL28" s="3910"/>
      <c r="BM28" s="3911"/>
      <c r="BN28" s="3909" t="s">
        <v>812</v>
      </c>
      <c r="BO28" s="3910"/>
      <c r="BP28" s="3911"/>
      <c r="BQ28" s="3909" t="s">
        <v>813</v>
      </c>
      <c r="BR28" s="3910"/>
      <c r="BS28" s="3911"/>
      <c r="BT28" s="3909" t="s">
        <v>3621</v>
      </c>
      <c r="BU28" s="3910"/>
      <c r="BV28" s="3911"/>
      <c r="BW28" s="3909" t="s">
        <v>814</v>
      </c>
      <c r="BX28" s="3910"/>
      <c r="BY28" s="3911"/>
      <c r="BZ28" s="3909" t="s">
        <v>20</v>
      </c>
      <c r="CA28" s="3910"/>
      <c r="CB28" s="3911"/>
      <c r="CC28" s="3909" t="s">
        <v>809</v>
      </c>
      <c r="CD28" s="3910"/>
      <c r="CE28" s="3911"/>
      <c r="CF28" s="3909" t="s">
        <v>810</v>
      </c>
      <c r="CG28" s="3910"/>
      <c r="CH28" s="3911"/>
      <c r="CI28" s="3909" t="s">
        <v>3622</v>
      </c>
      <c r="CJ28" s="3910"/>
      <c r="CK28" s="3911"/>
      <c r="CL28" s="3909" t="s">
        <v>3623</v>
      </c>
      <c r="CM28" s="3910"/>
    </row>
    <row r="29" spans="1:91" ht="20.25">
      <c r="A29" s="478"/>
      <c r="B29" s="3896" t="s">
        <v>812</v>
      </c>
      <c r="C29" s="3897" t="s">
        <v>997</v>
      </c>
      <c r="D29" s="3898" t="s">
        <v>812</v>
      </c>
      <c r="E29" s="3899" t="s">
        <v>3624</v>
      </c>
      <c r="F29" s="3897" t="s">
        <v>997</v>
      </c>
      <c r="G29" s="3900" t="s">
        <v>3624</v>
      </c>
      <c r="H29" s="3901">
        <v>18</v>
      </c>
      <c r="I29" s="3897" t="s">
        <v>997</v>
      </c>
      <c r="J29" s="3942">
        <v>18</v>
      </c>
      <c r="K29" s="3901">
        <v>44</v>
      </c>
      <c r="L29" s="3897" t="s">
        <v>997</v>
      </c>
      <c r="M29" s="3902">
        <v>44</v>
      </c>
      <c r="N29" s="478"/>
      <c r="O29" s="3896" t="s">
        <v>812</v>
      </c>
      <c r="P29" s="3897" t="s">
        <v>997</v>
      </c>
      <c r="Q29" s="3903" t="s">
        <v>812</v>
      </c>
      <c r="R29" s="3899" t="s">
        <v>3624</v>
      </c>
      <c r="S29" s="3897" t="s">
        <v>997</v>
      </c>
      <c r="T29" s="3904" t="s">
        <v>3624</v>
      </c>
      <c r="U29" s="3901">
        <v>18</v>
      </c>
      <c r="V29" s="3897" t="s">
        <v>997</v>
      </c>
      <c r="W29" s="3903">
        <v>18</v>
      </c>
      <c r="X29" s="3901">
        <v>44</v>
      </c>
      <c r="Y29" s="3897" t="s">
        <v>997</v>
      </c>
      <c r="Z29" s="3905">
        <v>44</v>
      </c>
      <c r="AA29" s="478"/>
      <c r="AB29" s="478"/>
      <c r="AC29" s="478"/>
      <c r="AD29" s="3906" t="s">
        <v>588</v>
      </c>
      <c r="AE29" s="3953" t="s">
        <v>2017</v>
      </c>
      <c r="AF29" s="3954">
        <v>0</v>
      </c>
      <c r="AG29" s="3953" t="s">
        <v>3609</v>
      </c>
      <c r="AH29" s="3954">
        <v>0</v>
      </c>
      <c r="AI29" s="3953" t="s">
        <v>3610</v>
      </c>
      <c r="AJ29" s="3954">
        <v>0</v>
      </c>
      <c r="AK29" s="3953" t="s">
        <v>3611</v>
      </c>
      <c r="AL29" s="3954">
        <v>0</v>
      </c>
      <c r="AM29" s="3953" t="s">
        <v>3612</v>
      </c>
      <c r="AN29" s="3954">
        <v>0</v>
      </c>
      <c r="AO29" s="3953" t="s">
        <v>3613</v>
      </c>
      <c r="AP29" s="3954">
        <v>0</v>
      </c>
      <c r="AQ29" s="3953" t="s">
        <v>3614</v>
      </c>
      <c r="AR29" s="3954">
        <v>0</v>
      </c>
      <c r="AS29" s="3955" t="s">
        <v>3615</v>
      </c>
      <c r="AT29" s="3954">
        <v>0</v>
      </c>
      <c r="AU29" s="3953" t="s">
        <v>3616</v>
      </c>
      <c r="AV29" s="3954">
        <v>0</v>
      </c>
      <c r="AW29" s="3953" t="s">
        <v>3617</v>
      </c>
      <c r="AX29" s="3954">
        <v>0</v>
      </c>
      <c r="AY29" s="3953" t="s">
        <v>3618</v>
      </c>
      <c r="AZ29" s="3954">
        <v>0</v>
      </c>
      <c r="BA29" s="3953" t="s">
        <v>3619</v>
      </c>
      <c r="BD29" s="7107"/>
      <c r="BE29" s="3915" t="s">
        <v>3540</v>
      </c>
      <c r="BF29" s="3916"/>
      <c r="BG29" s="3911"/>
      <c r="BH29" s="3915" t="s">
        <v>3625</v>
      </c>
      <c r="BI29" s="3916"/>
      <c r="BJ29" s="3911"/>
      <c r="BK29" s="3915" t="s">
        <v>3581</v>
      </c>
      <c r="BL29" s="3916"/>
      <c r="BM29" s="3911"/>
      <c r="BN29" s="3915" t="s">
        <v>3624</v>
      </c>
      <c r="BO29" s="3916"/>
      <c r="BP29" s="3911"/>
      <c r="BQ29" s="3915" t="s">
        <v>602</v>
      </c>
      <c r="BR29" s="3916"/>
      <c r="BS29" s="3911"/>
      <c r="BT29" s="3915" t="s">
        <v>3626</v>
      </c>
      <c r="BU29" s="3916"/>
      <c r="BV29" s="3911"/>
      <c r="BW29" s="3915" t="s">
        <v>594</v>
      </c>
      <c r="BX29" s="3916"/>
      <c r="BY29" s="3911"/>
      <c r="BZ29" s="3915" t="s">
        <v>3586</v>
      </c>
      <c r="CA29" s="3916"/>
      <c r="CB29" s="3911"/>
      <c r="CC29" s="3915" t="s">
        <v>3608</v>
      </c>
      <c r="CD29" s="3916"/>
      <c r="CE29" s="3911"/>
      <c r="CF29" s="3915" t="s">
        <v>593</v>
      </c>
      <c r="CG29" s="3916"/>
      <c r="CH29" s="3911"/>
      <c r="CI29" s="3915" t="s">
        <v>3568</v>
      </c>
      <c r="CJ29" s="3916"/>
      <c r="CK29" s="3911"/>
      <c r="CL29" s="3915"/>
      <c r="CM29" s="3916" t="s">
        <v>3627</v>
      </c>
    </row>
    <row r="30" spans="1:91" ht="33">
      <c r="A30" s="478"/>
      <c r="B30" s="3896" t="s">
        <v>12</v>
      </c>
      <c r="C30" s="3897" t="s">
        <v>997</v>
      </c>
      <c r="D30" s="3898" t="s">
        <v>12</v>
      </c>
      <c r="E30" s="3899" t="s">
        <v>681</v>
      </c>
      <c r="F30" s="3897" t="s">
        <v>997</v>
      </c>
      <c r="G30" s="3900" t="s">
        <v>681</v>
      </c>
      <c r="H30" s="3901">
        <v>19</v>
      </c>
      <c r="I30" s="3897" t="s">
        <v>997</v>
      </c>
      <c r="J30" s="3942">
        <v>19</v>
      </c>
      <c r="K30" s="3901">
        <v>45</v>
      </c>
      <c r="L30" s="3897" t="s">
        <v>997</v>
      </c>
      <c r="M30" s="3902">
        <v>45</v>
      </c>
      <c r="N30" s="478"/>
      <c r="O30" s="3896" t="s">
        <v>12</v>
      </c>
      <c r="P30" s="3897" t="s">
        <v>997</v>
      </c>
      <c r="Q30" s="3903" t="s">
        <v>12</v>
      </c>
      <c r="R30" s="3899" t="s">
        <v>681</v>
      </c>
      <c r="S30" s="3897" t="s">
        <v>997</v>
      </c>
      <c r="T30" s="3904" t="s">
        <v>681</v>
      </c>
      <c r="U30" s="3901">
        <v>19</v>
      </c>
      <c r="V30" s="3897" t="s">
        <v>997</v>
      </c>
      <c r="W30" s="3903">
        <v>19</v>
      </c>
      <c r="X30" s="3901">
        <v>45</v>
      </c>
      <c r="Y30" s="3897" t="s">
        <v>997</v>
      </c>
      <c r="Z30" s="3905">
        <v>45</v>
      </c>
      <c r="AA30" s="478"/>
      <c r="AB30" s="478"/>
      <c r="AC30" s="478"/>
      <c r="AD30" s="3913"/>
      <c r="AE30" s="3952"/>
      <c r="AF30" s="3952"/>
      <c r="AG30" s="3952"/>
      <c r="AH30" s="3952"/>
      <c r="AI30" s="3952"/>
      <c r="AJ30" s="3952"/>
      <c r="AK30" s="3952"/>
      <c r="AL30" s="3952"/>
      <c r="AM30" s="3952"/>
      <c r="AN30" s="3952"/>
      <c r="AO30" s="3952"/>
      <c r="AP30" s="3952"/>
      <c r="AQ30" s="3952"/>
      <c r="AR30" s="3952"/>
      <c r="AS30" s="3956"/>
      <c r="AT30" s="3952"/>
      <c r="AU30" s="3952"/>
      <c r="AV30" s="3952"/>
      <c r="AW30" s="3952"/>
      <c r="AX30" s="3952"/>
      <c r="AY30" s="3952"/>
      <c r="AZ30" s="3952"/>
      <c r="BA30" s="3952"/>
      <c r="BD30" s="3920"/>
      <c r="BE30" s="3911"/>
      <c r="BF30" s="3911"/>
      <c r="BG30" s="3911"/>
      <c r="BH30" s="3911"/>
      <c r="BI30" s="3911"/>
      <c r="BJ30" s="3911"/>
      <c r="BK30" s="3911"/>
      <c r="BL30" s="3911"/>
      <c r="BM30" s="3911"/>
      <c r="BN30" s="3911"/>
      <c r="BO30" s="3911"/>
      <c r="BP30" s="3911"/>
      <c r="BQ30" s="3911"/>
      <c r="BR30" s="3911"/>
      <c r="BS30" s="3911"/>
      <c r="BT30" s="3911"/>
      <c r="BU30" s="3911"/>
      <c r="BV30" s="3911"/>
      <c r="BW30" s="3911"/>
      <c r="BX30" s="3911"/>
      <c r="BY30" s="3911"/>
      <c r="BZ30" s="3911"/>
      <c r="CA30" s="3911"/>
      <c r="CB30" s="3911"/>
      <c r="CC30" s="3911"/>
      <c r="CD30" s="3911"/>
      <c r="CE30" s="3911"/>
      <c r="CF30" s="3911"/>
      <c r="CG30" s="3911"/>
      <c r="CH30" s="3911"/>
      <c r="CI30" s="3911"/>
      <c r="CJ30" s="3911"/>
      <c r="CK30" s="3911"/>
      <c r="CL30" s="3911"/>
      <c r="CM30" s="3911"/>
    </row>
    <row r="31" spans="1:91" ht="20.25">
      <c r="A31" s="478"/>
      <c r="B31" s="3896" t="s">
        <v>813</v>
      </c>
      <c r="C31" s="3897" t="s">
        <v>997</v>
      </c>
      <c r="D31" s="3898" t="s">
        <v>813</v>
      </c>
      <c r="E31" s="3899" t="s">
        <v>602</v>
      </c>
      <c r="F31" s="3897" t="s">
        <v>997</v>
      </c>
      <c r="G31" s="3900" t="s">
        <v>602</v>
      </c>
      <c r="H31" s="3901">
        <v>20</v>
      </c>
      <c r="I31" s="3897" t="s">
        <v>997</v>
      </c>
      <c r="J31" s="3942">
        <v>20</v>
      </c>
      <c r="K31" s="3901">
        <v>46</v>
      </c>
      <c r="L31" s="3897" t="s">
        <v>997</v>
      </c>
      <c r="M31" s="3902">
        <v>46</v>
      </c>
      <c r="N31" s="478"/>
      <c r="O31" s="3896" t="s">
        <v>813</v>
      </c>
      <c r="P31" s="3897" t="s">
        <v>997</v>
      </c>
      <c r="Q31" s="3903" t="s">
        <v>813</v>
      </c>
      <c r="R31" s="3899" t="s">
        <v>602</v>
      </c>
      <c r="S31" s="3897" t="s">
        <v>997</v>
      </c>
      <c r="T31" s="3904" t="s">
        <v>602</v>
      </c>
      <c r="U31" s="3901">
        <v>20</v>
      </c>
      <c r="V31" s="3897" t="s">
        <v>997</v>
      </c>
      <c r="W31" s="3903">
        <v>20</v>
      </c>
      <c r="X31" s="3901">
        <v>46</v>
      </c>
      <c r="Y31" s="3897" t="s">
        <v>997</v>
      </c>
      <c r="Z31" s="3905">
        <v>46</v>
      </c>
      <c r="AA31" s="478"/>
      <c r="AB31" s="478"/>
      <c r="AC31" s="478"/>
      <c r="AD31" s="3906" t="s">
        <v>3583</v>
      </c>
      <c r="AE31" s="3957" t="s">
        <v>2017</v>
      </c>
      <c r="AF31" s="3958">
        <v>0</v>
      </c>
      <c r="AG31" s="3957" t="s">
        <v>3609</v>
      </c>
      <c r="AH31" s="3958">
        <v>0</v>
      </c>
      <c r="AI31" s="3957" t="s">
        <v>3610</v>
      </c>
      <c r="AJ31" s="3958">
        <v>0</v>
      </c>
      <c r="AK31" s="3957" t="s">
        <v>3611</v>
      </c>
      <c r="AL31" s="3958">
        <v>0</v>
      </c>
      <c r="AM31" s="3957" t="s">
        <v>3612</v>
      </c>
      <c r="AN31" s="3958">
        <v>0</v>
      </c>
      <c r="AO31" s="3957" t="s">
        <v>3613</v>
      </c>
      <c r="AP31" s="3958">
        <v>0</v>
      </c>
      <c r="AQ31" s="3957" t="s">
        <v>3614</v>
      </c>
      <c r="AR31" s="3958">
        <v>0</v>
      </c>
      <c r="AS31" s="3957" t="s">
        <v>3615</v>
      </c>
      <c r="AT31" s="3958">
        <v>0</v>
      </c>
      <c r="AU31" s="3957" t="s">
        <v>3616</v>
      </c>
      <c r="AV31" s="3958">
        <v>0</v>
      </c>
      <c r="AW31" s="3957" t="s">
        <v>3617</v>
      </c>
      <c r="AX31" s="3958">
        <v>0</v>
      </c>
      <c r="AY31" s="3957" t="s">
        <v>3618</v>
      </c>
      <c r="AZ31" s="3958">
        <v>0</v>
      </c>
      <c r="BA31" s="3957" t="s">
        <v>3619</v>
      </c>
      <c r="BD31" s="7105" t="s">
        <v>588</v>
      </c>
      <c r="BE31" s="3922" t="s">
        <v>24</v>
      </c>
      <c r="BF31" s="3923"/>
      <c r="BG31" s="3924"/>
      <c r="BH31" s="3922" t="s">
        <v>597</v>
      </c>
      <c r="BI31" s="3923"/>
      <c r="BJ31" s="3924"/>
      <c r="BK31" s="3922" t="s">
        <v>1697</v>
      </c>
      <c r="BL31" s="3923"/>
      <c r="BM31" s="3924"/>
      <c r="BN31" s="3922" t="s">
        <v>812</v>
      </c>
      <c r="BO31" s="3923"/>
      <c r="BP31" s="3924"/>
      <c r="BQ31" s="3922" t="s">
        <v>813</v>
      </c>
      <c r="BR31" s="3923"/>
      <c r="BS31" s="3924"/>
      <c r="BT31" s="3922" t="s">
        <v>3621</v>
      </c>
      <c r="BU31" s="3923"/>
      <c r="BV31" s="3924"/>
      <c r="BW31" s="3922" t="s">
        <v>814</v>
      </c>
      <c r="BX31" s="3923"/>
      <c r="BY31" s="3924"/>
      <c r="BZ31" s="3922" t="s">
        <v>20</v>
      </c>
      <c r="CA31" s="3923"/>
      <c r="CB31" s="3924"/>
      <c r="CC31" s="3922" t="s">
        <v>809</v>
      </c>
      <c r="CD31" s="3923"/>
      <c r="CE31" s="3924"/>
      <c r="CF31" s="3922" t="s">
        <v>810</v>
      </c>
      <c r="CG31" s="3923"/>
      <c r="CH31" s="3924"/>
      <c r="CI31" s="3922" t="s">
        <v>3622</v>
      </c>
      <c r="CJ31" s="3923"/>
      <c r="CK31" s="3924"/>
      <c r="CL31" s="3922" t="s">
        <v>3623</v>
      </c>
      <c r="CM31" s="3923"/>
    </row>
    <row r="32" spans="1:91" ht="33">
      <c r="A32" s="478"/>
      <c r="B32" s="3896" t="s">
        <v>814</v>
      </c>
      <c r="C32" s="3897" t="s">
        <v>997</v>
      </c>
      <c r="D32" s="3898" t="s">
        <v>814</v>
      </c>
      <c r="E32" s="3899" t="s">
        <v>594</v>
      </c>
      <c r="F32" s="3897" t="s">
        <v>997</v>
      </c>
      <c r="G32" s="3900" t="s">
        <v>594</v>
      </c>
      <c r="H32" s="3901">
        <v>21</v>
      </c>
      <c r="I32" s="3897" t="s">
        <v>997</v>
      </c>
      <c r="J32" s="3942">
        <v>21</v>
      </c>
      <c r="K32" s="3901">
        <v>47</v>
      </c>
      <c r="L32" s="3897" t="s">
        <v>997</v>
      </c>
      <c r="M32" s="3902">
        <v>47</v>
      </c>
      <c r="N32" s="478"/>
      <c r="O32" s="3896" t="s">
        <v>814</v>
      </c>
      <c r="P32" s="3897" t="s">
        <v>997</v>
      </c>
      <c r="Q32" s="3903" t="s">
        <v>814</v>
      </c>
      <c r="R32" s="3899" t="s">
        <v>594</v>
      </c>
      <c r="S32" s="3897" t="s">
        <v>997</v>
      </c>
      <c r="T32" s="3904" t="s">
        <v>594</v>
      </c>
      <c r="U32" s="3901">
        <v>21</v>
      </c>
      <c r="V32" s="3897" t="s">
        <v>997</v>
      </c>
      <c r="W32" s="3903">
        <v>21</v>
      </c>
      <c r="X32" s="3901">
        <v>47</v>
      </c>
      <c r="Y32" s="3897" t="s">
        <v>997</v>
      </c>
      <c r="Z32" s="3905">
        <v>47</v>
      </c>
      <c r="AA32" s="478"/>
      <c r="AB32" s="478"/>
      <c r="AC32" s="478"/>
      <c r="AD32" s="3913"/>
      <c r="AE32" s="3952"/>
      <c r="AF32" s="3952"/>
      <c r="AG32" s="3952"/>
      <c r="AH32" s="3952"/>
      <c r="AI32" s="3952"/>
      <c r="AJ32" s="3952"/>
      <c r="AK32" s="3952"/>
      <c r="AL32" s="3952"/>
      <c r="AM32" s="3952"/>
      <c r="AN32" s="3952"/>
      <c r="AO32" s="3952"/>
      <c r="AP32" s="3952"/>
      <c r="AQ32" s="3952"/>
      <c r="AR32" s="3952"/>
      <c r="AS32" s="3952"/>
      <c r="AT32" s="3952"/>
      <c r="AU32" s="3952"/>
      <c r="AV32" s="3952"/>
      <c r="AW32" s="3952"/>
      <c r="AX32" s="3952"/>
      <c r="AY32" s="3952"/>
      <c r="AZ32" s="3952"/>
      <c r="BA32" s="3952"/>
      <c r="BD32" s="7105"/>
      <c r="BE32" s="3926" t="s">
        <v>3540</v>
      </c>
      <c r="BF32" s="3927"/>
      <c r="BG32" s="3924"/>
      <c r="BH32" s="3926" t="s">
        <v>3625</v>
      </c>
      <c r="BI32" s="3927"/>
      <c r="BJ32" s="3924"/>
      <c r="BK32" s="3926" t="s">
        <v>3581</v>
      </c>
      <c r="BL32" s="3927"/>
      <c r="BM32" s="3924"/>
      <c r="BN32" s="3926" t="s">
        <v>3624</v>
      </c>
      <c r="BO32" s="3927"/>
      <c r="BP32" s="3924"/>
      <c r="BQ32" s="3926" t="s">
        <v>602</v>
      </c>
      <c r="BR32" s="3927"/>
      <c r="BS32" s="3924"/>
      <c r="BT32" s="3926" t="s">
        <v>3626</v>
      </c>
      <c r="BU32" s="3927"/>
      <c r="BV32" s="3924"/>
      <c r="BW32" s="3926" t="s">
        <v>594</v>
      </c>
      <c r="BX32" s="3927"/>
      <c r="BY32" s="3924"/>
      <c r="BZ32" s="3926" t="s">
        <v>3586</v>
      </c>
      <c r="CA32" s="3927"/>
      <c r="CB32" s="3924"/>
      <c r="CC32" s="3926" t="s">
        <v>3608</v>
      </c>
      <c r="CD32" s="3927"/>
      <c r="CE32" s="3924"/>
      <c r="CF32" s="3926" t="s">
        <v>593</v>
      </c>
      <c r="CG32" s="3927"/>
      <c r="CH32" s="3924"/>
      <c r="CI32" s="3926" t="s">
        <v>3568</v>
      </c>
      <c r="CJ32" s="3927"/>
      <c r="CK32" s="3924"/>
      <c r="CL32" s="3926"/>
      <c r="CM32" s="3927" t="s">
        <v>3627</v>
      </c>
    </row>
    <row r="33" spans="1:91" ht="30">
      <c r="A33" s="478"/>
      <c r="B33" s="3896" t="s">
        <v>1834</v>
      </c>
      <c r="C33" s="3897" t="s">
        <v>997</v>
      </c>
      <c r="D33" s="3898" t="s">
        <v>1834</v>
      </c>
      <c r="E33" s="3899" t="s">
        <v>3628</v>
      </c>
      <c r="F33" s="3897" t="s">
        <v>997</v>
      </c>
      <c r="G33" s="3900" t="s">
        <v>3628</v>
      </c>
      <c r="H33" s="3901">
        <v>22</v>
      </c>
      <c r="I33" s="3897" t="s">
        <v>997</v>
      </c>
      <c r="J33" s="3942">
        <v>22</v>
      </c>
      <c r="K33" s="3901">
        <v>48</v>
      </c>
      <c r="L33" s="3897" t="s">
        <v>997</v>
      </c>
      <c r="M33" s="3902">
        <v>48</v>
      </c>
      <c r="N33" s="478"/>
      <c r="O33" s="3896" t="s">
        <v>1834</v>
      </c>
      <c r="P33" s="3897" t="s">
        <v>997</v>
      </c>
      <c r="Q33" s="3903" t="s">
        <v>1834</v>
      </c>
      <c r="R33" s="3899" t="s">
        <v>3628</v>
      </c>
      <c r="S33" s="3897" t="s">
        <v>997</v>
      </c>
      <c r="T33" s="3904" t="s">
        <v>3628</v>
      </c>
      <c r="U33" s="3901">
        <v>22</v>
      </c>
      <c r="V33" s="3897" t="s">
        <v>997</v>
      </c>
      <c r="W33" s="3903">
        <v>22</v>
      </c>
      <c r="X33" s="3901">
        <v>48</v>
      </c>
      <c r="Y33" s="3897" t="s">
        <v>997</v>
      </c>
      <c r="Z33" s="3905">
        <v>48</v>
      </c>
      <c r="AA33" s="478"/>
      <c r="AB33" s="478"/>
      <c r="AC33" s="478"/>
      <c r="AD33" s="3906" t="s">
        <v>3587</v>
      </c>
      <c r="AE33" s="3959" t="s">
        <v>2017</v>
      </c>
      <c r="AF33" s="3960">
        <v>0</v>
      </c>
      <c r="AG33" s="3959" t="s">
        <v>3609</v>
      </c>
      <c r="AH33" s="3960">
        <v>0</v>
      </c>
      <c r="AI33" s="3959" t="s">
        <v>3610</v>
      </c>
      <c r="AJ33" s="3960">
        <v>0</v>
      </c>
      <c r="AK33" s="3959" t="s">
        <v>3611</v>
      </c>
      <c r="AL33" s="3960">
        <v>0</v>
      </c>
      <c r="AM33" s="3959" t="s">
        <v>3612</v>
      </c>
      <c r="AN33" s="3960">
        <v>0</v>
      </c>
      <c r="AO33" s="3959" t="s">
        <v>3613</v>
      </c>
      <c r="AP33" s="3960">
        <v>0</v>
      </c>
      <c r="AQ33" s="3959" t="s">
        <v>3614</v>
      </c>
      <c r="AR33" s="3960">
        <v>0</v>
      </c>
      <c r="AS33" s="3959" t="s">
        <v>3615</v>
      </c>
      <c r="AT33" s="3960">
        <v>0</v>
      </c>
      <c r="AU33" s="3959" t="s">
        <v>3616</v>
      </c>
      <c r="AV33" s="3960">
        <v>0</v>
      </c>
      <c r="AW33" s="3959" t="s">
        <v>3617</v>
      </c>
      <c r="AX33" s="3960">
        <v>0</v>
      </c>
      <c r="AY33" s="3959" t="s">
        <v>3618</v>
      </c>
      <c r="AZ33" s="3960">
        <v>0</v>
      </c>
      <c r="BA33" s="3959" t="s">
        <v>3619</v>
      </c>
      <c r="BD33" s="3920"/>
      <c r="BE33" s="3921"/>
      <c r="BF33" s="3921"/>
      <c r="BG33" s="3921"/>
      <c r="BH33" s="3921"/>
      <c r="BI33" s="3921"/>
      <c r="BJ33" s="3921"/>
      <c r="BK33" s="3921"/>
      <c r="BL33" s="3921"/>
      <c r="BM33" s="3921"/>
      <c r="BN33" s="3921"/>
      <c r="BO33" s="3921"/>
      <c r="BP33" s="3921"/>
      <c r="BQ33" s="3921"/>
      <c r="BR33" s="3921"/>
      <c r="BS33" s="3921"/>
      <c r="BT33" s="3921"/>
      <c r="BU33" s="3921"/>
      <c r="BV33" s="3921"/>
      <c r="BW33" s="3921"/>
      <c r="BX33" s="3921"/>
      <c r="BY33" s="3921"/>
      <c r="BZ33" s="3921"/>
      <c r="CA33" s="3921"/>
      <c r="CB33" s="3921"/>
      <c r="CC33" s="3921"/>
      <c r="CD33" s="3921"/>
      <c r="CE33" s="3921"/>
      <c r="CF33" s="3921"/>
      <c r="CG33" s="3921"/>
      <c r="CH33" s="3921"/>
      <c r="CI33" s="3921"/>
      <c r="CJ33" s="3921"/>
      <c r="CK33" s="3921"/>
      <c r="CL33" s="3921"/>
      <c r="CM33" s="3921"/>
    </row>
    <row r="34" spans="1:91" ht="33">
      <c r="A34" s="478"/>
      <c r="B34" s="3896" t="s">
        <v>3629</v>
      </c>
      <c r="C34" s="3897" t="s">
        <v>997</v>
      </c>
      <c r="D34" s="3898" t="s">
        <v>3629</v>
      </c>
      <c r="E34" s="3899" t="s">
        <v>3630</v>
      </c>
      <c r="F34" s="3897" t="s">
        <v>997</v>
      </c>
      <c r="G34" s="3900" t="s">
        <v>3630</v>
      </c>
      <c r="H34" s="3901">
        <v>23</v>
      </c>
      <c r="I34" s="3897" t="s">
        <v>997</v>
      </c>
      <c r="J34" s="3942">
        <v>23</v>
      </c>
      <c r="K34" s="3901">
        <v>49</v>
      </c>
      <c r="L34" s="3897" t="s">
        <v>997</v>
      </c>
      <c r="M34" s="3902">
        <v>49</v>
      </c>
      <c r="N34" s="478"/>
      <c r="O34" s="3896" t="s">
        <v>3629</v>
      </c>
      <c r="P34" s="3897" t="s">
        <v>997</v>
      </c>
      <c r="Q34" s="3903" t="s">
        <v>3629</v>
      </c>
      <c r="R34" s="3899" t="s">
        <v>3630</v>
      </c>
      <c r="S34" s="3897" t="s">
        <v>997</v>
      </c>
      <c r="T34" s="3904" t="s">
        <v>3630</v>
      </c>
      <c r="U34" s="3901">
        <v>23</v>
      </c>
      <c r="V34" s="3897" t="s">
        <v>997</v>
      </c>
      <c r="W34" s="3903">
        <v>23</v>
      </c>
      <c r="X34" s="3901">
        <v>49</v>
      </c>
      <c r="Y34" s="3897" t="s">
        <v>997</v>
      </c>
      <c r="Z34" s="3905">
        <v>49</v>
      </c>
      <c r="AA34" s="478"/>
      <c r="AB34" s="478"/>
      <c r="AC34" s="478"/>
      <c r="AD34" s="3913"/>
      <c r="AE34" s="3952"/>
      <c r="AF34" s="3952"/>
      <c r="AG34" s="3952"/>
      <c r="AH34" s="3952"/>
      <c r="AI34" s="3952"/>
      <c r="AJ34" s="3952"/>
      <c r="AK34" s="3952"/>
      <c r="AL34" s="3952"/>
      <c r="AM34" s="3952"/>
      <c r="AN34" s="3952"/>
      <c r="AO34" s="3952"/>
      <c r="AP34" s="3952"/>
      <c r="AQ34" s="3952"/>
      <c r="AR34" s="3952"/>
      <c r="AS34" s="3952"/>
      <c r="AT34" s="3952"/>
      <c r="AU34" s="3952"/>
      <c r="AV34" s="3952"/>
      <c r="AW34" s="3952"/>
      <c r="AX34" s="3952"/>
      <c r="AY34" s="3952"/>
      <c r="AZ34" s="3952"/>
      <c r="BA34" s="3952"/>
      <c r="BD34" s="7105" t="s">
        <v>3584</v>
      </c>
      <c r="BE34" s="3930" t="s">
        <v>24</v>
      </c>
      <c r="BF34" s="3931"/>
      <c r="BG34" s="3929"/>
      <c r="BH34" s="3930" t="s">
        <v>597</v>
      </c>
      <c r="BI34" s="3931"/>
      <c r="BJ34" s="3929"/>
      <c r="BK34" s="3930" t="s">
        <v>1697</v>
      </c>
      <c r="BL34" s="3931"/>
      <c r="BM34" s="3929"/>
      <c r="BN34" s="3930" t="s">
        <v>812</v>
      </c>
      <c r="BO34" s="3931"/>
      <c r="BP34" s="3929"/>
      <c r="BQ34" s="3930" t="s">
        <v>813</v>
      </c>
      <c r="BR34" s="3931"/>
      <c r="BS34" s="3929"/>
      <c r="BT34" s="3930" t="s">
        <v>3621</v>
      </c>
      <c r="BU34" s="3931"/>
      <c r="BV34" s="3929"/>
      <c r="BW34" s="3930" t="s">
        <v>814</v>
      </c>
      <c r="BX34" s="3931"/>
      <c r="BY34" s="3929"/>
      <c r="BZ34" s="3930" t="s">
        <v>20</v>
      </c>
      <c r="CA34" s="3931"/>
      <c r="CB34" s="3929"/>
      <c r="CC34" s="3930" t="s">
        <v>809</v>
      </c>
      <c r="CD34" s="3931"/>
      <c r="CE34" s="3929"/>
      <c r="CF34" s="3930" t="s">
        <v>810</v>
      </c>
      <c r="CG34" s="3931"/>
      <c r="CH34" s="3929"/>
      <c r="CI34" s="3930" t="s">
        <v>3622</v>
      </c>
      <c r="CJ34" s="3931"/>
      <c r="CK34" s="3929"/>
      <c r="CL34" s="3930" t="s">
        <v>3623</v>
      </c>
      <c r="CM34" s="3931"/>
    </row>
    <row r="35" spans="1:91" ht="27">
      <c r="A35" s="478"/>
      <c r="B35" s="3896" t="s">
        <v>603</v>
      </c>
      <c r="C35" s="3897" t="s">
        <v>997</v>
      </c>
      <c r="D35" s="3898" t="s">
        <v>603</v>
      </c>
      <c r="E35" s="3899" t="s">
        <v>1326</v>
      </c>
      <c r="F35" s="3897" t="s">
        <v>997</v>
      </c>
      <c r="G35" s="3900" t="s">
        <v>1326</v>
      </c>
      <c r="H35" s="3901">
        <v>24</v>
      </c>
      <c r="I35" s="3897" t="s">
        <v>997</v>
      </c>
      <c r="J35" s="3942">
        <v>24</v>
      </c>
      <c r="K35" s="3901">
        <v>50</v>
      </c>
      <c r="L35" s="3897" t="s">
        <v>997</v>
      </c>
      <c r="M35" s="3902">
        <v>50</v>
      </c>
      <c r="N35" s="478"/>
      <c r="O35" s="3896" t="s">
        <v>603</v>
      </c>
      <c r="P35" s="3897" t="s">
        <v>997</v>
      </c>
      <c r="Q35" s="3903" t="s">
        <v>603</v>
      </c>
      <c r="R35" s="3899" t="s">
        <v>1326</v>
      </c>
      <c r="S35" s="3897" t="s">
        <v>997</v>
      </c>
      <c r="T35" s="3904" t="s">
        <v>1326</v>
      </c>
      <c r="U35" s="3901">
        <v>24</v>
      </c>
      <c r="V35" s="3897" t="s">
        <v>997</v>
      </c>
      <c r="W35" s="3903">
        <v>24</v>
      </c>
      <c r="X35" s="3901">
        <v>50</v>
      </c>
      <c r="Y35" s="3897" t="s">
        <v>997</v>
      </c>
      <c r="Z35" s="3905">
        <v>50</v>
      </c>
      <c r="AA35" s="478"/>
      <c r="AB35" s="478"/>
      <c r="AC35" s="3961"/>
      <c r="AD35" s="3906" t="s">
        <v>3591</v>
      </c>
      <c r="AE35" s="3962" t="s">
        <v>2017</v>
      </c>
      <c r="AF35" s="3963">
        <v>0</v>
      </c>
      <c r="AG35" s="3962" t="s">
        <v>3609</v>
      </c>
      <c r="AH35" s="3963">
        <v>0</v>
      </c>
      <c r="AI35" s="3962" t="s">
        <v>3610</v>
      </c>
      <c r="AJ35" s="3963">
        <v>0</v>
      </c>
      <c r="AK35" s="3962" t="s">
        <v>3611</v>
      </c>
      <c r="AL35" s="3963">
        <v>0</v>
      </c>
      <c r="AM35" s="3962" t="s">
        <v>3612</v>
      </c>
      <c r="AN35" s="3963">
        <v>0</v>
      </c>
      <c r="AO35" s="3962" t="s">
        <v>3613</v>
      </c>
      <c r="AP35" s="3963">
        <v>0</v>
      </c>
      <c r="AQ35" s="3962" t="s">
        <v>3614</v>
      </c>
      <c r="AR35" s="3963">
        <v>0</v>
      </c>
      <c r="AS35" s="3962" t="s">
        <v>3615</v>
      </c>
      <c r="AT35" s="3963">
        <v>0</v>
      </c>
      <c r="AU35" s="3962" t="s">
        <v>3616</v>
      </c>
      <c r="AV35" s="3963">
        <v>0</v>
      </c>
      <c r="AW35" s="3962" t="s">
        <v>3617</v>
      </c>
      <c r="AX35" s="3963">
        <v>0</v>
      </c>
      <c r="AY35" s="3962" t="s">
        <v>3618</v>
      </c>
      <c r="AZ35" s="3963">
        <v>0</v>
      </c>
      <c r="BA35" s="3962" t="s">
        <v>3619</v>
      </c>
      <c r="BD35" s="7105"/>
      <c r="BE35" s="3932" t="s">
        <v>3540</v>
      </c>
      <c r="BF35" s="3933"/>
      <c r="BG35" s="3929"/>
      <c r="BH35" s="3932" t="s">
        <v>3625</v>
      </c>
      <c r="BI35" s="3933"/>
      <c r="BJ35" s="3929"/>
      <c r="BK35" s="3932" t="s">
        <v>3581</v>
      </c>
      <c r="BL35" s="3933"/>
      <c r="BM35" s="3929"/>
      <c r="BN35" s="3932" t="s">
        <v>3624</v>
      </c>
      <c r="BO35" s="3933"/>
      <c r="BP35" s="3929"/>
      <c r="BQ35" s="3932" t="s">
        <v>602</v>
      </c>
      <c r="BR35" s="3933"/>
      <c r="BS35" s="3929"/>
      <c r="BT35" s="3932" t="s">
        <v>3626</v>
      </c>
      <c r="BU35" s="3933"/>
      <c r="BV35" s="3929"/>
      <c r="BW35" s="3932" t="s">
        <v>594</v>
      </c>
      <c r="BX35" s="3933"/>
      <c r="BY35" s="3929"/>
      <c r="BZ35" s="3932" t="s">
        <v>3586</v>
      </c>
      <c r="CA35" s="3933"/>
      <c r="CB35" s="3929"/>
      <c r="CC35" s="3932" t="s">
        <v>3608</v>
      </c>
      <c r="CD35" s="3933"/>
      <c r="CE35" s="3929"/>
      <c r="CF35" s="3932" t="s">
        <v>593</v>
      </c>
      <c r="CG35" s="3933"/>
      <c r="CH35" s="3929"/>
      <c r="CI35" s="3932" t="s">
        <v>3568</v>
      </c>
      <c r="CJ35" s="3933"/>
      <c r="CK35" s="3929"/>
      <c r="CL35" s="3932"/>
      <c r="CM35" s="3933" t="s">
        <v>3627</v>
      </c>
    </row>
    <row r="36" spans="1:91" ht="30">
      <c r="A36" s="478"/>
      <c r="B36" s="3896" t="s">
        <v>3621</v>
      </c>
      <c r="C36" s="3897" t="s">
        <v>997</v>
      </c>
      <c r="D36" s="3898" t="s">
        <v>3621</v>
      </c>
      <c r="E36" s="3899" t="s">
        <v>3626</v>
      </c>
      <c r="F36" s="3897" t="s">
        <v>997</v>
      </c>
      <c r="G36" s="3900" t="s">
        <v>3626</v>
      </c>
      <c r="H36" s="3901">
        <v>25</v>
      </c>
      <c r="I36" s="3897" t="s">
        <v>997</v>
      </c>
      <c r="J36" s="3942">
        <v>25</v>
      </c>
      <c r="K36" s="3901">
        <v>51</v>
      </c>
      <c r="L36" s="3897" t="s">
        <v>997</v>
      </c>
      <c r="M36" s="3902">
        <v>51</v>
      </c>
      <c r="N36" s="478"/>
      <c r="O36" s="3896" t="s">
        <v>3621</v>
      </c>
      <c r="P36" s="3897" t="s">
        <v>997</v>
      </c>
      <c r="Q36" s="3903" t="s">
        <v>3621</v>
      </c>
      <c r="R36" s="3899" t="s">
        <v>3626</v>
      </c>
      <c r="S36" s="3897" t="s">
        <v>997</v>
      </c>
      <c r="T36" s="3904" t="s">
        <v>3626</v>
      </c>
      <c r="U36" s="3901">
        <v>25</v>
      </c>
      <c r="V36" s="3897" t="s">
        <v>997</v>
      </c>
      <c r="W36" s="3903">
        <v>25</v>
      </c>
      <c r="X36" s="3901">
        <v>51</v>
      </c>
      <c r="Y36" s="3897" t="s">
        <v>997</v>
      </c>
      <c r="Z36" s="3905">
        <v>51</v>
      </c>
      <c r="AA36" s="478"/>
      <c r="AB36" s="478"/>
      <c r="AC36" s="478"/>
      <c r="AD36" s="3913"/>
      <c r="BD36" s="3913"/>
      <c r="BE36" s="3921"/>
      <c r="BF36" s="3921"/>
      <c r="BG36" s="3921"/>
      <c r="BH36" s="3921"/>
      <c r="BI36" s="3921"/>
      <c r="BJ36" s="3921"/>
      <c r="BK36" s="3921"/>
      <c r="BL36" s="3921"/>
      <c r="BM36" s="3921"/>
      <c r="BN36" s="3921"/>
      <c r="BO36" s="3921"/>
      <c r="BP36" s="3921"/>
      <c r="BQ36" s="3921"/>
      <c r="BR36" s="3921"/>
      <c r="BS36" s="3921"/>
      <c r="BT36" s="3921"/>
      <c r="BU36" s="3921"/>
      <c r="BV36" s="3921"/>
      <c r="BW36" s="3921"/>
      <c r="BX36" s="3921"/>
      <c r="BY36" s="3921"/>
      <c r="BZ36" s="3921"/>
      <c r="CA36" s="3921"/>
      <c r="CB36" s="3921"/>
      <c r="CC36" s="3921"/>
      <c r="CD36" s="3921"/>
      <c r="CE36" s="3921"/>
      <c r="CF36" s="3921"/>
      <c r="CG36" s="3921"/>
      <c r="CH36" s="3921"/>
      <c r="CI36" s="3921"/>
      <c r="CJ36" s="3921"/>
      <c r="CK36" s="3921"/>
      <c r="CL36" s="3921"/>
      <c r="CM36" s="3921"/>
    </row>
    <row r="37" spans="1:91" ht="26.25">
      <c r="A37" s="478"/>
      <c r="B37" s="3896" t="s">
        <v>597</v>
      </c>
      <c r="C37" s="3897" t="s">
        <v>997</v>
      </c>
      <c r="D37" s="3898" t="s">
        <v>597</v>
      </c>
      <c r="E37" s="3899" t="s">
        <v>3625</v>
      </c>
      <c r="F37" s="3897" t="s">
        <v>997</v>
      </c>
      <c r="G37" s="3900" t="s">
        <v>3625</v>
      </c>
      <c r="H37" s="3901">
        <v>26</v>
      </c>
      <c r="I37" s="3897" t="s">
        <v>997</v>
      </c>
      <c r="J37" s="3942">
        <v>26</v>
      </c>
      <c r="K37" s="3901">
        <v>52</v>
      </c>
      <c r="L37" s="3897" t="s">
        <v>997</v>
      </c>
      <c r="M37" s="3902">
        <v>52</v>
      </c>
      <c r="N37" s="478"/>
      <c r="O37" s="3896" t="s">
        <v>597</v>
      </c>
      <c r="P37" s="3897" t="s">
        <v>997</v>
      </c>
      <c r="Q37" s="3903" t="s">
        <v>597</v>
      </c>
      <c r="R37" s="3899" t="s">
        <v>3625</v>
      </c>
      <c r="S37" s="3897" t="s">
        <v>997</v>
      </c>
      <c r="T37" s="3904" t="s">
        <v>3625</v>
      </c>
      <c r="U37" s="3901">
        <v>26</v>
      </c>
      <c r="V37" s="3897" t="s">
        <v>997</v>
      </c>
      <c r="W37" s="3903">
        <v>26</v>
      </c>
      <c r="X37" s="3901">
        <v>52</v>
      </c>
      <c r="Y37" s="3897" t="s">
        <v>997</v>
      </c>
      <c r="Z37" s="3905">
        <v>52</v>
      </c>
      <c r="AA37" s="478"/>
      <c r="AB37" s="478"/>
      <c r="AC37" s="478"/>
      <c r="AD37" s="3964" t="s">
        <v>3594</v>
      </c>
      <c r="BD37" s="7105" t="s">
        <v>3589</v>
      </c>
      <c r="BE37" s="3936" t="s">
        <v>24</v>
      </c>
      <c r="BF37" s="3937"/>
      <c r="BG37" s="3935"/>
      <c r="BH37" s="3936" t="s">
        <v>597</v>
      </c>
      <c r="BI37" s="3937"/>
      <c r="BJ37" s="3935"/>
      <c r="BK37" s="3936" t="s">
        <v>1697</v>
      </c>
      <c r="BL37" s="3937"/>
      <c r="BM37" s="3935"/>
      <c r="BN37" s="3936" t="s">
        <v>812</v>
      </c>
      <c r="BO37" s="3937"/>
      <c r="BP37" s="3935"/>
      <c r="BQ37" s="3936" t="s">
        <v>813</v>
      </c>
      <c r="BR37" s="3937"/>
      <c r="BS37" s="3935"/>
      <c r="BT37" s="3936" t="s">
        <v>3621</v>
      </c>
      <c r="BU37" s="3937"/>
      <c r="BV37" s="3935"/>
      <c r="BW37" s="3936" t="s">
        <v>814</v>
      </c>
      <c r="BX37" s="3937"/>
      <c r="BY37" s="3935"/>
      <c r="BZ37" s="3936" t="s">
        <v>20</v>
      </c>
      <c r="CA37" s="3937"/>
      <c r="CB37" s="3935"/>
      <c r="CC37" s="3936" t="s">
        <v>809</v>
      </c>
      <c r="CD37" s="3937"/>
      <c r="CE37" s="3935"/>
      <c r="CF37" s="3936" t="s">
        <v>810</v>
      </c>
      <c r="CG37" s="3937"/>
      <c r="CH37" s="3935"/>
      <c r="CI37" s="3936" t="s">
        <v>3622</v>
      </c>
      <c r="CJ37" s="3937"/>
      <c r="CK37" s="3935"/>
      <c r="CL37" s="3936" t="s">
        <v>3623</v>
      </c>
      <c r="CM37" s="3937"/>
    </row>
    <row r="38" spans="1:91" ht="27">
      <c r="A38" s="478"/>
      <c r="B38" s="3896" t="s">
        <v>682</v>
      </c>
      <c r="C38" s="3897" t="s">
        <v>997</v>
      </c>
      <c r="D38" s="3898" t="s">
        <v>682</v>
      </c>
      <c r="E38" s="3899" t="s">
        <v>2010</v>
      </c>
      <c r="F38" s="3897" t="s">
        <v>997</v>
      </c>
      <c r="G38" s="3900" t="s">
        <v>2010</v>
      </c>
      <c r="H38" s="3901" t="s">
        <v>3623</v>
      </c>
      <c r="I38" s="3897" t="s">
        <v>997</v>
      </c>
      <c r="J38" s="3942" t="s">
        <v>3623</v>
      </c>
      <c r="K38" s="3901" t="s">
        <v>3631</v>
      </c>
      <c r="L38" s="3897" t="s">
        <v>997</v>
      </c>
      <c r="M38" s="3902" t="s">
        <v>3631</v>
      </c>
      <c r="N38" s="478"/>
      <c r="O38" s="3896" t="s">
        <v>682</v>
      </c>
      <c r="P38" s="3897" t="s">
        <v>997</v>
      </c>
      <c r="Q38" s="3903" t="s">
        <v>682</v>
      </c>
      <c r="R38" s="3899" t="s">
        <v>2010</v>
      </c>
      <c r="S38" s="3897" t="s">
        <v>997</v>
      </c>
      <c r="T38" s="3904" t="s">
        <v>2010</v>
      </c>
      <c r="U38" s="3965" t="s">
        <v>3623</v>
      </c>
      <c r="V38" s="3897" t="s">
        <v>997</v>
      </c>
      <c r="W38" s="3903" t="s">
        <v>3623</v>
      </c>
      <c r="X38" s="3966" t="s">
        <v>3631</v>
      </c>
      <c r="Y38" s="3897" t="s">
        <v>997</v>
      </c>
      <c r="Z38" s="3905" t="s">
        <v>3631</v>
      </c>
      <c r="AA38" s="478"/>
      <c r="AB38" s="478"/>
      <c r="AC38" s="3961"/>
      <c r="AD38" s="3906" t="s">
        <v>3541</v>
      </c>
      <c r="AE38" s="3945" t="s">
        <v>3632</v>
      </c>
      <c r="AF38" s="3946"/>
      <c r="AG38" s="3945" t="s">
        <v>3633</v>
      </c>
      <c r="AH38" s="3946"/>
      <c r="AI38" s="3945" t="s">
        <v>3634</v>
      </c>
      <c r="AJ38" s="3946"/>
      <c r="AK38" s="3945" t="s">
        <v>3635</v>
      </c>
      <c r="AL38" s="3946"/>
      <c r="AM38" s="3945" t="s">
        <v>3636</v>
      </c>
      <c r="AN38" s="3946"/>
      <c r="AO38" s="3945" t="s">
        <v>3637</v>
      </c>
      <c r="AP38" s="3946"/>
      <c r="AQ38" s="3945" t="s">
        <v>3638</v>
      </c>
      <c r="AR38" s="3946"/>
      <c r="AS38" s="3945" t="s">
        <v>3639</v>
      </c>
      <c r="AT38" s="3946"/>
      <c r="AU38" s="3945" t="s">
        <v>3640</v>
      </c>
      <c r="AV38" s="3946"/>
      <c r="AW38" s="3945" t="s">
        <v>3641</v>
      </c>
      <c r="AX38" s="3946"/>
      <c r="AY38" s="3945" t="s">
        <v>3642</v>
      </c>
      <c r="AZ38" s="3946"/>
      <c r="BA38" s="3945" t="s">
        <v>3643</v>
      </c>
      <c r="BD38" s="7105"/>
      <c r="BE38" s="3940" t="s">
        <v>3540</v>
      </c>
      <c r="BF38" s="3941"/>
      <c r="BG38" s="3935"/>
      <c r="BH38" s="3940" t="s">
        <v>3625</v>
      </c>
      <c r="BI38" s="3941"/>
      <c r="BJ38" s="3935"/>
      <c r="BK38" s="3940" t="s">
        <v>3581</v>
      </c>
      <c r="BL38" s="3941"/>
      <c r="BM38" s="3935"/>
      <c r="BN38" s="3940" t="s">
        <v>3624</v>
      </c>
      <c r="BO38" s="3941"/>
      <c r="BP38" s="3935"/>
      <c r="BQ38" s="3940" t="s">
        <v>602</v>
      </c>
      <c r="BR38" s="3941"/>
      <c r="BS38" s="3935"/>
      <c r="BT38" s="3940" t="s">
        <v>3626</v>
      </c>
      <c r="BU38" s="3941"/>
      <c r="BV38" s="3935"/>
      <c r="BW38" s="3940" t="s">
        <v>594</v>
      </c>
      <c r="BX38" s="3941"/>
      <c r="BY38" s="3935"/>
      <c r="BZ38" s="3940" t="s">
        <v>3586</v>
      </c>
      <c r="CA38" s="3941"/>
      <c r="CB38" s="3935"/>
      <c r="CC38" s="3940" t="s">
        <v>3608</v>
      </c>
      <c r="CD38" s="3941"/>
      <c r="CE38" s="3935"/>
      <c r="CF38" s="3940" t="s">
        <v>593</v>
      </c>
      <c r="CG38" s="3941"/>
      <c r="CH38" s="3935"/>
      <c r="CI38" s="3940" t="s">
        <v>3568</v>
      </c>
      <c r="CJ38" s="3941"/>
      <c r="CK38" s="3935"/>
      <c r="CL38" s="3940"/>
      <c r="CM38" s="3941" t="s">
        <v>3627</v>
      </c>
    </row>
    <row r="39" spans="1:91" ht="30">
      <c r="A39" s="478"/>
      <c r="B39" s="3896" t="s">
        <v>3557</v>
      </c>
      <c r="C39" s="3897" t="s">
        <v>997</v>
      </c>
      <c r="D39" s="3898" t="s">
        <v>3557</v>
      </c>
      <c r="E39" s="3899" t="s">
        <v>2008</v>
      </c>
      <c r="F39" s="3897" t="s">
        <v>997</v>
      </c>
      <c r="G39" s="3900" t="s">
        <v>2008</v>
      </c>
      <c r="H39" s="3901" t="s">
        <v>78</v>
      </c>
      <c r="I39" s="3897" t="s">
        <v>997</v>
      </c>
      <c r="J39" s="3942" t="s">
        <v>78</v>
      </c>
      <c r="K39" s="3901" t="s">
        <v>2882</v>
      </c>
      <c r="L39" s="3897" t="s">
        <v>997</v>
      </c>
      <c r="M39" s="3902" t="s">
        <v>2882</v>
      </c>
      <c r="N39" s="478"/>
      <c r="O39" s="3896" t="s">
        <v>3557</v>
      </c>
      <c r="P39" s="3897" t="s">
        <v>997</v>
      </c>
      <c r="Q39" s="3903" t="s">
        <v>3557</v>
      </c>
      <c r="R39" s="3899" t="s">
        <v>2008</v>
      </c>
      <c r="S39" s="3897" t="s">
        <v>997</v>
      </c>
      <c r="T39" s="3904" t="s">
        <v>2008</v>
      </c>
      <c r="U39" s="3965" t="s">
        <v>78</v>
      </c>
      <c r="V39" s="3897" t="s">
        <v>997</v>
      </c>
      <c r="W39" s="3903" t="s">
        <v>78</v>
      </c>
      <c r="X39" s="3966" t="s">
        <v>2882</v>
      </c>
      <c r="Y39" s="3897" t="s">
        <v>997</v>
      </c>
      <c r="Z39" s="3905" t="s">
        <v>2882</v>
      </c>
      <c r="AA39" s="478"/>
      <c r="AB39" s="478"/>
      <c r="AC39" s="478"/>
      <c r="AD39" s="3913"/>
      <c r="AE39" s="3949"/>
      <c r="AF39" s="3949"/>
      <c r="AG39" s="3949"/>
      <c r="AH39" s="3949"/>
      <c r="AI39" s="3949"/>
      <c r="AJ39" s="3949"/>
      <c r="AK39" s="3949"/>
      <c r="AL39" s="3949"/>
      <c r="AM39" s="3949"/>
      <c r="AN39" s="3949"/>
      <c r="AO39" s="3949"/>
      <c r="AP39" s="3949"/>
      <c r="AQ39" s="3949"/>
      <c r="AR39" s="3949"/>
      <c r="AS39" s="3949"/>
      <c r="AT39" s="3949"/>
      <c r="AU39" s="3949"/>
      <c r="AV39" s="3949"/>
      <c r="AW39" s="3949"/>
      <c r="AX39" s="3949"/>
      <c r="AY39" s="3949"/>
      <c r="AZ39" s="3949"/>
      <c r="BA39" s="3949"/>
      <c r="BD39" s="3913"/>
      <c r="BE39" s="3921"/>
      <c r="BF39" s="3921"/>
      <c r="BG39" s="3921"/>
      <c r="BH39" s="3921"/>
      <c r="BI39" s="3921"/>
      <c r="BJ39" s="3921"/>
      <c r="BK39" s="3921"/>
      <c r="BL39" s="3921"/>
      <c r="BM39" s="3921"/>
      <c r="BN39" s="3921"/>
      <c r="BO39" s="3921"/>
      <c r="BP39" s="3921"/>
      <c r="BQ39" s="3921"/>
      <c r="BR39" s="3921"/>
      <c r="BS39" s="3921"/>
      <c r="BT39" s="3921"/>
      <c r="BU39" s="3921"/>
      <c r="BV39" s="3921"/>
      <c r="BW39" s="3921"/>
      <c r="BX39" s="3921"/>
      <c r="BY39" s="3921"/>
      <c r="BZ39" s="3921"/>
      <c r="CA39" s="3921"/>
      <c r="CB39" s="3921"/>
      <c r="CC39" s="3921"/>
      <c r="CD39" s="3921"/>
      <c r="CE39" s="3921"/>
      <c r="CF39" s="3921"/>
      <c r="CG39" s="3921"/>
      <c r="CH39" s="3921"/>
      <c r="CI39" s="3921"/>
      <c r="CJ39" s="3921"/>
      <c r="CK39" s="3921"/>
      <c r="CL39" s="3921"/>
      <c r="CM39" s="3921"/>
    </row>
    <row r="40" spans="1:91" ht="30">
      <c r="A40" s="478"/>
      <c r="B40" s="3896" t="s">
        <v>3563</v>
      </c>
      <c r="C40" s="3897" t="s">
        <v>997</v>
      </c>
      <c r="D40" s="3898" t="s">
        <v>3563</v>
      </c>
      <c r="E40" s="3899" t="s">
        <v>1331</v>
      </c>
      <c r="F40" s="3897" t="s">
        <v>997</v>
      </c>
      <c r="G40" s="3900" t="s">
        <v>1331</v>
      </c>
      <c r="H40" s="3901" t="s">
        <v>1984</v>
      </c>
      <c r="I40" s="3897" t="s">
        <v>997</v>
      </c>
      <c r="J40" s="3942" t="s">
        <v>1984</v>
      </c>
      <c r="K40" s="3901" t="s">
        <v>1321</v>
      </c>
      <c r="L40" s="3897" t="s">
        <v>997</v>
      </c>
      <c r="M40" s="3902" t="s">
        <v>1321</v>
      </c>
      <c r="N40" s="478"/>
      <c r="O40" s="3896" t="s">
        <v>3563</v>
      </c>
      <c r="P40" s="3897" t="s">
        <v>997</v>
      </c>
      <c r="Q40" s="3903" t="s">
        <v>3563</v>
      </c>
      <c r="R40" s="3899" t="s">
        <v>1331</v>
      </c>
      <c r="S40" s="3897" t="s">
        <v>997</v>
      </c>
      <c r="T40" s="3904" t="s">
        <v>1331</v>
      </c>
      <c r="U40" s="3965" t="s">
        <v>1984</v>
      </c>
      <c r="V40" s="3897" t="s">
        <v>997</v>
      </c>
      <c r="W40" s="3903" t="s">
        <v>1984</v>
      </c>
      <c r="X40" s="3966" t="s">
        <v>1321</v>
      </c>
      <c r="Y40" s="3897" t="s">
        <v>997</v>
      </c>
      <c r="Z40" s="3905" t="s">
        <v>1321</v>
      </c>
      <c r="AA40" s="478"/>
      <c r="AB40" s="3961"/>
      <c r="AC40" s="478"/>
      <c r="AD40" s="3906" t="s">
        <v>1987</v>
      </c>
      <c r="AE40" s="3918" t="s">
        <v>3644</v>
      </c>
      <c r="AF40" s="3919"/>
      <c r="AG40" s="3918" t="s">
        <v>3645</v>
      </c>
      <c r="AH40" s="3919"/>
      <c r="AI40" s="3918" t="s">
        <v>3646</v>
      </c>
      <c r="AJ40" s="3919"/>
      <c r="AK40" s="3918" t="s">
        <v>3647</v>
      </c>
      <c r="AL40" s="3919"/>
      <c r="AM40" s="3918" t="s">
        <v>3648</v>
      </c>
      <c r="AN40" s="3919"/>
      <c r="AO40" s="3918" t="s">
        <v>3649</v>
      </c>
      <c r="AP40" s="3919"/>
      <c r="AQ40" s="3918" t="s">
        <v>3650</v>
      </c>
      <c r="AR40" s="3919"/>
      <c r="AS40" s="3918" t="s">
        <v>3651</v>
      </c>
      <c r="AT40" s="3919"/>
      <c r="AU40" s="3918" t="s">
        <v>3652</v>
      </c>
      <c r="AV40" s="3919"/>
      <c r="AW40" s="3918" t="s">
        <v>683</v>
      </c>
      <c r="AX40" s="3919"/>
      <c r="AY40" s="3918" t="s">
        <v>3653</v>
      </c>
      <c r="AZ40" s="3919"/>
      <c r="BA40" s="3918" t="s">
        <v>3654</v>
      </c>
      <c r="BD40" s="7105" t="s">
        <v>3591</v>
      </c>
      <c r="BE40" s="3943" t="s">
        <v>24</v>
      </c>
      <c r="BF40" s="3944"/>
      <c r="BG40" s="3939"/>
      <c r="BH40" s="3943" t="s">
        <v>597</v>
      </c>
      <c r="BI40" s="3944"/>
      <c r="BJ40" s="3939"/>
      <c r="BK40" s="3943" t="s">
        <v>1697</v>
      </c>
      <c r="BL40" s="3944"/>
      <c r="BM40" s="3939"/>
      <c r="BN40" s="3943" t="s">
        <v>812</v>
      </c>
      <c r="BO40" s="3944"/>
      <c r="BP40" s="3939"/>
      <c r="BQ40" s="3943" t="s">
        <v>813</v>
      </c>
      <c r="BR40" s="3944"/>
      <c r="BS40" s="3939"/>
      <c r="BT40" s="3943" t="s">
        <v>3621</v>
      </c>
      <c r="BU40" s="3944"/>
      <c r="BV40" s="3939"/>
      <c r="BW40" s="3943" t="s">
        <v>814</v>
      </c>
      <c r="BX40" s="3944"/>
      <c r="BY40" s="3939"/>
      <c r="BZ40" s="3943" t="s">
        <v>20</v>
      </c>
      <c r="CA40" s="3944"/>
      <c r="CB40" s="3939"/>
      <c r="CC40" s="3943" t="s">
        <v>809</v>
      </c>
      <c r="CD40" s="3944"/>
      <c r="CE40" s="3939"/>
      <c r="CF40" s="3943" t="s">
        <v>810</v>
      </c>
      <c r="CG40" s="3944"/>
      <c r="CH40" s="3939"/>
      <c r="CI40" s="3943" t="s">
        <v>3622</v>
      </c>
      <c r="CJ40" s="3944"/>
      <c r="CK40" s="3939"/>
      <c r="CL40" s="3943" t="s">
        <v>3623</v>
      </c>
      <c r="CM40" s="3944"/>
    </row>
    <row r="41" spans="1:91" ht="30">
      <c r="A41" s="478"/>
      <c r="B41" s="3896" t="s">
        <v>3655</v>
      </c>
      <c r="C41" s="3897" t="s">
        <v>997</v>
      </c>
      <c r="D41" s="3898" t="s">
        <v>3655</v>
      </c>
      <c r="E41" s="3899" t="s">
        <v>1330</v>
      </c>
      <c r="F41" s="3897" t="s">
        <v>997</v>
      </c>
      <c r="G41" s="3900" t="s">
        <v>1330</v>
      </c>
      <c r="H41" s="3901" t="s">
        <v>2048</v>
      </c>
      <c r="I41" s="3897" t="s">
        <v>997</v>
      </c>
      <c r="J41" s="3942" t="s">
        <v>2048</v>
      </c>
      <c r="K41" s="3901" t="s">
        <v>230</v>
      </c>
      <c r="L41" s="3897" t="s">
        <v>997</v>
      </c>
      <c r="M41" s="3902" t="s">
        <v>230</v>
      </c>
      <c r="N41" s="478"/>
      <c r="O41" s="3896" t="s">
        <v>3655</v>
      </c>
      <c r="P41" s="3897" t="s">
        <v>997</v>
      </c>
      <c r="Q41" s="3903" t="s">
        <v>3655</v>
      </c>
      <c r="R41" s="3899" t="s">
        <v>1330</v>
      </c>
      <c r="S41" s="3897" t="s">
        <v>997</v>
      </c>
      <c r="T41" s="3904" t="s">
        <v>1330</v>
      </c>
      <c r="U41" s="3965" t="s">
        <v>2048</v>
      </c>
      <c r="V41" s="3897" t="s">
        <v>997</v>
      </c>
      <c r="W41" s="3903" t="s">
        <v>2048</v>
      </c>
      <c r="X41" s="3966" t="s">
        <v>230</v>
      </c>
      <c r="Y41" s="3897" t="s">
        <v>997</v>
      </c>
      <c r="Z41" s="3905" t="s">
        <v>230</v>
      </c>
      <c r="AA41" s="478"/>
      <c r="AB41" s="478"/>
      <c r="AC41" s="478"/>
      <c r="AD41" s="3913"/>
      <c r="AE41" s="3921"/>
      <c r="AF41" s="3921"/>
      <c r="AG41" s="3921"/>
      <c r="AH41" s="3921"/>
      <c r="AI41" s="3921"/>
      <c r="AJ41" s="3921"/>
      <c r="AK41" s="3921"/>
      <c r="AL41" s="3921"/>
      <c r="AM41" s="3921"/>
      <c r="AN41" s="3921"/>
      <c r="AO41" s="3921"/>
      <c r="AP41" s="3921"/>
      <c r="AQ41" s="3921"/>
      <c r="AR41" s="3921"/>
      <c r="AS41" s="3921"/>
      <c r="AT41" s="3921"/>
      <c r="AU41" s="3921"/>
      <c r="AV41" s="3921"/>
      <c r="AW41" s="3921"/>
      <c r="AX41" s="3921"/>
      <c r="AY41" s="3921"/>
      <c r="AZ41" s="3921"/>
      <c r="BA41" s="3921"/>
      <c r="BD41" s="7105"/>
      <c r="BE41" s="3947" t="s">
        <v>3540</v>
      </c>
      <c r="BF41" s="3948"/>
      <c r="BG41" s="3939"/>
      <c r="BH41" s="3947" t="s">
        <v>3625</v>
      </c>
      <c r="BI41" s="3948"/>
      <c r="BJ41" s="3939"/>
      <c r="BK41" s="3947" t="s">
        <v>3581</v>
      </c>
      <c r="BL41" s="3948"/>
      <c r="BM41" s="3939"/>
      <c r="BN41" s="3947" t="s">
        <v>3624</v>
      </c>
      <c r="BO41" s="3948"/>
      <c r="BP41" s="3939"/>
      <c r="BQ41" s="3947" t="s">
        <v>602</v>
      </c>
      <c r="BR41" s="3948"/>
      <c r="BS41" s="3939"/>
      <c r="BT41" s="3947" t="s">
        <v>3626</v>
      </c>
      <c r="BU41" s="3948"/>
      <c r="BV41" s="3939"/>
      <c r="BW41" s="3947" t="s">
        <v>594</v>
      </c>
      <c r="BX41" s="3948"/>
      <c r="BY41" s="3939"/>
      <c r="BZ41" s="3947" t="s">
        <v>3586</v>
      </c>
      <c r="CA41" s="3948"/>
      <c r="CB41" s="3939"/>
      <c r="CC41" s="3947" t="s">
        <v>3608</v>
      </c>
      <c r="CD41" s="3948"/>
      <c r="CE41" s="3939"/>
      <c r="CF41" s="3947" t="s">
        <v>593</v>
      </c>
      <c r="CG41" s="3948"/>
      <c r="CH41" s="3939"/>
      <c r="CI41" s="3947" t="s">
        <v>3568</v>
      </c>
      <c r="CJ41" s="3948"/>
      <c r="CK41" s="3939"/>
      <c r="CL41" s="3947"/>
      <c r="CM41" s="3948" t="s">
        <v>3627</v>
      </c>
    </row>
    <row r="42" spans="1:91" ht="30">
      <c r="A42" s="478"/>
      <c r="B42" s="3896" t="s">
        <v>3567</v>
      </c>
      <c r="C42" s="3897" t="s">
        <v>997</v>
      </c>
      <c r="D42" s="3898" t="s">
        <v>3567</v>
      </c>
      <c r="E42" s="3899" t="s">
        <v>3561</v>
      </c>
      <c r="F42" s="3897" t="s">
        <v>997</v>
      </c>
      <c r="G42" s="3900" t="s">
        <v>3561</v>
      </c>
      <c r="H42" s="3901" t="s">
        <v>3656</v>
      </c>
      <c r="I42" s="3897" t="s">
        <v>997</v>
      </c>
      <c r="J42" s="3942" t="s">
        <v>3656</v>
      </c>
      <c r="K42" s="3901" t="s">
        <v>3558</v>
      </c>
      <c r="L42" s="3897" t="s">
        <v>997</v>
      </c>
      <c r="M42" s="3902" t="s">
        <v>3558</v>
      </c>
      <c r="N42" s="478"/>
      <c r="O42" s="3896" t="s">
        <v>3567</v>
      </c>
      <c r="P42" s="3897" t="s">
        <v>997</v>
      </c>
      <c r="Q42" s="3903" t="s">
        <v>3567</v>
      </c>
      <c r="R42" s="3899" t="s">
        <v>3561</v>
      </c>
      <c r="S42" s="3897" t="s">
        <v>997</v>
      </c>
      <c r="T42" s="3904" t="s">
        <v>3561</v>
      </c>
      <c r="U42" s="3965" t="s">
        <v>3656</v>
      </c>
      <c r="V42" s="3897" t="s">
        <v>997</v>
      </c>
      <c r="W42" s="3903" t="s">
        <v>3656</v>
      </c>
      <c r="X42" s="3966" t="s">
        <v>3558</v>
      </c>
      <c r="Y42" s="3897" t="s">
        <v>997</v>
      </c>
      <c r="Z42" s="3905" t="s">
        <v>3558</v>
      </c>
      <c r="AA42" s="478"/>
      <c r="AB42" s="478"/>
      <c r="AC42" s="478"/>
      <c r="AD42" s="3906" t="s">
        <v>588</v>
      </c>
      <c r="AE42" s="3925" t="s">
        <v>3644</v>
      </c>
      <c r="AF42" s="3924">
        <v>0</v>
      </c>
      <c r="AG42" s="3925" t="s">
        <v>3645</v>
      </c>
      <c r="AH42" s="3924">
        <v>0</v>
      </c>
      <c r="AI42" s="3925" t="s">
        <v>3646</v>
      </c>
      <c r="AJ42" s="3924">
        <v>0</v>
      </c>
      <c r="AK42" s="3925" t="s">
        <v>3647</v>
      </c>
      <c r="AL42" s="3924">
        <v>0</v>
      </c>
      <c r="AM42" s="3925" t="s">
        <v>3648</v>
      </c>
      <c r="AN42" s="3924">
        <v>0</v>
      </c>
      <c r="AO42" s="3925" t="s">
        <v>3649</v>
      </c>
      <c r="AP42" s="3924">
        <v>0</v>
      </c>
      <c r="AQ42" s="3925" t="s">
        <v>3650</v>
      </c>
      <c r="AR42" s="3924">
        <v>0</v>
      </c>
      <c r="AS42" s="3967" t="s">
        <v>3651</v>
      </c>
      <c r="AT42" s="3924">
        <v>0</v>
      </c>
      <c r="AU42" s="3925" t="s">
        <v>3652</v>
      </c>
      <c r="AV42" s="3924">
        <v>0</v>
      </c>
      <c r="AW42" s="3925" t="s">
        <v>683</v>
      </c>
      <c r="AX42" s="3924">
        <v>0</v>
      </c>
      <c r="AY42" s="3925" t="s">
        <v>3653</v>
      </c>
      <c r="AZ42" s="3924">
        <v>0</v>
      </c>
      <c r="BA42" s="3925" t="s">
        <v>3654</v>
      </c>
      <c r="BD42" s="3913"/>
      <c r="BE42" s="3921"/>
      <c r="BF42" s="3921"/>
      <c r="BG42" s="3921"/>
      <c r="BH42" s="3921"/>
      <c r="BI42" s="3921"/>
      <c r="BJ42" s="3921"/>
      <c r="BK42" s="3921"/>
      <c r="BL42" s="3921"/>
      <c r="BM42" s="3921"/>
      <c r="BN42" s="3921"/>
      <c r="BO42" s="3921"/>
      <c r="BP42" s="3921"/>
      <c r="BQ42" s="3921"/>
      <c r="BR42" s="3921"/>
      <c r="BS42" s="3921"/>
      <c r="BT42" s="3921"/>
      <c r="BU42" s="3921"/>
      <c r="BV42" s="3921"/>
      <c r="BW42" s="3921"/>
      <c r="BX42" s="3921"/>
      <c r="BY42" s="3921"/>
      <c r="BZ42" s="3921"/>
      <c r="CA42" s="3921"/>
      <c r="CB42" s="3921"/>
      <c r="CC42" s="3921"/>
      <c r="CD42" s="3921"/>
      <c r="CE42" s="3921"/>
      <c r="CF42" s="3921"/>
      <c r="CG42" s="3921"/>
      <c r="CH42" s="3921"/>
      <c r="CI42" s="3921"/>
      <c r="CJ42" s="3921"/>
      <c r="CK42" s="3921"/>
      <c r="CL42" s="3921"/>
      <c r="CM42" s="3921"/>
    </row>
    <row r="43" spans="1:91" ht="30">
      <c r="A43" s="478"/>
      <c r="B43" s="3896" t="s">
        <v>3569</v>
      </c>
      <c r="C43" s="3897" t="s">
        <v>997</v>
      </c>
      <c r="D43" s="3898" t="s">
        <v>3569</v>
      </c>
      <c r="E43" s="3899" t="s">
        <v>3570</v>
      </c>
      <c r="F43" s="3897" t="s">
        <v>997</v>
      </c>
      <c r="G43" s="3900" t="s">
        <v>3570</v>
      </c>
      <c r="H43" s="3901" t="s">
        <v>3657</v>
      </c>
      <c r="I43" s="3897" t="s">
        <v>997</v>
      </c>
      <c r="J43" s="3942" t="s">
        <v>3657</v>
      </c>
      <c r="K43" s="3901" t="s">
        <v>2007</v>
      </c>
      <c r="L43" s="3897" t="s">
        <v>997</v>
      </c>
      <c r="M43" s="3902" t="s">
        <v>2007</v>
      </c>
      <c r="N43" s="478"/>
      <c r="O43" s="3896" t="s">
        <v>3569</v>
      </c>
      <c r="P43" s="3897" t="s">
        <v>997</v>
      </c>
      <c r="Q43" s="3903" t="s">
        <v>3569</v>
      </c>
      <c r="R43" s="3899" t="s">
        <v>3570</v>
      </c>
      <c r="S43" s="3897" t="s">
        <v>997</v>
      </c>
      <c r="T43" s="3904" t="s">
        <v>3570</v>
      </c>
      <c r="U43" s="3965" t="s">
        <v>3657</v>
      </c>
      <c r="V43" s="3897" t="s">
        <v>997</v>
      </c>
      <c r="W43" s="3903" t="s">
        <v>3657</v>
      </c>
      <c r="X43" s="3966" t="s">
        <v>2007</v>
      </c>
      <c r="Y43" s="3897" t="s">
        <v>997</v>
      </c>
      <c r="Z43" s="3905" t="s">
        <v>2007</v>
      </c>
      <c r="AA43" s="478"/>
      <c r="AB43" s="478"/>
      <c r="AC43" s="478"/>
      <c r="AD43" s="3913"/>
      <c r="AE43" s="3921"/>
      <c r="AF43" s="3921"/>
      <c r="AG43" s="3921"/>
      <c r="AH43" s="3921"/>
      <c r="AI43" s="3921"/>
      <c r="AJ43" s="3921"/>
      <c r="AK43" s="3921"/>
      <c r="AL43" s="3921"/>
      <c r="AM43" s="3921"/>
      <c r="AN43" s="3921"/>
      <c r="AO43" s="3921"/>
      <c r="AP43" s="3921"/>
      <c r="AQ43" s="3921"/>
      <c r="AR43" s="3921"/>
      <c r="AS43" s="3968"/>
      <c r="AT43" s="3921"/>
      <c r="AU43" s="3921"/>
      <c r="AV43" s="3921"/>
      <c r="AW43" s="3921"/>
      <c r="AX43" s="3921"/>
      <c r="AY43" s="3921"/>
      <c r="AZ43" s="3921"/>
      <c r="BA43" s="3921"/>
      <c r="BD43" s="3913"/>
      <c r="BE43" s="3893" t="s">
        <v>3658</v>
      </c>
      <c r="BF43" s="3921"/>
      <c r="BG43" s="3921"/>
      <c r="BH43" s="3921"/>
      <c r="BI43" s="3921"/>
      <c r="BJ43" s="3921"/>
      <c r="BK43" s="3921"/>
      <c r="BL43" s="3921"/>
      <c r="BM43" s="3921"/>
      <c r="BN43" s="3921"/>
      <c r="BO43" s="3921"/>
      <c r="BP43" s="3921"/>
      <c r="BQ43" s="3921"/>
      <c r="BR43" s="3921"/>
      <c r="BS43" s="3921"/>
      <c r="BT43" s="3921"/>
      <c r="BU43" s="3921"/>
      <c r="BV43" s="3921"/>
      <c r="BW43" s="3921"/>
      <c r="BX43" s="3921"/>
      <c r="BY43" s="3921"/>
      <c r="BZ43" s="3921"/>
      <c r="CA43" s="3921"/>
      <c r="CB43" s="3921"/>
      <c r="CC43" s="3921"/>
      <c r="CD43" s="3921"/>
      <c r="CE43" s="3921"/>
      <c r="CF43" s="3921"/>
      <c r="CG43" s="3921"/>
      <c r="CH43" s="3921"/>
      <c r="CI43" s="3921"/>
      <c r="CJ43" s="3921"/>
      <c r="CK43" s="3921"/>
      <c r="CL43" s="3921"/>
      <c r="CM43" s="3921"/>
    </row>
    <row r="44" spans="1:91" ht="27">
      <c r="A44" s="478"/>
      <c r="B44" s="3896" t="s">
        <v>3659</v>
      </c>
      <c r="C44" s="3897" t="s">
        <v>997</v>
      </c>
      <c r="D44" s="3898" t="s">
        <v>3659</v>
      </c>
      <c r="E44" s="3899" t="s">
        <v>3560</v>
      </c>
      <c r="F44" s="3897" t="s">
        <v>997</v>
      </c>
      <c r="G44" s="3900" t="s">
        <v>3560</v>
      </c>
      <c r="H44" s="3901" t="s">
        <v>3566</v>
      </c>
      <c r="I44" s="3897" t="s">
        <v>997</v>
      </c>
      <c r="J44" s="3942" t="s">
        <v>3566</v>
      </c>
      <c r="K44" s="3901" t="s">
        <v>3660</v>
      </c>
      <c r="L44" s="3897" t="s">
        <v>997</v>
      </c>
      <c r="M44" s="3902" t="s">
        <v>3660</v>
      </c>
      <c r="N44" s="478"/>
      <c r="O44" s="3896" t="s">
        <v>3659</v>
      </c>
      <c r="P44" s="3897" t="s">
        <v>997</v>
      </c>
      <c r="Q44" s="3903" t="s">
        <v>3659</v>
      </c>
      <c r="R44" s="3899" t="s">
        <v>3560</v>
      </c>
      <c r="S44" s="3897" t="s">
        <v>997</v>
      </c>
      <c r="T44" s="3904" t="s">
        <v>3560</v>
      </c>
      <c r="U44" s="3965" t="s">
        <v>3566</v>
      </c>
      <c r="V44" s="3897" t="s">
        <v>997</v>
      </c>
      <c r="W44" s="3903" t="s">
        <v>3566</v>
      </c>
      <c r="X44" s="3966" t="s">
        <v>3660</v>
      </c>
      <c r="Y44" s="3897" t="s">
        <v>997</v>
      </c>
      <c r="Z44" s="3905" t="s">
        <v>3660</v>
      </c>
      <c r="AA44" s="478"/>
      <c r="AB44" s="3961"/>
      <c r="AC44" s="478"/>
      <c r="AD44" s="3906" t="s">
        <v>3583</v>
      </c>
      <c r="AE44" s="3928" t="s">
        <v>3644</v>
      </c>
      <c r="AF44" s="3929">
        <v>0</v>
      </c>
      <c r="AG44" s="3928" t="s">
        <v>3645</v>
      </c>
      <c r="AH44" s="3929">
        <v>0</v>
      </c>
      <c r="AI44" s="3928" t="s">
        <v>3646</v>
      </c>
      <c r="AJ44" s="3929">
        <v>0</v>
      </c>
      <c r="AK44" s="3928" t="s">
        <v>3647</v>
      </c>
      <c r="AL44" s="3929">
        <v>0</v>
      </c>
      <c r="AM44" s="3928" t="s">
        <v>3648</v>
      </c>
      <c r="AN44" s="3929">
        <v>0</v>
      </c>
      <c r="AO44" s="3928" t="s">
        <v>3649</v>
      </c>
      <c r="AP44" s="3929">
        <v>0</v>
      </c>
      <c r="AQ44" s="3928" t="s">
        <v>3650</v>
      </c>
      <c r="AR44" s="3929">
        <v>0</v>
      </c>
      <c r="AS44" s="3928" t="s">
        <v>3651</v>
      </c>
      <c r="AT44" s="3929">
        <v>0</v>
      </c>
      <c r="AU44" s="3928" t="s">
        <v>3652</v>
      </c>
      <c r="AV44" s="3929">
        <v>0</v>
      </c>
      <c r="AW44" s="3928" t="s">
        <v>683</v>
      </c>
      <c r="AX44" s="3929">
        <v>0</v>
      </c>
      <c r="AY44" s="3928" t="s">
        <v>3653</v>
      </c>
      <c r="AZ44" s="3929">
        <v>0</v>
      </c>
      <c r="BA44" s="3928" t="s">
        <v>3654</v>
      </c>
      <c r="BD44" s="7107" t="s">
        <v>3554</v>
      </c>
      <c r="BE44" s="3909" t="s">
        <v>811</v>
      </c>
      <c r="BF44" s="3910"/>
      <c r="BG44" s="3911"/>
      <c r="BH44" s="3909" t="s">
        <v>12</v>
      </c>
      <c r="BI44" s="3910"/>
      <c r="BJ44" s="3911"/>
      <c r="BK44" s="3909" t="s">
        <v>713</v>
      </c>
      <c r="BL44" s="3910"/>
      <c r="BM44" s="3911"/>
      <c r="BN44" s="3909" t="s">
        <v>23</v>
      </c>
      <c r="BO44" s="3910"/>
      <c r="BP44" s="3911"/>
      <c r="BQ44" s="3909" t="s">
        <v>1782</v>
      </c>
      <c r="BR44" s="3910"/>
      <c r="BS44" s="3911"/>
      <c r="BT44" s="3909" t="s">
        <v>1698</v>
      </c>
      <c r="BU44" s="3910"/>
      <c r="BV44" s="3911"/>
      <c r="BW44" s="3909" t="s">
        <v>18</v>
      </c>
      <c r="BX44" s="3910"/>
      <c r="BY44" s="3911"/>
      <c r="BZ44" s="3909" t="s">
        <v>15</v>
      </c>
      <c r="CA44" s="3910"/>
      <c r="CB44" s="3911"/>
      <c r="CC44" s="3909" t="s">
        <v>398</v>
      </c>
      <c r="CD44" s="3910"/>
      <c r="CE44" s="3911"/>
      <c r="CF44" s="3909" t="s">
        <v>807</v>
      </c>
      <c r="CG44" s="3910"/>
      <c r="CH44" s="3911"/>
      <c r="CI44" s="3909" t="s">
        <v>2010</v>
      </c>
      <c r="CJ44" s="3910"/>
      <c r="CK44" s="3911"/>
      <c r="CL44" s="3909" t="s">
        <v>3659</v>
      </c>
      <c r="CM44" s="3910"/>
    </row>
    <row r="45" spans="1:91" ht="30">
      <c r="A45" s="478"/>
      <c r="B45" s="3896" t="s">
        <v>3661</v>
      </c>
      <c r="C45" s="3897" t="s">
        <v>997</v>
      </c>
      <c r="D45" s="3898" t="s">
        <v>3661</v>
      </c>
      <c r="E45" s="3899" t="s">
        <v>3571</v>
      </c>
      <c r="F45" s="3897" t="s">
        <v>997</v>
      </c>
      <c r="G45" s="3900" t="s">
        <v>3571</v>
      </c>
      <c r="H45" s="3901" t="s">
        <v>2156</v>
      </c>
      <c r="I45" s="3897" t="s">
        <v>997</v>
      </c>
      <c r="J45" s="3942" t="s">
        <v>2156</v>
      </c>
      <c r="K45" s="3901" t="s">
        <v>3662</v>
      </c>
      <c r="L45" s="3897" t="s">
        <v>997</v>
      </c>
      <c r="M45" s="3902" t="s">
        <v>3662</v>
      </c>
      <c r="N45" s="478"/>
      <c r="O45" s="3896" t="s">
        <v>3661</v>
      </c>
      <c r="P45" s="3897" t="s">
        <v>997</v>
      </c>
      <c r="Q45" s="3903" t="s">
        <v>3661</v>
      </c>
      <c r="R45" s="3899" t="s">
        <v>3571</v>
      </c>
      <c r="S45" s="3897" t="s">
        <v>997</v>
      </c>
      <c r="T45" s="3904" t="s">
        <v>3571</v>
      </c>
      <c r="U45" s="3965" t="s">
        <v>2156</v>
      </c>
      <c r="V45" s="3897" t="s">
        <v>997</v>
      </c>
      <c r="W45" s="3903" t="s">
        <v>2156</v>
      </c>
      <c r="X45" s="3966" t="s">
        <v>3662</v>
      </c>
      <c r="Y45" s="3897" t="s">
        <v>997</v>
      </c>
      <c r="Z45" s="3905" t="s">
        <v>3662</v>
      </c>
      <c r="AA45" s="478"/>
      <c r="AB45" s="478"/>
      <c r="AC45" s="478"/>
      <c r="AD45" s="3913"/>
      <c r="AE45" s="3921"/>
      <c r="AF45" s="3921"/>
      <c r="AG45" s="3921"/>
      <c r="AH45" s="3921"/>
      <c r="AI45" s="3921"/>
      <c r="AJ45" s="3921"/>
      <c r="AK45" s="3921"/>
      <c r="AL45" s="3921"/>
      <c r="AM45" s="3921"/>
      <c r="AN45" s="3921"/>
      <c r="AO45" s="3921"/>
      <c r="AP45" s="3921"/>
      <c r="AQ45" s="3921"/>
      <c r="AR45" s="3921"/>
      <c r="AS45" s="3921"/>
      <c r="AT45" s="3921"/>
      <c r="AU45" s="3921"/>
      <c r="AV45" s="3921"/>
      <c r="AW45" s="3921"/>
      <c r="AX45" s="3921"/>
      <c r="AY45" s="3921"/>
      <c r="AZ45" s="3921"/>
      <c r="BA45" s="3921"/>
      <c r="BD45" s="7107"/>
      <c r="BE45" s="3915" t="s">
        <v>473</v>
      </c>
      <c r="BF45" s="3916"/>
      <c r="BG45" s="3911"/>
      <c r="BH45" s="3915" t="s">
        <v>681</v>
      </c>
      <c r="BI45" s="3916"/>
      <c r="BJ45" s="3911"/>
      <c r="BK45" s="3915" t="s">
        <v>3580</v>
      </c>
      <c r="BL45" s="3916"/>
      <c r="BM45" s="3911"/>
      <c r="BN45" s="3915" t="s">
        <v>3582</v>
      </c>
      <c r="BO45" s="3916"/>
      <c r="BP45" s="3911"/>
      <c r="BQ45" s="3915" t="s">
        <v>2072</v>
      </c>
      <c r="BR45" s="3916"/>
      <c r="BS45" s="3911"/>
      <c r="BT45" s="3915" t="s">
        <v>3585</v>
      </c>
      <c r="BU45" s="3916"/>
      <c r="BV45" s="3911"/>
      <c r="BW45" s="3915" t="s">
        <v>3588</v>
      </c>
      <c r="BX45" s="3916"/>
      <c r="BY45" s="3911"/>
      <c r="BZ45" s="3915" t="s">
        <v>3590</v>
      </c>
      <c r="CA45" s="3916"/>
      <c r="CB45" s="3911"/>
      <c r="CC45" s="3915" t="s">
        <v>3592</v>
      </c>
      <c r="CD45" s="3916"/>
      <c r="CE45" s="3911"/>
      <c r="CF45" s="3915" t="s">
        <v>3593</v>
      </c>
      <c r="CG45" s="3916"/>
      <c r="CH45" s="3911"/>
      <c r="CI45" s="3915" t="s">
        <v>3655</v>
      </c>
      <c r="CJ45" s="3916"/>
      <c r="CK45" s="3911"/>
      <c r="CL45" s="3915" t="s">
        <v>3660</v>
      </c>
      <c r="CM45" s="3916"/>
    </row>
    <row r="46" spans="1:91" ht="25.5">
      <c r="A46" s="478"/>
      <c r="B46" s="3896"/>
      <c r="C46" s="3897" t="s">
        <v>997</v>
      </c>
      <c r="D46" s="3898"/>
      <c r="E46" s="3899" t="s">
        <v>3562</v>
      </c>
      <c r="F46" s="3897" t="s">
        <v>997</v>
      </c>
      <c r="G46" s="3900" t="s">
        <v>3562</v>
      </c>
      <c r="H46" s="3901" t="s">
        <v>3565</v>
      </c>
      <c r="I46" s="3897" t="s">
        <v>997</v>
      </c>
      <c r="J46" s="3942" t="s">
        <v>3565</v>
      </c>
      <c r="K46" s="3901"/>
      <c r="L46" s="3897" t="s">
        <v>997</v>
      </c>
      <c r="M46" s="3902"/>
      <c r="N46" s="478"/>
      <c r="O46" s="3896"/>
      <c r="P46" s="3897" t="s">
        <v>997</v>
      </c>
      <c r="Q46" s="3903"/>
      <c r="R46" s="3899" t="s">
        <v>3562</v>
      </c>
      <c r="S46" s="3897" t="s">
        <v>997</v>
      </c>
      <c r="T46" s="3904" t="s">
        <v>3562</v>
      </c>
      <c r="U46" s="3965" t="s">
        <v>3565</v>
      </c>
      <c r="V46" s="3897" t="s">
        <v>997</v>
      </c>
      <c r="W46" s="3903" t="s">
        <v>3565</v>
      </c>
      <c r="X46" s="3966"/>
      <c r="Y46" s="3897" t="s">
        <v>997</v>
      </c>
      <c r="Z46" s="3905"/>
      <c r="AA46" s="478"/>
      <c r="AB46" s="478"/>
      <c r="AC46" s="478"/>
      <c r="AD46" s="3906" t="s">
        <v>3587</v>
      </c>
      <c r="AE46" s="3934" t="s">
        <v>3644</v>
      </c>
      <c r="AF46" s="3935">
        <v>0</v>
      </c>
      <c r="AG46" s="3934" t="s">
        <v>3645</v>
      </c>
      <c r="AH46" s="3935">
        <v>0</v>
      </c>
      <c r="AI46" s="3934" t="s">
        <v>3646</v>
      </c>
      <c r="AJ46" s="3935">
        <v>0</v>
      </c>
      <c r="AK46" s="3934" t="s">
        <v>3647</v>
      </c>
      <c r="AL46" s="3935">
        <v>0</v>
      </c>
      <c r="AM46" s="3934" t="s">
        <v>3648</v>
      </c>
      <c r="AN46" s="3935">
        <v>0</v>
      </c>
      <c r="AO46" s="3934" t="s">
        <v>3649</v>
      </c>
      <c r="AP46" s="3935">
        <v>0</v>
      </c>
      <c r="AQ46" s="3934" t="s">
        <v>3650</v>
      </c>
      <c r="AR46" s="3935">
        <v>0</v>
      </c>
      <c r="AS46" s="3934" t="s">
        <v>3651</v>
      </c>
      <c r="AT46" s="3935">
        <v>0</v>
      </c>
      <c r="AU46" s="3934" t="s">
        <v>3652</v>
      </c>
      <c r="AV46" s="3935">
        <v>0</v>
      </c>
      <c r="AW46" s="3934" t="s">
        <v>683</v>
      </c>
      <c r="AX46" s="3935">
        <v>0</v>
      </c>
      <c r="AY46" s="3934" t="s">
        <v>3653</v>
      </c>
      <c r="AZ46" s="3935">
        <v>0</v>
      </c>
      <c r="BA46" s="3934" t="s">
        <v>3654</v>
      </c>
      <c r="BD46" s="3920"/>
      <c r="BE46" s="3911"/>
      <c r="BF46" s="3911"/>
      <c r="BG46" s="3911"/>
      <c r="BH46" s="3911"/>
      <c r="BI46" s="3911"/>
      <c r="BJ46" s="3911"/>
      <c r="BK46" s="3911"/>
      <c r="BL46" s="3911"/>
      <c r="BM46" s="3911"/>
      <c r="BN46" s="3911"/>
      <c r="BO46" s="3911"/>
      <c r="BP46" s="3911"/>
      <c r="BQ46" s="3911"/>
      <c r="BR46" s="3911"/>
      <c r="BS46" s="3911"/>
      <c r="BT46" s="3911"/>
      <c r="BU46" s="3911"/>
      <c r="BV46" s="3911"/>
      <c r="BW46" s="3911"/>
      <c r="BX46" s="3911"/>
      <c r="BY46" s="3911"/>
      <c r="BZ46" s="3911"/>
      <c r="CA46" s="3911"/>
      <c r="CB46" s="3911"/>
      <c r="CC46" s="3911"/>
      <c r="CD46" s="3911"/>
      <c r="CE46" s="3911"/>
      <c r="CF46" s="3911"/>
      <c r="CG46" s="3911"/>
      <c r="CH46" s="3911"/>
      <c r="CI46" s="3911"/>
      <c r="CJ46" s="3911"/>
      <c r="CK46" s="3911"/>
      <c r="CL46" s="3911"/>
      <c r="CM46" s="3911"/>
    </row>
    <row r="47" spans="1:91" ht="30">
      <c r="A47" s="478"/>
      <c r="B47" s="3969"/>
      <c r="C47" s="3970"/>
      <c r="D47" s="3970"/>
      <c r="E47" s="3970"/>
      <c r="F47" s="3970"/>
      <c r="G47" s="3970"/>
      <c r="H47" s="3970"/>
      <c r="I47" s="3970"/>
      <c r="J47" s="3970"/>
      <c r="K47" s="3970"/>
      <c r="L47" s="3970"/>
      <c r="M47" s="3971"/>
      <c r="N47" s="3972"/>
      <c r="O47" s="3969"/>
      <c r="P47" s="3970"/>
      <c r="Q47" s="3970"/>
      <c r="R47" s="3970"/>
      <c r="S47" s="3970"/>
      <c r="T47" s="3970"/>
      <c r="U47" s="3970"/>
      <c r="V47" s="3970"/>
      <c r="W47" s="3970"/>
      <c r="X47" s="3970"/>
      <c r="Y47" s="3970"/>
      <c r="Z47" s="3971"/>
      <c r="AA47" s="3972"/>
      <c r="AB47" s="478"/>
      <c r="AC47" s="478"/>
      <c r="AD47" s="3913"/>
      <c r="AE47" s="3921"/>
      <c r="AF47" s="3921"/>
      <c r="AG47" s="3921"/>
      <c r="AH47" s="3921"/>
      <c r="AI47" s="3921"/>
      <c r="AJ47" s="3921"/>
      <c r="AK47" s="3921"/>
      <c r="AL47" s="3921"/>
      <c r="AM47" s="3921"/>
      <c r="AN47" s="3921"/>
      <c r="AO47" s="3921"/>
      <c r="AP47" s="3921"/>
      <c r="AQ47" s="3921"/>
      <c r="AR47" s="3921"/>
      <c r="AS47" s="3921"/>
      <c r="AT47" s="3921"/>
      <c r="AU47" s="3921"/>
      <c r="AV47" s="3921"/>
      <c r="AW47" s="3921"/>
      <c r="AX47" s="3921"/>
      <c r="AY47" s="3921"/>
      <c r="AZ47" s="3921"/>
      <c r="BA47" s="3921"/>
      <c r="BD47" s="7105" t="s">
        <v>588</v>
      </c>
      <c r="BE47" s="3922" t="s">
        <v>811</v>
      </c>
      <c r="BF47" s="3923"/>
      <c r="BG47" s="3924"/>
      <c r="BH47" s="3922" t="s">
        <v>12</v>
      </c>
      <c r="BI47" s="3923"/>
      <c r="BJ47" s="3924"/>
      <c r="BK47" s="3922" t="s">
        <v>713</v>
      </c>
      <c r="BL47" s="3923"/>
      <c r="BM47" s="3924"/>
      <c r="BN47" s="3922" t="s">
        <v>23</v>
      </c>
      <c r="BO47" s="3923"/>
      <c r="BP47" s="3924"/>
      <c r="BQ47" s="3922" t="s">
        <v>1782</v>
      </c>
      <c r="BR47" s="3923"/>
      <c r="BS47" s="3924"/>
      <c r="BT47" s="3922" t="s">
        <v>1698</v>
      </c>
      <c r="BU47" s="3923"/>
      <c r="BV47" s="3924"/>
      <c r="BW47" s="3922" t="s">
        <v>18</v>
      </c>
      <c r="BX47" s="3923"/>
      <c r="BY47" s="3924"/>
      <c r="BZ47" s="3922" t="s">
        <v>15</v>
      </c>
      <c r="CA47" s="3923"/>
      <c r="CB47" s="3924"/>
      <c r="CC47" s="3922" t="s">
        <v>398</v>
      </c>
      <c r="CD47" s="3923"/>
      <c r="CE47" s="3924"/>
      <c r="CF47" s="3922" t="s">
        <v>807</v>
      </c>
      <c r="CG47" s="3923"/>
      <c r="CH47" s="3924"/>
      <c r="CI47" s="3922" t="s">
        <v>2010</v>
      </c>
      <c r="CJ47" s="3923"/>
      <c r="CK47" s="3924"/>
      <c r="CL47" s="3922" t="s">
        <v>3659</v>
      </c>
      <c r="CM47" s="3923"/>
    </row>
    <row r="48" spans="1:91" ht="15">
      <c r="AD48" s="3906" t="s">
        <v>3591</v>
      </c>
      <c r="AE48" s="3938" t="s">
        <v>3644</v>
      </c>
      <c r="AF48" s="3939">
        <v>0</v>
      </c>
      <c r="AG48" s="3938" t="s">
        <v>3645</v>
      </c>
      <c r="AH48" s="3939">
        <v>0</v>
      </c>
      <c r="AI48" s="3938" t="s">
        <v>3646</v>
      </c>
      <c r="AJ48" s="3939">
        <v>0</v>
      </c>
      <c r="AK48" s="3938" t="s">
        <v>3647</v>
      </c>
      <c r="AL48" s="3939">
        <v>0</v>
      </c>
      <c r="AM48" s="3938" t="s">
        <v>3648</v>
      </c>
      <c r="AN48" s="3939">
        <v>0</v>
      </c>
      <c r="AO48" s="3938" t="s">
        <v>3649</v>
      </c>
      <c r="AP48" s="3939">
        <v>0</v>
      </c>
      <c r="AQ48" s="3938" t="s">
        <v>3650</v>
      </c>
      <c r="AR48" s="3939">
        <v>0</v>
      </c>
      <c r="AS48" s="3938" t="s">
        <v>3651</v>
      </c>
      <c r="AT48" s="3939">
        <v>0</v>
      </c>
      <c r="AU48" s="3938" t="s">
        <v>3652</v>
      </c>
      <c r="AV48" s="3939">
        <v>0</v>
      </c>
      <c r="AW48" s="3938" t="s">
        <v>683</v>
      </c>
      <c r="AX48" s="3939">
        <v>0</v>
      </c>
      <c r="AY48" s="3938" t="s">
        <v>3653</v>
      </c>
      <c r="AZ48" s="3939">
        <v>0</v>
      </c>
      <c r="BA48" s="3938" t="s">
        <v>3654</v>
      </c>
      <c r="BD48" s="7105"/>
      <c r="BE48" s="3926" t="s">
        <v>473</v>
      </c>
      <c r="BF48" s="3927"/>
      <c r="BG48" s="3924"/>
      <c r="BH48" s="3926" t="s">
        <v>681</v>
      </c>
      <c r="BI48" s="3927"/>
      <c r="BJ48" s="3924"/>
      <c r="BK48" s="3926" t="s">
        <v>3580</v>
      </c>
      <c r="BL48" s="3927"/>
      <c r="BM48" s="3924"/>
      <c r="BN48" s="3926" t="s">
        <v>3582</v>
      </c>
      <c r="BO48" s="3927"/>
      <c r="BP48" s="3924"/>
      <c r="BQ48" s="3926" t="s">
        <v>2072</v>
      </c>
      <c r="BR48" s="3927"/>
      <c r="BS48" s="3924"/>
      <c r="BT48" s="3926" t="s">
        <v>3585</v>
      </c>
      <c r="BU48" s="3927"/>
      <c r="BV48" s="3924"/>
      <c r="BW48" s="3926" t="s">
        <v>3588</v>
      </c>
      <c r="BX48" s="3927"/>
      <c r="BY48" s="3924"/>
      <c r="BZ48" s="3926" t="s">
        <v>3590</v>
      </c>
      <c r="CA48" s="3927"/>
      <c r="CB48" s="3924"/>
      <c r="CC48" s="3926" t="s">
        <v>3592</v>
      </c>
      <c r="CD48" s="3927"/>
      <c r="CE48" s="3924"/>
      <c r="CF48" s="3926" t="s">
        <v>3593</v>
      </c>
      <c r="CG48" s="3927"/>
      <c r="CH48" s="3924"/>
      <c r="CI48" s="3926" t="s">
        <v>3655</v>
      </c>
      <c r="CJ48" s="3927"/>
      <c r="CK48" s="3924"/>
      <c r="CL48" s="3926" t="s">
        <v>3660</v>
      </c>
      <c r="CM48" s="3927"/>
    </row>
    <row r="49" spans="1:91" ht="30">
      <c r="AD49" s="3913"/>
      <c r="BD49" s="3920"/>
      <c r="BE49" s="3921"/>
      <c r="BF49" s="3921"/>
      <c r="BG49" s="3921"/>
      <c r="BH49" s="3921"/>
      <c r="BI49" s="3921"/>
      <c r="BJ49" s="3921"/>
      <c r="BK49" s="3921"/>
      <c r="BL49" s="3921"/>
      <c r="BM49" s="3921"/>
      <c r="BN49" s="3921"/>
      <c r="BO49" s="3921"/>
      <c r="BP49" s="3921"/>
      <c r="BQ49" s="3921"/>
      <c r="BR49" s="3921"/>
      <c r="BS49" s="3921"/>
      <c r="BT49" s="3921"/>
      <c r="BU49" s="3921"/>
      <c r="BV49" s="3921"/>
      <c r="BW49" s="3921"/>
      <c r="BX49" s="3921"/>
      <c r="BY49" s="3921"/>
      <c r="BZ49" s="3921"/>
      <c r="CA49" s="3921"/>
      <c r="CB49" s="3921"/>
      <c r="CC49" s="3921"/>
      <c r="CD49" s="3921"/>
      <c r="CE49" s="3921"/>
      <c r="CF49" s="3921"/>
      <c r="CG49" s="3921"/>
      <c r="CH49" s="3921"/>
      <c r="CI49" s="3921"/>
      <c r="CJ49" s="3921"/>
      <c r="CK49" s="3921"/>
      <c r="CL49" s="3921"/>
      <c r="CM49" s="3921"/>
    </row>
    <row r="50" spans="1:91" ht="45">
      <c r="B50" s="3872" t="s">
        <v>3528</v>
      </c>
      <c r="C50" s="3873"/>
      <c r="D50" s="3874" t="s">
        <v>3529</v>
      </c>
      <c r="E50" s="3973" t="s">
        <v>3663</v>
      </c>
      <c r="F50" s="3974"/>
      <c r="G50" s="3974"/>
      <c r="H50" s="3974"/>
      <c r="I50" s="3974"/>
      <c r="J50" s="3974"/>
      <c r="K50" s="3974"/>
      <c r="L50" s="3974"/>
      <c r="M50" s="3975"/>
      <c r="O50" s="3872" t="s">
        <v>3528</v>
      </c>
      <c r="P50" s="3873"/>
      <c r="Q50" s="3874" t="s">
        <v>3529</v>
      </c>
      <c r="R50" s="3976" t="s">
        <v>3664</v>
      </c>
      <c r="S50" s="3977"/>
      <c r="T50" s="3977"/>
      <c r="U50" s="3977"/>
      <c r="V50" s="3977"/>
      <c r="W50" s="3977"/>
      <c r="X50" s="3977"/>
      <c r="Y50" s="3977"/>
      <c r="Z50" s="3978"/>
      <c r="AD50" s="3964" t="s">
        <v>3594</v>
      </c>
      <c r="BD50" s="7105" t="s">
        <v>3584</v>
      </c>
      <c r="BE50" s="3930" t="s">
        <v>811</v>
      </c>
      <c r="BF50" s="3931"/>
      <c r="BG50" s="3929"/>
      <c r="BH50" s="3930" t="s">
        <v>12</v>
      </c>
      <c r="BI50" s="3931"/>
      <c r="BJ50" s="3929"/>
      <c r="BK50" s="3930" t="s">
        <v>713</v>
      </c>
      <c r="BL50" s="3931"/>
      <c r="BM50" s="3929"/>
      <c r="BN50" s="3930" t="s">
        <v>23</v>
      </c>
      <c r="BO50" s="3931"/>
      <c r="BP50" s="3929"/>
      <c r="BQ50" s="3930" t="s">
        <v>1782</v>
      </c>
      <c r="BR50" s="3931"/>
      <c r="BS50" s="3929"/>
      <c r="BT50" s="3930" t="s">
        <v>1698</v>
      </c>
      <c r="BU50" s="3931"/>
      <c r="BV50" s="3929"/>
      <c r="BW50" s="3930" t="s">
        <v>18</v>
      </c>
      <c r="BX50" s="3931"/>
      <c r="BY50" s="3929"/>
      <c r="BZ50" s="3930" t="s">
        <v>15</v>
      </c>
      <c r="CA50" s="3931"/>
      <c r="CB50" s="3929"/>
      <c r="CC50" s="3930" t="s">
        <v>398</v>
      </c>
      <c r="CD50" s="3931"/>
      <c r="CE50" s="3929"/>
      <c r="CF50" s="3930" t="s">
        <v>807</v>
      </c>
      <c r="CG50" s="3931"/>
      <c r="CH50" s="3929"/>
      <c r="CI50" s="3930" t="s">
        <v>2010</v>
      </c>
      <c r="CJ50" s="3931"/>
      <c r="CK50" s="3929"/>
      <c r="CL50" s="3930" t="s">
        <v>3659</v>
      </c>
      <c r="CM50" s="3931"/>
    </row>
    <row r="51" spans="1:91" ht="20.25">
      <c r="B51" s="3881" t="s">
        <v>3533</v>
      </c>
      <c r="C51" s="3882" t="s">
        <v>997</v>
      </c>
      <c r="D51" s="3979" t="str">
        <f>B51</f>
        <v>Aa</v>
      </c>
      <c r="E51" s="3980" t="s">
        <v>3532</v>
      </c>
      <c r="F51" s="3980"/>
      <c r="G51" s="3981"/>
      <c r="H51" s="3981"/>
      <c r="I51" s="3981"/>
      <c r="J51" s="3981"/>
      <c r="K51" s="3981"/>
      <c r="L51" s="3981"/>
      <c r="M51" s="3982"/>
      <c r="O51" s="3881" t="s">
        <v>3533</v>
      </c>
      <c r="P51" s="3882" t="s">
        <v>997</v>
      </c>
      <c r="Q51" s="3983" t="str">
        <f>O51</f>
        <v>Aa</v>
      </c>
      <c r="R51" s="3980" t="s">
        <v>3532</v>
      </c>
      <c r="S51" s="3980"/>
      <c r="T51" s="3981"/>
      <c r="U51" s="3981"/>
      <c r="V51" s="3981"/>
      <c r="W51" s="3981"/>
      <c r="X51" s="3981"/>
      <c r="Y51" s="3981"/>
      <c r="Z51" s="3982"/>
      <c r="AD51" s="3906" t="s">
        <v>3541</v>
      </c>
      <c r="AE51" s="3945" t="s">
        <v>3665</v>
      </c>
      <c r="AF51" s="3946"/>
      <c r="AG51" s="3945" t="s">
        <v>3666</v>
      </c>
      <c r="AH51" s="3946"/>
      <c r="AI51" s="3945" t="s">
        <v>3667</v>
      </c>
      <c r="AJ51" s="3946"/>
      <c r="AK51" s="3945" t="s">
        <v>3668</v>
      </c>
      <c r="AL51" s="3946"/>
      <c r="AM51" s="3945" t="s">
        <v>3669</v>
      </c>
      <c r="AN51" s="3946"/>
      <c r="AO51" s="3945" t="s">
        <v>3670</v>
      </c>
      <c r="AP51" s="3946"/>
      <c r="AQ51" s="3945" t="s">
        <v>3671</v>
      </c>
      <c r="AR51" s="3946"/>
      <c r="AS51" s="3945" t="s">
        <v>3672</v>
      </c>
      <c r="AT51" s="3946"/>
      <c r="AU51" s="3945" t="s">
        <v>3673</v>
      </c>
      <c r="AV51" s="3946"/>
      <c r="AW51" s="3945" t="s">
        <v>3674</v>
      </c>
      <c r="AX51" s="3946"/>
      <c r="AY51" s="3945" t="s">
        <v>3675</v>
      </c>
      <c r="AZ51" s="3946"/>
      <c r="BA51" s="3945" t="s">
        <v>3676</v>
      </c>
      <c r="BD51" s="7105"/>
      <c r="BE51" s="3932" t="s">
        <v>473</v>
      </c>
      <c r="BF51" s="3933"/>
      <c r="BG51" s="3929"/>
      <c r="BH51" s="3932" t="s">
        <v>681</v>
      </c>
      <c r="BI51" s="3933"/>
      <c r="BJ51" s="3929"/>
      <c r="BK51" s="3932" t="s">
        <v>3580</v>
      </c>
      <c r="BL51" s="3933"/>
      <c r="BM51" s="3929"/>
      <c r="BN51" s="3932" t="s">
        <v>3582</v>
      </c>
      <c r="BO51" s="3933"/>
      <c r="BP51" s="3929"/>
      <c r="BQ51" s="3932" t="s">
        <v>2072</v>
      </c>
      <c r="BR51" s="3933"/>
      <c r="BS51" s="3929"/>
      <c r="BT51" s="3932" t="s">
        <v>3585</v>
      </c>
      <c r="BU51" s="3933"/>
      <c r="BV51" s="3929"/>
      <c r="BW51" s="3932" t="s">
        <v>3588</v>
      </c>
      <c r="BX51" s="3933"/>
      <c r="BY51" s="3929"/>
      <c r="BZ51" s="3932" t="s">
        <v>3590</v>
      </c>
      <c r="CA51" s="3933"/>
      <c r="CB51" s="3929"/>
      <c r="CC51" s="3932" t="s">
        <v>3592</v>
      </c>
      <c r="CD51" s="3933"/>
      <c r="CE51" s="3929"/>
      <c r="CF51" s="3932" t="s">
        <v>3593</v>
      </c>
      <c r="CG51" s="3933"/>
      <c r="CH51" s="3929"/>
      <c r="CI51" s="3932" t="s">
        <v>3655</v>
      </c>
      <c r="CJ51" s="3933"/>
      <c r="CK51" s="3929"/>
      <c r="CL51" s="3932" t="s">
        <v>3660</v>
      </c>
      <c r="CM51" s="3933"/>
    </row>
    <row r="52" spans="1:91" ht="30">
      <c r="B52" s="3890"/>
      <c r="M52" s="3891"/>
      <c r="O52" s="3890"/>
      <c r="Z52" s="3891"/>
      <c r="AD52" s="3913"/>
      <c r="AE52" s="3949"/>
      <c r="AF52" s="3949"/>
      <c r="AG52" s="3949"/>
      <c r="AH52" s="3949"/>
      <c r="AI52" s="3949"/>
      <c r="AJ52" s="3949"/>
      <c r="AK52" s="3949"/>
      <c r="AL52" s="3949"/>
      <c r="AM52" s="3949"/>
      <c r="AN52" s="3949"/>
      <c r="AO52" s="3949"/>
      <c r="AP52" s="3949"/>
      <c r="AQ52" s="3949"/>
      <c r="AR52" s="3949"/>
      <c r="AS52" s="3949"/>
      <c r="AT52" s="3949"/>
      <c r="AU52" s="3949"/>
      <c r="AV52" s="3949"/>
      <c r="AW52" s="3949"/>
      <c r="AX52" s="3949"/>
      <c r="AY52" s="3949"/>
      <c r="AZ52" s="3949"/>
      <c r="BA52" s="3949"/>
      <c r="BD52" s="3913"/>
      <c r="BE52" s="3921"/>
      <c r="BF52" s="3921"/>
      <c r="BG52" s="3921"/>
      <c r="BH52" s="3921"/>
      <c r="BI52" s="3921"/>
      <c r="BJ52" s="3921"/>
      <c r="BK52" s="3921"/>
      <c r="BL52" s="3921"/>
      <c r="BM52" s="3921"/>
      <c r="BN52" s="3921"/>
      <c r="BO52" s="3921"/>
      <c r="BP52" s="3921"/>
      <c r="BQ52" s="3921"/>
      <c r="BR52" s="3921"/>
      <c r="BS52" s="3921"/>
      <c r="BT52" s="3921"/>
      <c r="BU52" s="3921"/>
      <c r="BV52" s="3921"/>
      <c r="BW52" s="3921"/>
      <c r="BX52" s="3921"/>
      <c r="BY52" s="3921"/>
      <c r="BZ52" s="3921"/>
      <c r="CA52" s="3921"/>
      <c r="CB52" s="3921"/>
      <c r="CC52" s="3921"/>
      <c r="CD52" s="3921"/>
      <c r="CE52" s="3921"/>
      <c r="CF52" s="3921"/>
      <c r="CG52" s="3921"/>
      <c r="CH52" s="3921"/>
      <c r="CI52" s="3921"/>
      <c r="CJ52" s="3921"/>
      <c r="CK52" s="3921"/>
      <c r="CL52" s="3921"/>
      <c r="CM52" s="3921"/>
    </row>
    <row r="53" spans="1:91" ht="30">
      <c r="B53" s="3894" t="s">
        <v>3535</v>
      </c>
      <c r="C53" s="7108" t="s">
        <v>3536</v>
      </c>
      <c r="D53" s="7109"/>
      <c r="E53" s="3895" t="s">
        <v>3537</v>
      </c>
      <c r="F53" s="7108" t="s">
        <v>3536</v>
      </c>
      <c r="G53" s="7109"/>
      <c r="H53" s="3895" t="s">
        <v>3538</v>
      </c>
      <c r="I53" s="7108" t="s">
        <v>3536</v>
      </c>
      <c r="J53" s="7109"/>
      <c r="K53" s="3895" t="s">
        <v>3539</v>
      </c>
      <c r="L53" s="7108" t="s">
        <v>3536</v>
      </c>
      <c r="M53" s="7110"/>
      <c r="O53" s="3894" t="s">
        <v>3535</v>
      </c>
      <c r="P53" s="7111" t="s">
        <v>3536</v>
      </c>
      <c r="Q53" s="7112"/>
      <c r="R53" s="3895" t="s">
        <v>3537</v>
      </c>
      <c r="S53" s="7111" t="s">
        <v>3536</v>
      </c>
      <c r="T53" s="7112"/>
      <c r="U53" s="3895" t="s">
        <v>3538</v>
      </c>
      <c r="V53" s="7111" t="s">
        <v>3536</v>
      </c>
      <c r="W53" s="7112"/>
      <c r="X53" s="3895" t="s">
        <v>3539</v>
      </c>
      <c r="Y53" s="7111" t="s">
        <v>3536</v>
      </c>
      <c r="Z53" s="7113"/>
      <c r="AD53" s="3906" t="s">
        <v>1987</v>
      </c>
      <c r="AE53" s="3918" t="s">
        <v>3677</v>
      </c>
      <c r="AF53" s="3919"/>
      <c r="AG53" s="3918" t="s">
        <v>3678</v>
      </c>
      <c r="AH53" s="3919"/>
      <c r="AI53" s="3918" t="s">
        <v>3679</v>
      </c>
      <c r="AJ53" s="3919"/>
      <c r="AK53" s="3918" t="s">
        <v>3680</v>
      </c>
      <c r="AL53" s="3919"/>
      <c r="AM53" s="3918" t="s">
        <v>3681</v>
      </c>
      <c r="AN53" s="3919"/>
      <c r="AO53" s="3918" t="s">
        <v>3682</v>
      </c>
      <c r="AP53" s="3919"/>
      <c r="AQ53" s="3918" t="s">
        <v>3683</v>
      </c>
      <c r="AR53" s="3919"/>
      <c r="AS53" s="3918" t="s">
        <v>3684</v>
      </c>
      <c r="AT53" s="3919"/>
      <c r="AU53" s="3918" t="s">
        <v>3685</v>
      </c>
      <c r="AV53" s="3919"/>
      <c r="AW53" s="3918" t="s">
        <v>3686</v>
      </c>
      <c r="AX53" s="3919"/>
      <c r="AY53" s="3918" t="s">
        <v>3687</v>
      </c>
      <c r="AZ53" s="3919"/>
      <c r="BA53" s="3918" t="s">
        <v>3688</v>
      </c>
      <c r="BD53" s="7105" t="s">
        <v>3589</v>
      </c>
      <c r="BE53" s="3936" t="s">
        <v>811</v>
      </c>
      <c r="BF53" s="3937"/>
      <c r="BG53" s="3935"/>
      <c r="BH53" s="3936" t="s">
        <v>12</v>
      </c>
      <c r="BI53" s="3937"/>
      <c r="BJ53" s="3935"/>
      <c r="BK53" s="3936" t="s">
        <v>713</v>
      </c>
      <c r="BL53" s="3937"/>
      <c r="BM53" s="3935"/>
      <c r="BN53" s="3936" t="s">
        <v>23</v>
      </c>
      <c r="BO53" s="3937"/>
      <c r="BP53" s="3935"/>
      <c r="BQ53" s="3936" t="s">
        <v>1782</v>
      </c>
      <c r="BR53" s="3937"/>
      <c r="BS53" s="3935"/>
      <c r="BT53" s="3936" t="s">
        <v>1698</v>
      </c>
      <c r="BU53" s="3937"/>
      <c r="BV53" s="3935"/>
      <c r="BW53" s="3936" t="s">
        <v>18</v>
      </c>
      <c r="BX53" s="3937"/>
      <c r="BY53" s="3935"/>
      <c r="BZ53" s="3936" t="s">
        <v>15</v>
      </c>
      <c r="CA53" s="3937"/>
      <c r="CB53" s="3935"/>
      <c r="CC53" s="3936" t="s">
        <v>398</v>
      </c>
      <c r="CD53" s="3937"/>
      <c r="CE53" s="3935"/>
      <c r="CF53" s="3936" t="s">
        <v>807</v>
      </c>
      <c r="CG53" s="3937"/>
      <c r="CH53" s="3935"/>
      <c r="CI53" s="3936" t="s">
        <v>2010</v>
      </c>
      <c r="CJ53" s="3937"/>
      <c r="CK53" s="3935"/>
      <c r="CL53" s="3936" t="s">
        <v>3659</v>
      </c>
      <c r="CM53" s="3937"/>
    </row>
    <row r="54" spans="1:91" ht="30">
      <c r="A54" s="478"/>
      <c r="B54" s="3896" t="s">
        <v>24</v>
      </c>
      <c r="C54" s="3897" t="s">
        <v>997</v>
      </c>
      <c r="D54" s="3984" t="s">
        <v>24</v>
      </c>
      <c r="E54" s="3899" t="s">
        <v>3540</v>
      </c>
      <c r="F54" s="3897" t="s">
        <v>997</v>
      </c>
      <c r="G54" s="3985" t="s">
        <v>3540</v>
      </c>
      <c r="H54" s="3901">
        <v>1</v>
      </c>
      <c r="I54" s="3897" t="s">
        <v>997</v>
      </c>
      <c r="J54" s="3985">
        <v>1</v>
      </c>
      <c r="K54" s="3901">
        <v>27</v>
      </c>
      <c r="L54" s="3897" t="s">
        <v>997</v>
      </c>
      <c r="M54" s="3986">
        <v>27</v>
      </c>
      <c r="N54" s="478"/>
      <c r="O54" s="3896" t="s">
        <v>24</v>
      </c>
      <c r="P54" s="3897" t="s">
        <v>997</v>
      </c>
      <c r="Q54" s="3987" t="s">
        <v>24</v>
      </c>
      <c r="R54" s="3899" t="s">
        <v>3540</v>
      </c>
      <c r="S54" s="3897" t="s">
        <v>997</v>
      </c>
      <c r="T54" s="3988" t="s">
        <v>3540</v>
      </c>
      <c r="U54" s="3901">
        <v>1</v>
      </c>
      <c r="V54" s="3897" t="s">
        <v>997</v>
      </c>
      <c r="W54" s="3987">
        <v>1</v>
      </c>
      <c r="X54" s="3901">
        <v>27</v>
      </c>
      <c r="Y54" s="3897" t="s">
        <v>997</v>
      </c>
      <c r="Z54" s="3989">
        <v>27</v>
      </c>
      <c r="AA54" s="478"/>
      <c r="AB54" s="478"/>
      <c r="AC54" s="478"/>
      <c r="AD54" s="3913"/>
      <c r="AE54" s="3921"/>
      <c r="AF54" s="3921"/>
      <c r="AG54" s="3921"/>
      <c r="AH54" s="3921"/>
      <c r="AI54" s="3921"/>
      <c r="AJ54" s="3921"/>
      <c r="AK54" s="3921"/>
      <c r="AL54" s="3921"/>
      <c r="AM54" s="3921"/>
      <c r="AN54" s="3921"/>
      <c r="AO54" s="3921"/>
      <c r="AP54" s="3921"/>
      <c r="AQ54" s="3921"/>
      <c r="AR54" s="3921"/>
      <c r="AS54" s="3921"/>
      <c r="AT54" s="3921"/>
      <c r="AU54" s="3921"/>
      <c r="AV54" s="3921"/>
      <c r="AW54" s="3921"/>
      <c r="AX54" s="3921"/>
      <c r="AY54" s="3921"/>
      <c r="AZ54" s="3921"/>
      <c r="BA54" s="3921"/>
      <c r="BD54" s="7105"/>
      <c r="BE54" s="3940" t="s">
        <v>473</v>
      </c>
      <c r="BF54" s="3941"/>
      <c r="BG54" s="3935"/>
      <c r="BH54" s="3940" t="s">
        <v>681</v>
      </c>
      <c r="BI54" s="3941"/>
      <c r="BJ54" s="3935"/>
      <c r="BK54" s="3940" t="s">
        <v>3580</v>
      </c>
      <c r="BL54" s="3941"/>
      <c r="BM54" s="3935"/>
      <c r="BN54" s="3940" t="s">
        <v>3582</v>
      </c>
      <c r="BO54" s="3941"/>
      <c r="BP54" s="3935"/>
      <c r="BQ54" s="3940" t="s">
        <v>2072</v>
      </c>
      <c r="BR54" s="3941"/>
      <c r="BS54" s="3935"/>
      <c r="BT54" s="3940" t="s">
        <v>3585</v>
      </c>
      <c r="BU54" s="3941"/>
      <c r="BV54" s="3935"/>
      <c r="BW54" s="3940" t="s">
        <v>3588</v>
      </c>
      <c r="BX54" s="3941"/>
      <c r="BY54" s="3935"/>
      <c r="BZ54" s="3940" t="s">
        <v>3590</v>
      </c>
      <c r="CA54" s="3941"/>
      <c r="CB54" s="3935"/>
      <c r="CC54" s="3940" t="s">
        <v>3592</v>
      </c>
      <c r="CD54" s="3941"/>
      <c r="CE54" s="3935"/>
      <c r="CF54" s="3940" t="s">
        <v>3593</v>
      </c>
      <c r="CG54" s="3941"/>
      <c r="CH54" s="3935"/>
      <c r="CI54" s="3940" t="s">
        <v>3655</v>
      </c>
      <c r="CJ54" s="3941"/>
      <c r="CK54" s="3935"/>
      <c r="CL54" s="3940" t="s">
        <v>3660</v>
      </c>
      <c r="CM54" s="3941"/>
    </row>
    <row r="55" spans="1:91" ht="30">
      <c r="A55" s="478"/>
      <c r="B55" s="3896" t="s">
        <v>21</v>
      </c>
      <c r="C55" s="3897" t="s">
        <v>997</v>
      </c>
      <c r="D55" s="3984" t="s">
        <v>21</v>
      </c>
      <c r="E55" s="3899" t="s">
        <v>3556</v>
      </c>
      <c r="F55" s="3897" t="s">
        <v>997</v>
      </c>
      <c r="G55" s="3985" t="s">
        <v>3556</v>
      </c>
      <c r="H55" s="3901">
        <v>2</v>
      </c>
      <c r="I55" s="3897" t="s">
        <v>997</v>
      </c>
      <c r="J55" s="3985">
        <v>2</v>
      </c>
      <c r="K55" s="3901">
        <v>28</v>
      </c>
      <c r="L55" s="3897" t="s">
        <v>997</v>
      </c>
      <c r="M55" s="3986">
        <v>28</v>
      </c>
      <c r="N55" s="478"/>
      <c r="O55" s="3896" t="s">
        <v>21</v>
      </c>
      <c r="P55" s="3897" t="s">
        <v>997</v>
      </c>
      <c r="Q55" s="3987" t="s">
        <v>21</v>
      </c>
      <c r="R55" s="3899" t="s">
        <v>3556</v>
      </c>
      <c r="S55" s="3897" t="s">
        <v>997</v>
      </c>
      <c r="T55" s="3988" t="s">
        <v>3556</v>
      </c>
      <c r="U55" s="3901">
        <v>2</v>
      </c>
      <c r="V55" s="3897" t="s">
        <v>997</v>
      </c>
      <c r="W55" s="3987">
        <v>2</v>
      </c>
      <c r="X55" s="3901">
        <v>28</v>
      </c>
      <c r="Y55" s="3897" t="s">
        <v>997</v>
      </c>
      <c r="Z55" s="3989">
        <v>28</v>
      </c>
      <c r="AA55" s="478"/>
      <c r="AB55" s="478"/>
      <c r="AC55" s="478"/>
      <c r="AD55" s="3906" t="s">
        <v>588</v>
      </c>
      <c r="AE55" s="3925" t="s">
        <v>3677</v>
      </c>
      <c r="AF55" s="3924">
        <v>0</v>
      </c>
      <c r="AG55" s="3925" t="s">
        <v>3678</v>
      </c>
      <c r="AH55" s="3924">
        <v>0</v>
      </c>
      <c r="AI55" s="3925" t="s">
        <v>3679</v>
      </c>
      <c r="AJ55" s="3924">
        <v>0</v>
      </c>
      <c r="AK55" s="3925" t="s">
        <v>3680</v>
      </c>
      <c r="AL55" s="3924">
        <v>0</v>
      </c>
      <c r="AM55" s="3925" t="s">
        <v>3681</v>
      </c>
      <c r="AN55" s="3924">
        <v>0</v>
      </c>
      <c r="AO55" s="3925" t="s">
        <v>3682</v>
      </c>
      <c r="AP55" s="3924">
        <v>0</v>
      </c>
      <c r="AQ55" s="3925" t="s">
        <v>3683</v>
      </c>
      <c r="AR55" s="3924">
        <v>0</v>
      </c>
      <c r="AS55" s="3967" t="s">
        <v>3684</v>
      </c>
      <c r="AT55" s="3924">
        <v>0</v>
      </c>
      <c r="AU55" s="3925" t="s">
        <v>3685</v>
      </c>
      <c r="AV55" s="3924">
        <v>0</v>
      </c>
      <c r="AW55" s="3925" t="s">
        <v>3686</v>
      </c>
      <c r="AX55" s="3924">
        <v>0</v>
      </c>
      <c r="AY55" s="3925" t="s">
        <v>3687</v>
      </c>
      <c r="AZ55" s="3924">
        <v>0</v>
      </c>
      <c r="BA55" s="3925" t="s">
        <v>3688</v>
      </c>
      <c r="BD55" s="3913"/>
      <c r="BE55" s="3921"/>
      <c r="BF55" s="3921"/>
      <c r="BG55" s="3921"/>
      <c r="BH55" s="3921"/>
      <c r="BI55" s="3921"/>
      <c r="BJ55" s="3921"/>
      <c r="BK55" s="3921"/>
      <c r="BL55" s="3921"/>
      <c r="BM55" s="3921"/>
      <c r="BN55" s="3921"/>
      <c r="BO55" s="3921"/>
      <c r="BP55" s="3921"/>
      <c r="BQ55" s="3921"/>
      <c r="BR55" s="3921"/>
      <c r="BS55" s="3921"/>
      <c r="BT55" s="3921"/>
      <c r="BU55" s="3921"/>
      <c r="BV55" s="3921"/>
      <c r="BW55" s="3921"/>
      <c r="BX55" s="3921"/>
      <c r="BY55" s="3921"/>
      <c r="BZ55" s="3921"/>
      <c r="CA55" s="3921"/>
      <c r="CB55" s="3921"/>
      <c r="CC55" s="3921"/>
      <c r="CD55" s="3921"/>
      <c r="CE55" s="3921"/>
      <c r="CF55" s="3921"/>
      <c r="CG55" s="3921"/>
      <c r="CH55" s="3921"/>
      <c r="CI55" s="3921"/>
      <c r="CJ55" s="3921"/>
      <c r="CK55" s="3921"/>
      <c r="CL55" s="3921"/>
      <c r="CM55" s="3921"/>
    </row>
    <row r="56" spans="1:91" ht="30">
      <c r="A56" s="478"/>
      <c r="B56" s="3896" t="s">
        <v>6</v>
      </c>
      <c r="C56" s="3897" t="s">
        <v>997</v>
      </c>
      <c r="D56" s="3984" t="s">
        <v>6</v>
      </c>
      <c r="E56" s="3899" t="s">
        <v>3572</v>
      </c>
      <c r="F56" s="3897" t="s">
        <v>997</v>
      </c>
      <c r="G56" s="3985" t="s">
        <v>3572</v>
      </c>
      <c r="H56" s="3901">
        <v>3</v>
      </c>
      <c r="I56" s="3897" t="s">
        <v>997</v>
      </c>
      <c r="J56" s="3985">
        <v>3</v>
      </c>
      <c r="K56" s="3901">
        <v>29</v>
      </c>
      <c r="L56" s="3897" t="s">
        <v>997</v>
      </c>
      <c r="M56" s="3986">
        <v>29</v>
      </c>
      <c r="N56" s="478"/>
      <c r="O56" s="3896" t="s">
        <v>6</v>
      </c>
      <c r="P56" s="3897" t="s">
        <v>997</v>
      </c>
      <c r="Q56" s="3987" t="s">
        <v>6</v>
      </c>
      <c r="R56" s="3899" t="s">
        <v>3572</v>
      </c>
      <c r="S56" s="3897" t="s">
        <v>997</v>
      </c>
      <c r="T56" s="3988" t="s">
        <v>3572</v>
      </c>
      <c r="U56" s="3901">
        <v>3</v>
      </c>
      <c r="V56" s="3897" t="s">
        <v>997</v>
      </c>
      <c r="W56" s="3987">
        <v>3</v>
      </c>
      <c r="X56" s="3901">
        <v>29</v>
      </c>
      <c r="Y56" s="3897" t="s">
        <v>997</v>
      </c>
      <c r="Z56" s="3989">
        <v>29</v>
      </c>
      <c r="AA56" s="478"/>
      <c r="AB56" s="478"/>
      <c r="AC56" s="478"/>
      <c r="AD56" s="3913"/>
      <c r="AE56" s="3921"/>
      <c r="AF56" s="3921"/>
      <c r="AG56" s="3921"/>
      <c r="AH56" s="3921"/>
      <c r="AI56" s="3921"/>
      <c r="AJ56" s="3921"/>
      <c r="AK56" s="3921"/>
      <c r="AL56" s="3921"/>
      <c r="AM56" s="3921"/>
      <c r="AN56" s="3921"/>
      <c r="AO56" s="3921"/>
      <c r="AP56" s="3921"/>
      <c r="AQ56" s="3921"/>
      <c r="AR56" s="3921"/>
      <c r="AS56" s="3968"/>
      <c r="AT56" s="3921"/>
      <c r="AU56" s="3921"/>
      <c r="AV56" s="3921"/>
      <c r="AW56" s="3921"/>
      <c r="AX56" s="3921"/>
      <c r="AY56" s="3921"/>
      <c r="AZ56" s="3921"/>
      <c r="BA56" s="3921"/>
      <c r="BD56" s="7105" t="s">
        <v>3591</v>
      </c>
      <c r="BE56" s="3943" t="s">
        <v>811</v>
      </c>
      <c r="BF56" s="3944"/>
      <c r="BG56" s="3939"/>
      <c r="BH56" s="3943" t="s">
        <v>12</v>
      </c>
      <c r="BI56" s="3944"/>
      <c r="BJ56" s="3939"/>
      <c r="BK56" s="3943" t="s">
        <v>713</v>
      </c>
      <c r="BL56" s="3944"/>
      <c r="BM56" s="3939"/>
      <c r="BN56" s="3943" t="s">
        <v>23</v>
      </c>
      <c r="BO56" s="3944"/>
      <c r="BP56" s="3939"/>
      <c r="BQ56" s="3943" t="s">
        <v>1782</v>
      </c>
      <c r="BR56" s="3944"/>
      <c r="BS56" s="3939"/>
      <c r="BT56" s="3943" t="s">
        <v>1698</v>
      </c>
      <c r="BU56" s="3944"/>
      <c r="BV56" s="3939"/>
      <c r="BW56" s="3943" t="s">
        <v>18</v>
      </c>
      <c r="BX56" s="3944"/>
      <c r="BY56" s="3939"/>
      <c r="BZ56" s="3943" t="s">
        <v>15</v>
      </c>
      <c r="CA56" s="3944"/>
      <c r="CB56" s="3939"/>
      <c r="CC56" s="3943" t="s">
        <v>398</v>
      </c>
      <c r="CD56" s="3944"/>
      <c r="CE56" s="3939"/>
      <c r="CF56" s="3943" t="s">
        <v>807</v>
      </c>
      <c r="CG56" s="3944"/>
      <c r="CH56" s="3939"/>
      <c r="CI56" s="3943" t="s">
        <v>2010</v>
      </c>
      <c r="CJ56" s="3944"/>
      <c r="CK56" s="3939"/>
      <c r="CL56" s="3943" t="s">
        <v>3659</v>
      </c>
      <c r="CM56" s="3944"/>
    </row>
    <row r="57" spans="1:91" ht="20.25">
      <c r="A57" s="478"/>
      <c r="B57" s="3896" t="s">
        <v>713</v>
      </c>
      <c r="C57" s="3897" t="s">
        <v>997</v>
      </c>
      <c r="D57" s="3984" t="s">
        <v>713</v>
      </c>
      <c r="E57" s="3899" t="s">
        <v>3580</v>
      </c>
      <c r="F57" s="3897" t="s">
        <v>997</v>
      </c>
      <c r="G57" s="3985" t="s">
        <v>3580</v>
      </c>
      <c r="H57" s="3901">
        <v>4</v>
      </c>
      <c r="I57" s="3897" t="s">
        <v>997</v>
      </c>
      <c r="J57" s="3985">
        <v>4</v>
      </c>
      <c r="K57" s="3901">
        <v>30</v>
      </c>
      <c r="L57" s="3897" t="s">
        <v>997</v>
      </c>
      <c r="M57" s="3986">
        <v>30</v>
      </c>
      <c r="N57" s="478"/>
      <c r="O57" s="3896" t="s">
        <v>713</v>
      </c>
      <c r="P57" s="3897" t="s">
        <v>997</v>
      </c>
      <c r="Q57" s="3987" t="s">
        <v>713</v>
      </c>
      <c r="R57" s="3899" t="s">
        <v>3580</v>
      </c>
      <c r="S57" s="3897" t="s">
        <v>997</v>
      </c>
      <c r="T57" s="3988" t="s">
        <v>3580</v>
      </c>
      <c r="U57" s="3901">
        <v>4</v>
      </c>
      <c r="V57" s="3897" t="s">
        <v>997</v>
      </c>
      <c r="W57" s="3987">
        <v>4</v>
      </c>
      <c r="X57" s="3901">
        <v>30</v>
      </c>
      <c r="Y57" s="3897" t="s">
        <v>997</v>
      </c>
      <c r="Z57" s="3989">
        <v>30</v>
      </c>
      <c r="AA57" s="478"/>
      <c r="AB57" s="478"/>
      <c r="AC57" s="478"/>
      <c r="AD57" s="3906" t="s">
        <v>3583</v>
      </c>
      <c r="AE57" s="3928" t="s">
        <v>3677</v>
      </c>
      <c r="AF57" s="3929">
        <v>0</v>
      </c>
      <c r="AG57" s="3928" t="s">
        <v>3678</v>
      </c>
      <c r="AH57" s="3929">
        <v>0</v>
      </c>
      <c r="AI57" s="3928" t="s">
        <v>3679</v>
      </c>
      <c r="AJ57" s="3929">
        <v>0</v>
      </c>
      <c r="AK57" s="3928" t="s">
        <v>3680</v>
      </c>
      <c r="AL57" s="3929">
        <v>0</v>
      </c>
      <c r="AM57" s="3928" t="s">
        <v>3681</v>
      </c>
      <c r="AN57" s="3929">
        <v>0</v>
      </c>
      <c r="AO57" s="3928" t="s">
        <v>3682</v>
      </c>
      <c r="AP57" s="3929">
        <v>0</v>
      </c>
      <c r="AQ57" s="3928" t="s">
        <v>3683</v>
      </c>
      <c r="AR57" s="3929">
        <v>0</v>
      </c>
      <c r="AS57" s="3928" t="s">
        <v>3684</v>
      </c>
      <c r="AT57" s="3929">
        <v>0</v>
      </c>
      <c r="AU57" s="3928" t="s">
        <v>3685</v>
      </c>
      <c r="AV57" s="3929">
        <v>0</v>
      </c>
      <c r="AW57" s="3928" t="s">
        <v>3686</v>
      </c>
      <c r="AX57" s="3929">
        <v>0</v>
      </c>
      <c r="AY57" s="3928" t="s">
        <v>3687</v>
      </c>
      <c r="AZ57" s="3929">
        <v>0</v>
      </c>
      <c r="BA57" s="3928" t="s">
        <v>3688</v>
      </c>
      <c r="BD57" s="7105"/>
      <c r="BE57" s="3947" t="s">
        <v>473</v>
      </c>
      <c r="BF57" s="3948"/>
      <c r="BG57" s="3939"/>
      <c r="BH57" s="3947" t="s">
        <v>681</v>
      </c>
      <c r="BI57" s="3948"/>
      <c r="BJ57" s="3939"/>
      <c r="BK57" s="3947" t="s">
        <v>3580</v>
      </c>
      <c r="BL57" s="3948"/>
      <c r="BM57" s="3939"/>
      <c r="BN57" s="3947" t="s">
        <v>3582</v>
      </c>
      <c r="BO57" s="3948"/>
      <c r="BP57" s="3939"/>
      <c r="BQ57" s="3947" t="s">
        <v>2072</v>
      </c>
      <c r="BR57" s="3948"/>
      <c r="BS57" s="3939"/>
      <c r="BT57" s="3947" t="s">
        <v>3585</v>
      </c>
      <c r="BU57" s="3948"/>
      <c r="BV57" s="3939"/>
      <c r="BW57" s="3947" t="s">
        <v>3588</v>
      </c>
      <c r="BX57" s="3948"/>
      <c r="BY57" s="3939"/>
      <c r="BZ57" s="3947" t="s">
        <v>3590</v>
      </c>
      <c r="CA57" s="3948"/>
      <c r="CB57" s="3939"/>
      <c r="CC57" s="3947" t="s">
        <v>3592</v>
      </c>
      <c r="CD57" s="3948"/>
      <c r="CE57" s="3939"/>
      <c r="CF57" s="3947" t="s">
        <v>3593</v>
      </c>
      <c r="CG57" s="3948"/>
      <c r="CH57" s="3939"/>
      <c r="CI57" s="3947" t="s">
        <v>3655</v>
      </c>
      <c r="CJ57" s="3948"/>
      <c r="CK57" s="3939"/>
      <c r="CL57" s="3947" t="s">
        <v>3660</v>
      </c>
      <c r="CM57" s="3948"/>
    </row>
    <row r="58" spans="1:91" ht="30">
      <c r="A58" s="478"/>
      <c r="B58" s="3896" t="s">
        <v>1697</v>
      </c>
      <c r="C58" s="3897" t="s">
        <v>997</v>
      </c>
      <c r="D58" s="3984" t="s">
        <v>1697</v>
      </c>
      <c r="E58" s="3899" t="s">
        <v>3581</v>
      </c>
      <c r="F58" s="3897" t="s">
        <v>997</v>
      </c>
      <c r="G58" s="3985" t="s">
        <v>3581</v>
      </c>
      <c r="H58" s="3901">
        <v>5</v>
      </c>
      <c r="I58" s="3897" t="s">
        <v>997</v>
      </c>
      <c r="J58" s="3985">
        <v>5</v>
      </c>
      <c r="K58" s="3901">
        <v>31</v>
      </c>
      <c r="L58" s="3897" t="s">
        <v>997</v>
      </c>
      <c r="M58" s="3986">
        <v>31</v>
      </c>
      <c r="N58" s="478"/>
      <c r="O58" s="3896" t="s">
        <v>1697</v>
      </c>
      <c r="P58" s="3897" t="s">
        <v>997</v>
      </c>
      <c r="Q58" s="3987" t="s">
        <v>1697</v>
      </c>
      <c r="R58" s="3899" t="s">
        <v>3581</v>
      </c>
      <c r="S58" s="3897" t="s">
        <v>997</v>
      </c>
      <c r="T58" s="3988" t="s">
        <v>3581</v>
      </c>
      <c r="U58" s="3901">
        <v>5</v>
      </c>
      <c r="V58" s="3897" t="s">
        <v>997</v>
      </c>
      <c r="W58" s="3987">
        <v>5</v>
      </c>
      <c r="X58" s="3901">
        <v>31</v>
      </c>
      <c r="Y58" s="3897" t="s">
        <v>997</v>
      </c>
      <c r="Z58" s="3989">
        <v>31</v>
      </c>
      <c r="AA58" s="478"/>
      <c r="AB58" s="478"/>
      <c r="AC58" s="478"/>
      <c r="AD58" s="3913"/>
      <c r="AE58" s="3921"/>
      <c r="AF58" s="3921"/>
      <c r="AG58" s="3921"/>
      <c r="AH58" s="3921"/>
      <c r="AI58" s="3921"/>
      <c r="AJ58" s="3921"/>
      <c r="AK58" s="3921"/>
      <c r="AL58" s="3921"/>
      <c r="AM58" s="3921"/>
      <c r="AN58" s="3921"/>
      <c r="AO58" s="3921"/>
      <c r="AP58" s="3921"/>
      <c r="AQ58" s="3921"/>
      <c r="AR58" s="3921"/>
      <c r="AS58" s="3921"/>
      <c r="AT58" s="3921"/>
      <c r="AU58" s="3921"/>
      <c r="AV58" s="3921"/>
      <c r="AW58" s="3921"/>
      <c r="AX58" s="3921"/>
      <c r="AY58" s="3921"/>
      <c r="AZ58" s="3921"/>
      <c r="BA58" s="3921"/>
      <c r="BD58" s="3913"/>
      <c r="BE58" s="3921"/>
      <c r="BF58" s="3921"/>
      <c r="BG58" s="3921"/>
      <c r="BH58" s="3921"/>
      <c r="BI58" s="3921"/>
      <c r="BJ58" s="3921"/>
      <c r="BK58" s="3921"/>
      <c r="BL58" s="3921"/>
      <c r="BM58" s="3921"/>
      <c r="BN58" s="3921"/>
      <c r="BO58" s="3921"/>
      <c r="BP58" s="3921"/>
      <c r="BQ58" s="3921"/>
      <c r="BR58" s="3921"/>
      <c r="BS58" s="3921"/>
      <c r="BT58" s="3921"/>
      <c r="BU58" s="3921"/>
      <c r="BV58" s="3921"/>
      <c r="BW58" s="3921"/>
      <c r="BX58" s="3921"/>
      <c r="BY58" s="3921"/>
      <c r="BZ58" s="3921"/>
      <c r="CA58" s="3921"/>
      <c r="CB58" s="3921"/>
      <c r="CC58" s="3921"/>
      <c r="CD58" s="3921"/>
      <c r="CE58" s="3921"/>
      <c r="CF58" s="3921"/>
      <c r="CG58" s="3921"/>
      <c r="CH58" s="3921"/>
      <c r="CI58" s="3921"/>
      <c r="CJ58" s="3921"/>
      <c r="CK58" s="3921"/>
      <c r="CL58" s="3921"/>
      <c r="CM58" s="3921"/>
    </row>
    <row r="59" spans="1:91" ht="30">
      <c r="A59" s="478"/>
      <c r="B59" s="3896" t="s">
        <v>23</v>
      </c>
      <c r="C59" s="3897" t="s">
        <v>997</v>
      </c>
      <c r="D59" s="3984" t="s">
        <v>23</v>
      </c>
      <c r="E59" s="3899" t="s">
        <v>3582</v>
      </c>
      <c r="F59" s="3897" t="s">
        <v>997</v>
      </c>
      <c r="G59" s="3985" t="s">
        <v>3582</v>
      </c>
      <c r="H59" s="3901">
        <v>6</v>
      </c>
      <c r="I59" s="3897" t="s">
        <v>997</v>
      </c>
      <c r="J59" s="3985">
        <v>6</v>
      </c>
      <c r="K59" s="3901">
        <v>32</v>
      </c>
      <c r="L59" s="3897" t="s">
        <v>997</v>
      </c>
      <c r="M59" s="3986">
        <v>32</v>
      </c>
      <c r="N59" s="478"/>
      <c r="O59" s="3896" t="s">
        <v>23</v>
      </c>
      <c r="P59" s="3897" t="s">
        <v>997</v>
      </c>
      <c r="Q59" s="3987" t="s">
        <v>23</v>
      </c>
      <c r="R59" s="3899" t="s">
        <v>3582</v>
      </c>
      <c r="S59" s="3897" t="s">
        <v>997</v>
      </c>
      <c r="T59" s="3988" t="s">
        <v>3582</v>
      </c>
      <c r="U59" s="3901">
        <v>6</v>
      </c>
      <c r="V59" s="3897" t="s">
        <v>997</v>
      </c>
      <c r="W59" s="3987">
        <v>6</v>
      </c>
      <c r="X59" s="3901">
        <v>32</v>
      </c>
      <c r="Y59" s="3897" t="s">
        <v>997</v>
      </c>
      <c r="Z59" s="3989">
        <v>32</v>
      </c>
      <c r="AA59" s="478"/>
      <c r="AB59" s="478"/>
      <c r="AC59" s="478"/>
      <c r="AD59" s="3906" t="s">
        <v>3587</v>
      </c>
      <c r="AE59" s="3934" t="s">
        <v>3677</v>
      </c>
      <c r="AF59" s="3935">
        <v>0</v>
      </c>
      <c r="AG59" s="3934" t="s">
        <v>3678</v>
      </c>
      <c r="AH59" s="3935">
        <v>0</v>
      </c>
      <c r="AI59" s="3934" t="s">
        <v>3679</v>
      </c>
      <c r="AJ59" s="3935">
        <v>0</v>
      </c>
      <c r="AK59" s="3934" t="s">
        <v>3680</v>
      </c>
      <c r="AL59" s="3935">
        <v>0</v>
      </c>
      <c r="AM59" s="3934" t="s">
        <v>3681</v>
      </c>
      <c r="AN59" s="3935">
        <v>0</v>
      </c>
      <c r="AO59" s="3934" t="s">
        <v>3682</v>
      </c>
      <c r="AP59" s="3935">
        <v>0</v>
      </c>
      <c r="AQ59" s="3934" t="s">
        <v>3683</v>
      </c>
      <c r="AR59" s="3935">
        <v>0</v>
      </c>
      <c r="AS59" s="3934" t="s">
        <v>3684</v>
      </c>
      <c r="AT59" s="3935">
        <v>0</v>
      </c>
      <c r="AU59" s="3934" t="s">
        <v>3685</v>
      </c>
      <c r="AV59" s="3935">
        <v>0</v>
      </c>
      <c r="AW59" s="3934" t="s">
        <v>3686</v>
      </c>
      <c r="AX59" s="3935">
        <v>0</v>
      </c>
      <c r="AY59" s="3934" t="s">
        <v>3687</v>
      </c>
      <c r="AZ59" s="3935">
        <v>0</v>
      </c>
      <c r="BA59" s="3934" t="s">
        <v>3688</v>
      </c>
      <c r="BD59" s="3913"/>
      <c r="BE59" s="3893" t="s">
        <v>3689</v>
      </c>
      <c r="BF59" s="3921"/>
      <c r="BG59" s="3921"/>
      <c r="BH59" s="3921"/>
      <c r="BI59" s="3921"/>
      <c r="BJ59" s="3921"/>
      <c r="BK59" s="3921"/>
      <c r="BL59" s="3921"/>
      <c r="BM59" s="3921"/>
      <c r="BN59" s="3921"/>
      <c r="BO59" s="3921"/>
      <c r="BP59" s="3921"/>
      <c r="BQ59" s="3921"/>
      <c r="BR59" s="3921"/>
      <c r="BS59" s="3921"/>
      <c r="BT59" s="3921"/>
      <c r="BU59" s="3921"/>
      <c r="BV59" s="3921"/>
      <c r="BW59" s="3921"/>
      <c r="BX59" s="3921"/>
      <c r="BY59" s="3921"/>
      <c r="BZ59" s="3921"/>
      <c r="CA59" s="3921"/>
      <c r="CB59" s="3921"/>
      <c r="CC59" s="3921"/>
      <c r="CD59" s="3921"/>
      <c r="CE59" s="3921"/>
      <c r="CF59" s="3921"/>
      <c r="CG59" s="3921"/>
      <c r="CH59" s="3921"/>
      <c r="CI59" s="3921"/>
      <c r="CJ59" s="3921"/>
      <c r="CK59" s="3921"/>
      <c r="CL59" s="3921"/>
      <c r="CM59" s="3921"/>
    </row>
    <row r="60" spans="1:91" ht="30">
      <c r="A60" s="478"/>
      <c r="B60" s="3896" t="s">
        <v>1782</v>
      </c>
      <c r="C60" s="3897" t="s">
        <v>997</v>
      </c>
      <c r="D60" s="3984" t="s">
        <v>1782</v>
      </c>
      <c r="E60" s="3899" t="s">
        <v>2072</v>
      </c>
      <c r="F60" s="3897" t="s">
        <v>997</v>
      </c>
      <c r="G60" s="3985" t="s">
        <v>2072</v>
      </c>
      <c r="H60" s="3901">
        <v>7</v>
      </c>
      <c r="I60" s="3897" t="s">
        <v>997</v>
      </c>
      <c r="J60" s="3985">
        <v>7</v>
      </c>
      <c r="K60" s="3901">
        <v>33</v>
      </c>
      <c r="L60" s="3897" t="s">
        <v>997</v>
      </c>
      <c r="M60" s="3986">
        <v>33</v>
      </c>
      <c r="N60" s="478"/>
      <c r="O60" s="3896" t="s">
        <v>1782</v>
      </c>
      <c r="P60" s="3897" t="s">
        <v>997</v>
      </c>
      <c r="Q60" s="3987" t="s">
        <v>1782</v>
      </c>
      <c r="R60" s="3899" t="s">
        <v>2072</v>
      </c>
      <c r="S60" s="3897" t="s">
        <v>997</v>
      </c>
      <c r="T60" s="3988" t="s">
        <v>2072</v>
      </c>
      <c r="U60" s="3901">
        <v>7</v>
      </c>
      <c r="V60" s="3897" t="s">
        <v>997</v>
      </c>
      <c r="W60" s="3987">
        <v>7</v>
      </c>
      <c r="X60" s="3901">
        <v>33</v>
      </c>
      <c r="Y60" s="3897" t="s">
        <v>997</v>
      </c>
      <c r="Z60" s="3989">
        <v>33</v>
      </c>
      <c r="AA60" s="478"/>
      <c r="AB60" s="478"/>
      <c r="AC60" s="478"/>
      <c r="AD60" s="3913"/>
      <c r="AE60" s="3921"/>
      <c r="AF60" s="3921"/>
      <c r="AG60" s="3921"/>
      <c r="AH60" s="3921"/>
      <c r="AI60" s="3921"/>
      <c r="AJ60" s="3921"/>
      <c r="AK60" s="3921"/>
      <c r="AL60" s="3921"/>
      <c r="AM60" s="3921"/>
      <c r="AN60" s="3921"/>
      <c r="AO60" s="3921"/>
      <c r="AP60" s="3921"/>
      <c r="AQ60" s="3921"/>
      <c r="AR60" s="3921"/>
      <c r="AS60" s="3921"/>
      <c r="AT60" s="3921"/>
      <c r="AU60" s="3921"/>
      <c r="AV60" s="3921"/>
      <c r="AW60" s="3921"/>
      <c r="AX60" s="3921"/>
      <c r="AY60" s="3921"/>
      <c r="AZ60" s="3921"/>
      <c r="BA60" s="3921"/>
      <c r="BD60" s="7107" t="s">
        <v>3554</v>
      </c>
      <c r="BE60" s="3909" t="s">
        <v>3657</v>
      </c>
      <c r="BF60" s="3910"/>
      <c r="BG60" s="3921"/>
      <c r="BH60" s="3909" t="s">
        <v>3629</v>
      </c>
      <c r="BI60" s="3910"/>
      <c r="BJ60" s="3921"/>
      <c r="BK60" s="3909" t="s">
        <v>603</v>
      </c>
      <c r="BL60" s="3910"/>
      <c r="BM60" s="3921"/>
      <c r="BN60" s="3909" t="s">
        <v>6</v>
      </c>
      <c r="BO60" s="3910"/>
      <c r="BP60" s="3921"/>
      <c r="BQ60" s="3909" t="s">
        <v>1834</v>
      </c>
      <c r="BR60" s="3910"/>
      <c r="BS60" s="3921"/>
      <c r="BT60" s="3909" t="s">
        <v>21</v>
      </c>
      <c r="BU60" s="3910"/>
      <c r="BV60" s="3921"/>
      <c r="BW60" s="3909" t="s">
        <v>808</v>
      </c>
      <c r="BX60" s="3910"/>
      <c r="BY60" s="3921"/>
      <c r="BZ60" s="3909" t="s">
        <v>2048</v>
      </c>
      <c r="CA60" s="3910"/>
      <c r="CB60" s="3921"/>
      <c r="CC60" s="3909" t="s">
        <v>230</v>
      </c>
      <c r="CD60" s="3910"/>
      <c r="CE60" s="3921"/>
      <c r="CF60" s="3909" t="s">
        <v>2156</v>
      </c>
      <c r="CG60" s="3910"/>
      <c r="CH60" s="3921"/>
      <c r="CI60" s="3909" t="s">
        <v>3661</v>
      </c>
      <c r="CJ60" s="3910"/>
      <c r="CK60" s="3921"/>
      <c r="CL60" s="3921"/>
      <c r="CM60" s="3921"/>
    </row>
    <row r="61" spans="1:91" ht="30">
      <c r="A61" s="478"/>
      <c r="B61" s="3896" t="s">
        <v>1698</v>
      </c>
      <c r="C61" s="3897" t="s">
        <v>997</v>
      </c>
      <c r="D61" s="3984" t="s">
        <v>1698</v>
      </c>
      <c r="E61" s="3899" t="s">
        <v>3585</v>
      </c>
      <c r="F61" s="3897" t="s">
        <v>997</v>
      </c>
      <c r="G61" s="3985" t="s">
        <v>3585</v>
      </c>
      <c r="H61" s="3901">
        <v>8</v>
      </c>
      <c r="I61" s="3897" t="s">
        <v>997</v>
      </c>
      <c r="J61" s="3985">
        <v>8</v>
      </c>
      <c r="K61" s="3901">
        <v>34</v>
      </c>
      <c r="L61" s="3897" t="s">
        <v>997</v>
      </c>
      <c r="M61" s="3986">
        <v>34</v>
      </c>
      <c r="N61" s="478"/>
      <c r="O61" s="3896" t="s">
        <v>1698</v>
      </c>
      <c r="P61" s="3897" t="s">
        <v>997</v>
      </c>
      <c r="Q61" s="3987" t="s">
        <v>1698</v>
      </c>
      <c r="R61" s="3899" t="s">
        <v>3585</v>
      </c>
      <c r="S61" s="3897" t="s">
        <v>997</v>
      </c>
      <c r="T61" s="3988" t="s">
        <v>3585</v>
      </c>
      <c r="U61" s="3901">
        <v>8</v>
      </c>
      <c r="V61" s="3897" t="s">
        <v>997</v>
      </c>
      <c r="W61" s="3987">
        <v>8</v>
      </c>
      <c r="X61" s="3901">
        <v>34</v>
      </c>
      <c r="Y61" s="3897" t="s">
        <v>997</v>
      </c>
      <c r="Z61" s="3989">
        <v>34</v>
      </c>
      <c r="AA61" s="478"/>
      <c r="AB61" s="478"/>
      <c r="AC61" s="478"/>
      <c r="AD61" s="3906" t="s">
        <v>3591</v>
      </c>
      <c r="AE61" s="3938" t="s">
        <v>3677</v>
      </c>
      <c r="AF61" s="3939">
        <v>0</v>
      </c>
      <c r="AG61" s="3938" t="s">
        <v>3678</v>
      </c>
      <c r="AH61" s="3939">
        <v>0</v>
      </c>
      <c r="AI61" s="3938" t="s">
        <v>3679</v>
      </c>
      <c r="AJ61" s="3939">
        <v>0</v>
      </c>
      <c r="AK61" s="3938" t="s">
        <v>3680</v>
      </c>
      <c r="AL61" s="3939">
        <v>0</v>
      </c>
      <c r="AM61" s="3938" t="s">
        <v>3681</v>
      </c>
      <c r="AN61" s="3939">
        <v>0</v>
      </c>
      <c r="AO61" s="3938" t="s">
        <v>3682</v>
      </c>
      <c r="AP61" s="3939">
        <v>0</v>
      </c>
      <c r="AQ61" s="3938" t="s">
        <v>3683</v>
      </c>
      <c r="AR61" s="3939">
        <v>0</v>
      </c>
      <c r="AS61" s="3938" t="s">
        <v>3684</v>
      </c>
      <c r="AT61" s="3939">
        <v>0</v>
      </c>
      <c r="AU61" s="3938" t="s">
        <v>3685</v>
      </c>
      <c r="AV61" s="3939">
        <v>0</v>
      </c>
      <c r="AW61" s="3938" t="s">
        <v>3686</v>
      </c>
      <c r="AX61" s="3939">
        <v>0</v>
      </c>
      <c r="AY61" s="3938" t="s">
        <v>3687</v>
      </c>
      <c r="AZ61" s="3939">
        <v>0</v>
      </c>
      <c r="BA61" s="3938" t="s">
        <v>3688</v>
      </c>
      <c r="BD61" s="7107"/>
      <c r="BE61" s="3915" t="s">
        <v>3657</v>
      </c>
      <c r="BF61" s="3916"/>
      <c r="BG61" s="3921"/>
      <c r="BH61" s="3915" t="s">
        <v>3630</v>
      </c>
      <c r="BI61" s="3916"/>
      <c r="BJ61" s="3921"/>
      <c r="BK61" s="3915" t="s">
        <v>1326</v>
      </c>
      <c r="BL61" s="3916"/>
      <c r="BM61" s="3921"/>
      <c r="BN61" s="3915" t="s">
        <v>3572</v>
      </c>
      <c r="BO61" s="3916"/>
      <c r="BP61" s="3921"/>
      <c r="BQ61" s="3915" t="s">
        <v>3628</v>
      </c>
      <c r="BR61" s="3916"/>
      <c r="BS61" s="3921"/>
      <c r="BT61" s="3915" t="s">
        <v>3556</v>
      </c>
      <c r="BU61" s="3916"/>
      <c r="BV61" s="3921"/>
      <c r="BW61" s="3915" t="s">
        <v>3595</v>
      </c>
      <c r="BX61" s="3916"/>
      <c r="BY61" s="3921"/>
      <c r="BZ61" s="3915" t="s">
        <v>3662</v>
      </c>
      <c r="CA61" s="3916"/>
      <c r="CB61" s="3921"/>
      <c r="CC61" s="3915" t="s">
        <v>3631</v>
      </c>
      <c r="CD61" s="3916"/>
      <c r="CE61" s="3921"/>
      <c r="CF61" s="3915" t="s">
        <v>2882</v>
      </c>
      <c r="CG61" s="3916"/>
      <c r="CH61" s="3921"/>
      <c r="CI61" s="3915" t="s">
        <v>1984</v>
      </c>
      <c r="CJ61" s="3916"/>
      <c r="CK61" s="3921"/>
      <c r="CL61" s="3921"/>
      <c r="CM61" s="3921"/>
    </row>
    <row r="62" spans="1:91" ht="30.75" thickBot="1">
      <c r="A62" s="478"/>
      <c r="B62" s="3896" t="s">
        <v>20</v>
      </c>
      <c r="C62" s="3897" t="s">
        <v>997</v>
      </c>
      <c r="D62" s="3984" t="s">
        <v>20</v>
      </c>
      <c r="E62" s="3899" t="s">
        <v>3586</v>
      </c>
      <c r="F62" s="3897" t="s">
        <v>997</v>
      </c>
      <c r="G62" s="3985" t="s">
        <v>3586</v>
      </c>
      <c r="H62" s="3901">
        <v>9</v>
      </c>
      <c r="I62" s="3897" t="s">
        <v>997</v>
      </c>
      <c r="J62" s="3985">
        <v>9</v>
      </c>
      <c r="K62" s="3901">
        <v>35</v>
      </c>
      <c r="L62" s="3897" t="s">
        <v>997</v>
      </c>
      <c r="M62" s="3986">
        <v>35</v>
      </c>
      <c r="N62" s="478"/>
      <c r="O62" s="3896" t="s">
        <v>20</v>
      </c>
      <c r="P62" s="3897" t="s">
        <v>997</v>
      </c>
      <c r="Q62" s="3987" t="s">
        <v>20</v>
      </c>
      <c r="R62" s="3899" t="s">
        <v>3586</v>
      </c>
      <c r="S62" s="3897" t="s">
        <v>997</v>
      </c>
      <c r="T62" s="3988" t="s">
        <v>3586</v>
      </c>
      <c r="U62" s="3901">
        <v>9</v>
      </c>
      <c r="V62" s="3897" t="s">
        <v>997</v>
      </c>
      <c r="W62" s="3987">
        <v>9</v>
      </c>
      <c r="X62" s="3901">
        <v>35</v>
      </c>
      <c r="Y62" s="3897" t="s">
        <v>997</v>
      </c>
      <c r="Z62" s="3989">
        <v>35</v>
      </c>
      <c r="AA62" s="478"/>
      <c r="AB62" s="478"/>
      <c r="AC62" s="478"/>
      <c r="AD62" s="3990"/>
      <c r="AE62" s="3949"/>
      <c r="AF62" s="3949"/>
      <c r="AG62" s="3949"/>
      <c r="AH62" s="3949"/>
      <c r="AI62" s="3949"/>
      <c r="AJ62" s="3949"/>
      <c r="AK62" s="3949"/>
      <c r="AL62" s="3949"/>
      <c r="AM62" s="3949"/>
      <c r="AN62" s="3949"/>
      <c r="AO62" s="3949"/>
      <c r="AP62" s="3949"/>
      <c r="AQ62" s="3949"/>
      <c r="AR62" s="3949"/>
      <c r="AS62" s="3949"/>
      <c r="AT62" s="3949"/>
      <c r="AU62" s="3949"/>
      <c r="AV62" s="3949"/>
      <c r="AW62" s="3949"/>
      <c r="AX62" s="3949"/>
      <c r="AY62" s="3949"/>
      <c r="AZ62" s="3949"/>
      <c r="BA62" s="3949"/>
      <c r="BD62" s="3920"/>
      <c r="BE62" s="3911"/>
      <c r="BF62" s="3911"/>
      <c r="BG62" s="3921"/>
      <c r="BH62" s="3911"/>
      <c r="BI62" s="3911"/>
      <c r="BJ62" s="3921"/>
      <c r="BK62" s="3911"/>
      <c r="BL62" s="3911"/>
      <c r="BM62" s="3921"/>
      <c r="BN62" s="3911"/>
      <c r="BO62" s="3911"/>
      <c r="BP62" s="3921"/>
      <c r="BQ62" s="3911"/>
      <c r="BR62" s="3911"/>
      <c r="BS62" s="3921"/>
      <c r="BT62" s="3911"/>
      <c r="BU62" s="3911"/>
      <c r="BV62" s="3921"/>
      <c r="BW62" s="3911"/>
      <c r="BX62" s="3911"/>
      <c r="BY62" s="3921"/>
      <c r="BZ62" s="3911"/>
      <c r="CA62" s="3911"/>
      <c r="CB62" s="3921"/>
      <c r="CC62" s="3911"/>
      <c r="CD62" s="3911"/>
      <c r="CE62" s="3921"/>
      <c r="CF62" s="3911"/>
      <c r="CG62" s="3911"/>
      <c r="CH62" s="3921"/>
      <c r="CI62" s="3911"/>
      <c r="CJ62" s="3911"/>
      <c r="CK62" s="3921"/>
      <c r="CL62" s="3921"/>
      <c r="CM62" s="3921"/>
    </row>
    <row r="63" spans="1:91" ht="44.25" customHeight="1">
      <c r="A63" s="478"/>
      <c r="B63" s="3896" t="s">
        <v>18</v>
      </c>
      <c r="C63" s="3897" t="s">
        <v>997</v>
      </c>
      <c r="D63" s="3984" t="s">
        <v>18</v>
      </c>
      <c r="E63" s="3899" t="s">
        <v>3588</v>
      </c>
      <c r="F63" s="3897" t="s">
        <v>997</v>
      </c>
      <c r="G63" s="3985" t="s">
        <v>3588</v>
      </c>
      <c r="H63" s="3901">
        <v>10</v>
      </c>
      <c r="I63" s="3897" t="s">
        <v>997</v>
      </c>
      <c r="J63" s="3985">
        <v>10</v>
      </c>
      <c r="K63" s="3901">
        <v>36</v>
      </c>
      <c r="L63" s="3897" t="s">
        <v>997</v>
      </c>
      <c r="M63" s="3986">
        <v>36</v>
      </c>
      <c r="N63" s="478"/>
      <c r="O63" s="3896" t="s">
        <v>18</v>
      </c>
      <c r="P63" s="3897" t="s">
        <v>997</v>
      </c>
      <c r="Q63" s="3987" t="s">
        <v>18</v>
      </c>
      <c r="R63" s="3899" t="s">
        <v>3588</v>
      </c>
      <c r="S63" s="3897" t="s">
        <v>997</v>
      </c>
      <c r="T63" s="3988" t="s">
        <v>3588</v>
      </c>
      <c r="U63" s="3901">
        <v>10</v>
      </c>
      <c r="V63" s="3897" t="s">
        <v>997</v>
      </c>
      <c r="W63" s="3987">
        <v>10</v>
      </c>
      <c r="X63" s="3901">
        <v>36</v>
      </c>
      <c r="Y63" s="3897" t="s">
        <v>997</v>
      </c>
      <c r="Z63" s="3989">
        <v>36</v>
      </c>
      <c r="AA63" s="478"/>
      <c r="AB63" s="478"/>
      <c r="AC63" s="478"/>
      <c r="AE63" s="7114" t="s">
        <v>3690</v>
      </c>
      <c r="AF63" s="7115"/>
      <c r="AG63" s="7115"/>
      <c r="AH63" s="7115"/>
      <c r="AI63" s="7115"/>
      <c r="AJ63" s="7115"/>
      <c r="AK63" s="7115"/>
      <c r="AL63" s="7115"/>
      <c r="AM63" s="7115"/>
      <c r="AN63" s="7115"/>
      <c r="AO63" s="7115"/>
      <c r="AP63" s="7115"/>
      <c r="AQ63" s="7115"/>
      <c r="AR63" s="7115"/>
      <c r="AS63" s="7115"/>
      <c r="AT63" s="7115"/>
      <c r="AU63" s="7116"/>
      <c r="BD63" s="7105" t="s">
        <v>588</v>
      </c>
      <c r="BE63" s="3922" t="s">
        <v>3657</v>
      </c>
      <c r="BF63" s="3923"/>
      <c r="BG63" s="3921"/>
      <c r="BH63" s="3922" t="s">
        <v>3629</v>
      </c>
      <c r="BI63" s="3923"/>
      <c r="BJ63" s="3921"/>
      <c r="BK63" s="3922" t="s">
        <v>603</v>
      </c>
      <c r="BL63" s="3923"/>
      <c r="BM63" s="3921"/>
      <c r="BN63" s="3922" t="s">
        <v>6</v>
      </c>
      <c r="BO63" s="3923"/>
      <c r="BP63" s="3921"/>
      <c r="BQ63" s="3922" t="s">
        <v>1834</v>
      </c>
      <c r="BR63" s="3923"/>
      <c r="BS63" s="3921"/>
      <c r="BT63" s="3922" t="s">
        <v>21</v>
      </c>
      <c r="BU63" s="3923"/>
      <c r="BV63" s="3921"/>
      <c r="BW63" s="3922" t="s">
        <v>808</v>
      </c>
      <c r="BX63" s="3923"/>
      <c r="BY63" s="3921"/>
      <c r="BZ63" s="3922" t="s">
        <v>2048</v>
      </c>
      <c r="CA63" s="3923"/>
      <c r="CB63" s="3921"/>
      <c r="CC63" s="3922" t="s">
        <v>230</v>
      </c>
      <c r="CD63" s="3923"/>
      <c r="CE63" s="3921"/>
      <c r="CF63" s="3922" t="s">
        <v>2156</v>
      </c>
      <c r="CG63" s="3923"/>
      <c r="CH63" s="3921"/>
      <c r="CI63" s="3922" t="s">
        <v>3661</v>
      </c>
      <c r="CJ63" s="3923"/>
      <c r="CK63" s="3921"/>
      <c r="CL63" s="3921"/>
      <c r="CM63" s="3921"/>
    </row>
    <row r="64" spans="1:91" ht="30.75" thickBot="1">
      <c r="A64" s="478"/>
      <c r="B64" s="3896" t="s">
        <v>15</v>
      </c>
      <c r="C64" s="3897" t="s">
        <v>997</v>
      </c>
      <c r="D64" s="3984" t="s">
        <v>15</v>
      </c>
      <c r="E64" s="3899" t="s">
        <v>3590</v>
      </c>
      <c r="F64" s="3897" t="s">
        <v>997</v>
      </c>
      <c r="G64" s="3985" t="s">
        <v>3590</v>
      </c>
      <c r="H64" s="3901">
        <v>11</v>
      </c>
      <c r="I64" s="3897" t="s">
        <v>997</v>
      </c>
      <c r="J64" s="3985">
        <v>11</v>
      </c>
      <c r="K64" s="3901">
        <v>37</v>
      </c>
      <c r="L64" s="3897" t="s">
        <v>997</v>
      </c>
      <c r="M64" s="3986">
        <v>37</v>
      </c>
      <c r="N64" s="478"/>
      <c r="O64" s="3896" t="s">
        <v>15</v>
      </c>
      <c r="P64" s="3897" t="s">
        <v>997</v>
      </c>
      <c r="Q64" s="3987" t="s">
        <v>15</v>
      </c>
      <c r="R64" s="3899" t="s">
        <v>3590</v>
      </c>
      <c r="S64" s="3897" t="s">
        <v>997</v>
      </c>
      <c r="T64" s="3988" t="s">
        <v>3590</v>
      </c>
      <c r="U64" s="3901">
        <v>11</v>
      </c>
      <c r="V64" s="3897" t="s">
        <v>997</v>
      </c>
      <c r="W64" s="3987">
        <v>11</v>
      </c>
      <c r="X64" s="3901">
        <v>37</v>
      </c>
      <c r="Y64" s="3897" t="s">
        <v>997</v>
      </c>
      <c r="Z64" s="3989">
        <v>37</v>
      </c>
      <c r="AA64" s="478"/>
      <c r="AB64" s="478"/>
      <c r="AC64" s="478"/>
      <c r="AE64" s="7117"/>
      <c r="AF64" s="7118"/>
      <c r="AG64" s="7118"/>
      <c r="AH64" s="7118"/>
      <c r="AI64" s="7118"/>
      <c r="AJ64" s="7118"/>
      <c r="AK64" s="7118"/>
      <c r="AL64" s="7118"/>
      <c r="AM64" s="7118"/>
      <c r="AN64" s="7118"/>
      <c r="AO64" s="7118"/>
      <c r="AP64" s="7118"/>
      <c r="AQ64" s="7118"/>
      <c r="AR64" s="7118"/>
      <c r="AS64" s="7118"/>
      <c r="AT64" s="7118"/>
      <c r="AU64" s="7119"/>
      <c r="BD64" s="7105"/>
      <c r="BE64" s="3926" t="s">
        <v>3657</v>
      </c>
      <c r="BF64" s="3927"/>
      <c r="BG64" s="3921"/>
      <c r="BH64" s="3926" t="s">
        <v>3630</v>
      </c>
      <c r="BI64" s="3927"/>
      <c r="BJ64" s="3921"/>
      <c r="BK64" s="3926" t="s">
        <v>1326</v>
      </c>
      <c r="BL64" s="3927"/>
      <c r="BM64" s="3921"/>
      <c r="BN64" s="3926" t="s">
        <v>3572</v>
      </c>
      <c r="BO64" s="3927"/>
      <c r="BP64" s="3921"/>
      <c r="BQ64" s="3926" t="s">
        <v>3628</v>
      </c>
      <c r="BR64" s="3927"/>
      <c r="BS64" s="3921"/>
      <c r="BT64" s="3926" t="s">
        <v>3556</v>
      </c>
      <c r="BU64" s="3927"/>
      <c r="BV64" s="3921"/>
      <c r="BW64" s="3926" t="s">
        <v>3595</v>
      </c>
      <c r="BX64" s="3927"/>
      <c r="BY64" s="3921"/>
      <c r="BZ64" s="3926" t="s">
        <v>3662</v>
      </c>
      <c r="CA64" s="3927"/>
      <c r="CB64" s="3921"/>
      <c r="CC64" s="3926" t="s">
        <v>3631</v>
      </c>
      <c r="CD64" s="3927"/>
      <c r="CE64" s="3921"/>
      <c r="CF64" s="3926" t="s">
        <v>2882</v>
      </c>
      <c r="CG64" s="3927"/>
      <c r="CH64" s="3921"/>
      <c r="CI64" s="3926" t="s">
        <v>1984</v>
      </c>
      <c r="CJ64" s="3927"/>
      <c r="CK64" s="3921"/>
      <c r="CL64" s="3921"/>
      <c r="CM64" s="3921"/>
    </row>
    <row r="65" spans="1:91" ht="30">
      <c r="A65" s="478"/>
      <c r="B65" s="3896" t="s">
        <v>398</v>
      </c>
      <c r="C65" s="3897" t="s">
        <v>997</v>
      </c>
      <c r="D65" s="3984" t="s">
        <v>398</v>
      </c>
      <c r="E65" s="3899" t="s">
        <v>3592</v>
      </c>
      <c r="F65" s="3897" t="s">
        <v>997</v>
      </c>
      <c r="G65" s="3985" t="s">
        <v>3592</v>
      </c>
      <c r="H65" s="3901">
        <v>12</v>
      </c>
      <c r="I65" s="3897" t="s">
        <v>997</v>
      </c>
      <c r="J65" s="3985">
        <v>12</v>
      </c>
      <c r="K65" s="3901">
        <v>38</v>
      </c>
      <c r="L65" s="3897" t="s">
        <v>997</v>
      </c>
      <c r="M65" s="3986">
        <v>38</v>
      </c>
      <c r="N65" s="478"/>
      <c r="O65" s="3896" t="s">
        <v>398</v>
      </c>
      <c r="P65" s="3897" t="s">
        <v>997</v>
      </c>
      <c r="Q65" s="3987" t="s">
        <v>398</v>
      </c>
      <c r="R65" s="3899" t="s">
        <v>3592</v>
      </c>
      <c r="S65" s="3897" t="s">
        <v>997</v>
      </c>
      <c r="T65" s="3988" t="s">
        <v>3592</v>
      </c>
      <c r="U65" s="3901">
        <v>12</v>
      </c>
      <c r="V65" s="3897" t="s">
        <v>997</v>
      </c>
      <c r="W65" s="3987">
        <v>12</v>
      </c>
      <c r="X65" s="3901">
        <v>38</v>
      </c>
      <c r="Y65" s="3897" t="s">
        <v>997</v>
      </c>
      <c r="Z65" s="3989">
        <v>38</v>
      </c>
      <c r="AA65" s="478"/>
      <c r="AB65" s="478"/>
      <c r="AC65" s="478"/>
      <c r="AE65" s="642"/>
      <c r="AF65" s="642"/>
      <c r="AG65" s="642"/>
      <c r="AH65" s="642"/>
      <c r="AI65" s="642"/>
      <c r="AJ65" s="642"/>
      <c r="AK65" s="642"/>
      <c r="AL65" s="642"/>
      <c r="AM65" s="642"/>
      <c r="AN65" s="642"/>
      <c r="AO65" s="642"/>
      <c r="AP65" s="642"/>
      <c r="BD65" s="3920"/>
      <c r="BE65" s="3921"/>
      <c r="BF65" s="3921"/>
      <c r="BG65" s="3921"/>
      <c r="BH65" s="3921"/>
      <c r="BI65" s="3921"/>
      <c r="BJ65" s="3921"/>
      <c r="BK65" s="3921"/>
      <c r="BL65" s="3921"/>
      <c r="BM65" s="3921"/>
      <c r="BN65" s="3921"/>
      <c r="BO65" s="3921"/>
      <c r="BP65" s="3921"/>
      <c r="BQ65" s="3921"/>
      <c r="BR65" s="3921"/>
      <c r="BS65" s="3921"/>
      <c r="BT65" s="3921"/>
      <c r="BU65" s="3921"/>
      <c r="BV65" s="3921"/>
      <c r="BW65" s="3921"/>
      <c r="BX65" s="3921"/>
      <c r="BY65" s="3921"/>
      <c r="BZ65" s="3921"/>
      <c r="CA65" s="3921"/>
      <c r="CB65" s="3921"/>
      <c r="CC65" s="3921"/>
      <c r="CD65" s="3921"/>
      <c r="CE65" s="3921"/>
      <c r="CF65" s="3921"/>
      <c r="CG65" s="3921"/>
      <c r="CH65" s="3921"/>
      <c r="CI65" s="3921"/>
      <c r="CJ65" s="3921"/>
      <c r="CK65" s="3921"/>
      <c r="CL65" s="3921"/>
      <c r="CM65" s="3921"/>
    </row>
    <row r="66" spans="1:91" ht="44.25" customHeight="1">
      <c r="A66" s="478"/>
      <c r="B66" s="3896" t="s">
        <v>807</v>
      </c>
      <c r="C66" s="3897" t="s">
        <v>997</v>
      </c>
      <c r="D66" s="3984" t="s">
        <v>807</v>
      </c>
      <c r="E66" s="3899" t="s">
        <v>3593</v>
      </c>
      <c r="F66" s="3897" t="s">
        <v>997</v>
      </c>
      <c r="G66" s="3985" t="s">
        <v>3593</v>
      </c>
      <c r="H66" s="3901">
        <v>13</v>
      </c>
      <c r="I66" s="3897" t="s">
        <v>997</v>
      </c>
      <c r="J66" s="3985">
        <v>13</v>
      </c>
      <c r="K66" s="3901">
        <v>39</v>
      </c>
      <c r="L66" s="3897" t="s">
        <v>997</v>
      </c>
      <c r="M66" s="3986">
        <v>39</v>
      </c>
      <c r="N66" s="478"/>
      <c r="O66" s="3896" t="s">
        <v>807</v>
      </c>
      <c r="P66" s="3897" t="s">
        <v>997</v>
      </c>
      <c r="Q66" s="3987" t="s">
        <v>807</v>
      </c>
      <c r="R66" s="3899" t="s">
        <v>3593</v>
      </c>
      <c r="S66" s="3897" t="s">
        <v>997</v>
      </c>
      <c r="T66" s="3988" t="s">
        <v>3593</v>
      </c>
      <c r="U66" s="3901">
        <v>13</v>
      </c>
      <c r="V66" s="3897" t="s">
        <v>997</v>
      </c>
      <c r="W66" s="3987">
        <v>13</v>
      </c>
      <c r="X66" s="3901">
        <v>39</v>
      </c>
      <c r="Y66" s="3897" t="s">
        <v>997</v>
      </c>
      <c r="Z66" s="3989">
        <v>39</v>
      </c>
      <c r="AA66" s="478"/>
      <c r="AB66" s="478"/>
      <c r="AC66" s="478"/>
      <c r="AE66" s="7120" t="s">
        <v>3691</v>
      </c>
      <c r="AF66" s="7121"/>
      <c r="AG66" s="7121"/>
      <c r="AH66" s="7121"/>
      <c r="AI66" s="7121"/>
      <c r="AJ66" s="7121"/>
      <c r="AK66" s="7121"/>
      <c r="AL66" s="7121"/>
      <c r="AM66" s="7121"/>
      <c r="AN66" s="7121"/>
      <c r="AO66" s="7121"/>
      <c r="AP66" s="7121"/>
      <c r="AQ66" s="7122"/>
      <c r="AS66" s="3991" t="s">
        <v>589</v>
      </c>
      <c r="AU66" s="3991" t="s">
        <v>1990</v>
      </c>
      <c r="BD66" s="7105" t="s">
        <v>3584</v>
      </c>
      <c r="BE66" s="3930" t="s">
        <v>3657</v>
      </c>
      <c r="BF66" s="3931"/>
      <c r="BG66" s="3921"/>
      <c r="BH66" s="3930" t="s">
        <v>3629</v>
      </c>
      <c r="BI66" s="3931"/>
      <c r="BJ66" s="3921"/>
      <c r="BK66" s="3930" t="s">
        <v>603</v>
      </c>
      <c r="BL66" s="3931"/>
      <c r="BM66" s="3921"/>
      <c r="BN66" s="3930" t="s">
        <v>6</v>
      </c>
      <c r="BO66" s="3931"/>
      <c r="BP66" s="3921"/>
      <c r="BQ66" s="3930" t="s">
        <v>1834</v>
      </c>
      <c r="BR66" s="3931"/>
      <c r="BS66" s="3921"/>
      <c r="BT66" s="3930" t="s">
        <v>21</v>
      </c>
      <c r="BU66" s="3931"/>
      <c r="BV66" s="3921"/>
      <c r="BW66" s="3930" t="s">
        <v>808</v>
      </c>
      <c r="BX66" s="3931"/>
      <c r="BY66" s="3921"/>
      <c r="BZ66" s="3930" t="s">
        <v>2048</v>
      </c>
      <c r="CA66" s="3931"/>
      <c r="CB66" s="3921"/>
      <c r="CC66" s="3930" t="s">
        <v>230</v>
      </c>
      <c r="CD66" s="3931"/>
      <c r="CE66" s="3921"/>
      <c r="CF66" s="3930" t="s">
        <v>2156</v>
      </c>
      <c r="CG66" s="3931"/>
      <c r="CH66" s="3921"/>
      <c r="CI66" s="3930" t="s">
        <v>3661</v>
      </c>
      <c r="CJ66" s="3931"/>
      <c r="CK66" s="3921"/>
      <c r="CL66" s="3921"/>
      <c r="CM66" s="3921"/>
    </row>
    <row r="67" spans="1:91" ht="30">
      <c r="A67" s="478"/>
      <c r="B67" s="3896" t="s">
        <v>808</v>
      </c>
      <c r="C67" s="3897" t="s">
        <v>997</v>
      </c>
      <c r="D67" s="3984" t="s">
        <v>808</v>
      </c>
      <c r="E67" s="3899" t="s">
        <v>3595</v>
      </c>
      <c r="F67" s="3897" t="s">
        <v>997</v>
      </c>
      <c r="G67" s="3985" t="s">
        <v>3595</v>
      </c>
      <c r="H67" s="3901">
        <v>14</v>
      </c>
      <c r="I67" s="3897" t="s">
        <v>997</v>
      </c>
      <c r="J67" s="3985">
        <v>14</v>
      </c>
      <c r="K67" s="3901">
        <v>40</v>
      </c>
      <c r="L67" s="3897" t="s">
        <v>997</v>
      </c>
      <c r="M67" s="3986">
        <v>40</v>
      </c>
      <c r="N67" s="478"/>
      <c r="O67" s="3896" t="s">
        <v>808</v>
      </c>
      <c r="P67" s="3897" t="s">
        <v>997</v>
      </c>
      <c r="Q67" s="3987" t="s">
        <v>808</v>
      </c>
      <c r="R67" s="3899" t="s">
        <v>3595</v>
      </c>
      <c r="S67" s="3897" t="s">
        <v>997</v>
      </c>
      <c r="T67" s="3988" t="s">
        <v>3595</v>
      </c>
      <c r="U67" s="3901">
        <v>14</v>
      </c>
      <c r="V67" s="3897" t="s">
        <v>997</v>
      </c>
      <c r="W67" s="3987">
        <v>14</v>
      </c>
      <c r="X67" s="3901">
        <v>40</v>
      </c>
      <c r="Y67" s="3897" t="s">
        <v>997</v>
      </c>
      <c r="Z67" s="3989">
        <v>40</v>
      </c>
      <c r="AA67" s="478"/>
      <c r="AB67" s="478"/>
      <c r="AC67" s="478"/>
      <c r="AE67" s="7123"/>
      <c r="AF67" s="7124"/>
      <c r="AG67" s="7124"/>
      <c r="AH67" s="7124"/>
      <c r="AI67" s="7124"/>
      <c r="AJ67" s="7124"/>
      <c r="AK67" s="7124"/>
      <c r="AL67" s="7124"/>
      <c r="AM67" s="7124"/>
      <c r="AN67" s="7124"/>
      <c r="AO67" s="7124"/>
      <c r="AP67" s="7124"/>
      <c r="AQ67" s="7125"/>
      <c r="AS67" s="3991" t="s">
        <v>3692</v>
      </c>
      <c r="AU67" s="3991" t="s">
        <v>680</v>
      </c>
      <c r="BD67" s="7105"/>
      <c r="BE67" s="3932" t="s">
        <v>3657</v>
      </c>
      <c r="BF67" s="3933"/>
      <c r="BG67" s="3921"/>
      <c r="BH67" s="3932" t="s">
        <v>3630</v>
      </c>
      <c r="BI67" s="3933"/>
      <c r="BJ67" s="3921"/>
      <c r="BK67" s="3932" t="s">
        <v>1326</v>
      </c>
      <c r="BL67" s="3933"/>
      <c r="BM67" s="3921"/>
      <c r="BN67" s="3932" t="s">
        <v>3572</v>
      </c>
      <c r="BO67" s="3933"/>
      <c r="BP67" s="3921"/>
      <c r="BQ67" s="3932" t="s">
        <v>3628</v>
      </c>
      <c r="BR67" s="3933"/>
      <c r="BS67" s="3921"/>
      <c r="BT67" s="3932" t="s">
        <v>3556</v>
      </c>
      <c r="BU67" s="3933"/>
      <c r="BV67" s="3921"/>
      <c r="BW67" s="3932" t="s">
        <v>3595</v>
      </c>
      <c r="BX67" s="3933"/>
      <c r="BY67" s="3921"/>
      <c r="BZ67" s="3932" t="s">
        <v>3662</v>
      </c>
      <c r="CA67" s="3933"/>
      <c r="CB67" s="3921"/>
      <c r="CC67" s="3932" t="s">
        <v>3631</v>
      </c>
      <c r="CD67" s="3933"/>
      <c r="CE67" s="3921"/>
      <c r="CF67" s="3932" t="s">
        <v>2882</v>
      </c>
      <c r="CG67" s="3933"/>
      <c r="CH67" s="3921"/>
      <c r="CI67" s="3932" t="s">
        <v>1984</v>
      </c>
      <c r="CJ67" s="3933"/>
      <c r="CK67" s="3921"/>
      <c r="CL67" s="3921"/>
      <c r="CM67" s="3921"/>
    </row>
    <row r="68" spans="1:91" ht="30">
      <c r="A68" s="478"/>
      <c r="B68" s="3896" t="s">
        <v>809</v>
      </c>
      <c r="C68" s="3897" t="s">
        <v>997</v>
      </c>
      <c r="D68" s="3984" t="s">
        <v>809</v>
      </c>
      <c r="E68" s="3899" t="s">
        <v>3608</v>
      </c>
      <c r="F68" s="3897" t="s">
        <v>997</v>
      </c>
      <c r="G68" s="3985" t="s">
        <v>3608</v>
      </c>
      <c r="H68" s="3901">
        <v>15</v>
      </c>
      <c r="I68" s="3897" t="s">
        <v>997</v>
      </c>
      <c r="J68" s="3985">
        <v>15</v>
      </c>
      <c r="K68" s="3901">
        <v>41</v>
      </c>
      <c r="L68" s="3897" t="s">
        <v>997</v>
      </c>
      <c r="M68" s="3986">
        <v>41</v>
      </c>
      <c r="N68" s="478"/>
      <c r="O68" s="3896" t="s">
        <v>809</v>
      </c>
      <c r="P68" s="3897" t="s">
        <v>997</v>
      </c>
      <c r="Q68" s="3987" t="s">
        <v>809</v>
      </c>
      <c r="R68" s="3899" t="s">
        <v>3608</v>
      </c>
      <c r="S68" s="3897" t="s">
        <v>997</v>
      </c>
      <c r="T68" s="3988" t="s">
        <v>3608</v>
      </c>
      <c r="U68" s="3901">
        <v>15</v>
      </c>
      <c r="V68" s="3897" t="s">
        <v>997</v>
      </c>
      <c r="W68" s="3987">
        <v>15</v>
      </c>
      <c r="X68" s="3901">
        <v>41</v>
      </c>
      <c r="Y68" s="3897" t="s">
        <v>997</v>
      </c>
      <c r="Z68" s="3989">
        <v>41</v>
      </c>
      <c r="AA68" s="478"/>
      <c r="AB68" s="478"/>
      <c r="AC68" s="478"/>
      <c r="AE68" s="7126"/>
      <c r="AF68" s="7127"/>
      <c r="AG68" s="7127"/>
      <c r="AH68" s="7127"/>
      <c r="AI68" s="7127"/>
      <c r="AJ68" s="7127"/>
      <c r="AK68" s="7127"/>
      <c r="AL68" s="7127"/>
      <c r="AM68" s="7127"/>
      <c r="AN68" s="7127"/>
      <c r="AO68" s="7127"/>
      <c r="AP68" s="7127"/>
      <c r="AQ68" s="7128"/>
      <c r="AS68" s="3992"/>
      <c r="BD68" s="3913"/>
      <c r="BE68" s="3921"/>
      <c r="BF68" s="3921"/>
      <c r="BG68" s="3921"/>
      <c r="BH68" s="3921"/>
      <c r="BI68" s="3921"/>
      <c r="BJ68" s="3921"/>
      <c r="BK68" s="3921"/>
      <c r="BL68" s="3921"/>
      <c r="BM68" s="3921"/>
      <c r="BN68" s="3921"/>
      <c r="BO68" s="3921"/>
      <c r="BP68" s="3921"/>
      <c r="BQ68" s="3921"/>
      <c r="BR68" s="3921"/>
      <c r="BS68" s="3921"/>
      <c r="BT68" s="3921"/>
      <c r="BU68" s="3921"/>
      <c r="BV68" s="3921"/>
      <c r="BW68" s="3921"/>
      <c r="BX68" s="3921"/>
      <c r="BY68" s="3921"/>
      <c r="BZ68" s="3921"/>
      <c r="CA68" s="3921"/>
      <c r="CB68" s="3921"/>
      <c r="CC68" s="3921"/>
      <c r="CD68" s="3921"/>
      <c r="CE68" s="3921"/>
      <c r="CF68" s="3921"/>
      <c r="CG68" s="3921"/>
      <c r="CH68" s="3921"/>
      <c r="CI68" s="3921"/>
      <c r="CJ68" s="3921"/>
      <c r="CK68" s="3921"/>
      <c r="CL68" s="3921"/>
      <c r="CM68" s="3921"/>
    </row>
    <row r="69" spans="1:91" ht="30">
      <c r="A69" s="478"/>
      <c r="B69" s="3896" t="s">
        <v>810</v>
      </c>
      <c r="C69" s="3897" t="s">
        <v>997</v>
      </c>
      <c r="D69" s="3984" t="s">
        <v>810</v>
      </c>
      <c r="E69" s="3899" t="s">
        <v>593</v>
      </c>
      <c r="F69" s="3897" t="s">
        <v>997</v>
      </c>
      <c r="G69" s="3985" t="s">
        <v>593</v>
      </c>
      <c r="H69" s="3901">
        <v>16</v>
      </c>
      <c r="I69" s="3897" t="s">
        <v>997</v>
      </c>
      <c r="J69" s="3985">
        <v>16</v>
      </c>
      <c r="K69" s="3901">
        <v>42</v>
      </c>
      <c r="L69" s="3897" t="s">
        <v>997</v>
      </c>
      <c r="M69" s="3986">
        <v>42</v>
      </c>
      <c r="N69" s="478"/>
      <c r="O69" s="3896" t="s">
        <v>810</v>
      </c>
      <c r="P69" s="3897" t="s">
        <v>997</v>
      </c>
      <c r="Q69" s="3987" t="s">
        <v>810</v>
      </c>
      <c r="R69" s="3899" t="s">
        <v>593</v>
      </c>
      <c r="S69" s="3897" t="s">
        <v>997</v>
      </c>
      <c r="T69" s="3988" t="s">
        <v>593</v>
      </c>
      <c r="U69" s="3901">
        <v>16</v>
      </c>
      <c r="V69" s="3897" t="s">
        <v>997</v>
      </c>
      <c r="W69" s="3987">
        <v>16</v>
      </c>
      <c r="X69" s="3901">
        <v>42</v>
      </c>
      <c r="Y69" s="3897" t="s">
        <v>997</v>
      </c>
      <c r="Z69" s="3989">
        <v>42</v>
      </c>
      <c r="AA69" s="478"/>
      <c r="AB69" s="478"/>
      <c r="AC69" s="478"/>
      <c r="AE69" s="642"/>
      <c r="AF69" s="642"/>
      <c r="AG69" s="642"/>
      <c r="AH69" s="642"/>
      <c r="AI69" s="642"/>
      <c r="AJ69" s="642"/>
      <c r="AK69" s="642"/>
      <c r="AL69" s="642"/>
      <c r="AM69" s="642"/>
      <c r="AN69" s="642"/>
      <c r="AO69" s="642"/>
      <c r="AP69" s="642"/>
      <c r="BD69" s="7105" t="s">
        <v>3589</v>
      </c>
      <c r="BE69" s="3936" t="s">
        <v>3657</v>
      </c>
      <c r="BF69" s="3937"/>
      <c r="BG69" s="3921"/>
      <c r="BH69" s="3936" t="s">
        <v>3629</v>
      </c>
      <c r="BI69" s="3937"/>
      <c r="BJ69" s="3921"/>
      <c r="BK69" s="3936" t="s">
        <v>603</v>
      </c>
      <c r="BL69" s="3937"/>
      <c r="BM69" s="3921"/>
      <c r="BN69" s="3936" t="s">
        <v>6</v>
      </c>
      <c r="BO69" s="3937"/>
      <c r="BP69" s="3921"/>
      <c r="BQ69" s="3936" t="s">
        <v>1834</v>
      </c>
      <c r="BR69" s="3937"/>
      <c r="BS69" s="3921"/>
      <c r="BT69" s="3936" t="s">
        <v>21</v>
      </c>
      <c r="BU69" s="3937"/>
      <c r="BV69" s="3921"/>
      <c r="BW69" s="3936" t="s">
        <v>808</v>
      </c>
      <c r="BX69" s="3937"/>
      <c r="BY69" s="3921"/>
      <c r="BZ69" s="3936" t="s">
        <v>2048</v>
      </c>
      <c r="CA69" s="3937"/>
      <c r="CB69" s="3921"/>
      <c r="CC69" s="3936" t="s">
        <v>230</v>
      </c>
      <c r="CD69" s="3937"/>
      <c r="CE69" s="3921"/>
      <c r="CF69" s="3936" t="s">
        <v>2156</v>
      </c>
      <c r="CG69" s="3937"/>
      <c r="CH69" s="3921"/>
      <c r="CI69" s="3936" t="s">
        <v>3661</v>
      </c>
      <c r="CJ69" s="3937"/>
      <c r="CK69" s="3921"/>
      <c r="CL69" s="3921"/>
      <c r="CM69" s="3921"/>
    </row>
    <row r="70" spans="1:91" ht="30">
      <c r="A70" s="478"/>
      <c r="B70" s="3896" t="s">
        <v>811</v>
      </c>
      <c r="C70" s="3897" t="s">
        <v>997</v>
      </c>
      <c r="D70" s="3984" t="s">
        <v>811</v>
      </c>
      <c r="E70" s="3899" t="s">
        <v>473</v>
      </c>
      <c r="F70" s="3897" t="s">
        <v>997</v>
      </c>
      <c r="G70" s="3985" t="s">
        <v>473</v>
      </c>
      <c r="H70" s="3901">
        <v>17</v>
      </c>
      <c r="I70" s="3897" t="s">
        <v>997</v>
      </c>
      <c r="J70" s="3985">
        <v>17</v>
      </c>
      <c r="K70" s="3901">
        <v>43</v>
      </c>
      <c r="L70" s="3897" t="s">
        <v>997</v>
      </c>
      <c r="M70" s="3986">
        <v>43</v>
      </c>
      <c r="N70" s="478"/>
      <c r="O70" s="3896" t="s">
        <v>811</v>
      </c>
      <c r="P70" s="3897" t="s">
        <v>997</v>
      </c>
      <c r="Q70" s="3987" t="s">
        <v>811</v>
      </c>
      <c r="R70" s="3899" t="s">
        <v>473</v>
      </c>
      <c r="S70" s="3897" t="s">
        <v>997</v>
      </c>
      <c r="T70" s="3988" t="s">
        <v>473</v>
      </c>
      <c r="U70" s="3901">
        <v>17</v>
      </c>
      <c r="V70" s="3897" t="s">
        <v>997</v>
      </c>
      <c r="W70" s="3987">
        <v>17</v>
      </c>
      <c r="X70" s="3901">
        <v>43</v>
      </c>
      <c r="Y70" s="3897" t="s">
        <v>997</v>
      </c>
      <c r="Z70" s="3989">
        <v>43</v>
      </c>
      <c r="AA70" s="478"/>
      <c r="AB70" s="478"/>
      <c r="AC70" s="478"/>
      <c r="AF70" s="3993"/>
      <c r="AG70" s="7129" t="s">
        <v>3693</v>
      </c>
      <c r="AH70" s="7129"/>
      <c r="AI70" s="7129"/>
      <c r="AJ70" s="7129"/>
      <c r="AK70" s="7129"/>
      <c r="AL70" s="7129"/>
      <c r="AM70" s="7129"/>
      <c r="AN70" s="7129"/>
      <c r="AO70" s="7129"/>
      <c r="AP70" s="7129"/>
      <c r="AQ70" s="7129"/>
      <c r="AR70" s="7129"/>
      <c r="AS70" s="7129"/>
      <c r="AT70" s="7129"/>
      <c r="AU70" s="7129"/>
      <c r="BD70" s="7105"/>
      <c r="BE70" s="3940" t="s">
        <v>3657</v>
      </c>
      <c r="BF70" s="3941"/>
      <c r="BG70" s="3921"/>
      <c r="BH70" s="3940" t="s">
        <v>3630</v>
      </c>
      <c r="BI70" s="3941"/>
      <c r="BJ70" s="3921"/>
      <c r="BK70" s="3940" t="s">
        <v>1326</v>
      </c>
      <c r="BL70" s="3941"/>
      <c r="BM70" s="3921"/>
      <c r="BN70" s="3940" t="s">
        <v>3572</v>
      </c>
      <c r="BO70" s="3941"/>
      <c r="BP70" s="3921"/>
      <c r="BQ70" s="3940" t="s">
        <v>3628</v>
      </c>
      <c r="BR70" s="3941"/>
      <c r="BS70" s="3921"/>
      <c r="BT70" s="3940" t="s">
        <v>3556</v>
      </c>
      <c r="BU70" s="3941"/>
      <c r="BV70" s="3921"/>
      <c r="BW70" s="3940" t="s">
        <v>3595</v>
      </c>
      <c r="BX70" s="3941"/>
      <c r="BY70" s="3921"/>
      <c r="BZ70" s="3940" t="s">
        <v>3662</v>
      </c>
      <c r="CA70" s="3941"/>
      <c r="CB70" s="3921"/>
      <c r="CC70" s="3940" t="s">
        <v>3631</v>
      </c>
      <c r="CD70" s="3941"/>
      <c r="CE70" s="3921"/>
      <c r="CF70" s="3940" t="s">
        <v>2882</v>
      </c>
      <c r="CG70" s="3941"/>
      <c r="CH70" s="3921"/>
      <c r="CI70" s="3940" t="s">
        <v>1984</v>
      </c>
      <c r="CJ70" s="3941"/>
      <c r="CK70" s="3921"/>
      <c r="CL70" s="3921"/>
      <c r="CM70" s="3921"/>
    </row>
    <row r="71" spans="1:91" ht="30">
      <c r="A71" s="478"/>
      <c r="B71" s="3896" t="s">
        <v>812</v>
      </c>
      <c r="C71" s="3897" t="s">
        <v>997</v>
      </c>
      <c r="D71" s="3984" t="s">
        <v>812</v>
      </c>
      <c r="E71" s="3899" t="s">
        <v>3624</v>
      </c>
      <c r="F71" s="3897" t="s">
        <v>997</v>
      </c>
      <c r="G71" s="3985" t="s">
        <v>3624</v>
      </c>
      <c r="H71" s="3901">
        <v>18</v>
      </c>
      <c r="I71" s="3897" t="s">
        <v>997</v>
      </c>
      <c r="J71" s="3985">
        <v>18</v>
      </c>
      <c r="K71" s="3901">
        <v>44</v>
      </c>
      <c r="L71" s="3897" t="s">
        <v>997</v>
      </c>
      <c r="M71" s="3986">
        <v>44</v>
      </c>
      <c r="N71" s="478"/>
      <c r="O71" s="3896" t="s">
        <v>812</v>
      </c>
      <c r="P71" s="3897" t="s">
        <v>997</v>
      </c>
      <c r="Q71" s="3987" t="s">
        <v>812</v>
      </c>
      <c r="R71" s="3899" t="s">
        <v>3624</v>
      </c>
      <c r="S71" s="3897" t="s">
        <v>997</v>
      </c>
      <c r="T71" s="3988" t="s">
        <v>3624</v>
      </c>
      <c r="U71" s="3901">
        <v>18</v>
      </c>
      <c r="V71" s="3897" t="s">
        <v>997</v>
      </c>
      <c r="W71" s="3987">
        <v>18</v>
      </c>
      <c r="X71" s="3901">
        <v>44</v>
      </c>
      <c r="Y71" s="3897" t="s">
        <v>997</v>
      </c>
      <c r="Z71" s="3989">
        <v>44</v>
      </c>
      <c r="AA71" s="478"/>
      <c r="AB71" s="478"/>
      <c r="AC71" s="478"/>
      <c r="AE71" s="642"/>
      <c r="AF71" s="642"/>
      <c r="AG71" s="642"/>
      <c r="AH71" s="642"/>
      <c r="AI71" s="642"/>
      <c r="AJ71" s="642"/>
      <c r="AK71" s="642"/>
      <c r="AL71" s="642"/>
      <c r="AM71" s="642"/>
      <c r="AN71" s="642"/>
      <c r="AO71" s="642"/>
      <c r="AP71" s="642"/>
      <c r="BD71" s="3913"/>
      <c r="BE71" s="3921"/>
      <c r="BF71" s="3921"/>
      <c r="BG71" s="3921"/>
      <c r="BH71" s="3921"/>
      <c r="BI71" s="3921"/>
      <c r="BJ71" s="3921"/>
      <c r="BK71" s="3921"/>
      <c r="BL71" s="3921"/>
      <c r="BM71" s="3921"/>
      <c r="BN71" s="3921"/>
      <c r="BO71" s="3921"/>
      <c r="BP71" s="3921"/>
      <c r="BQ71" s="3921"/>
      <c r="BR71" s="3921"/>
      <c r="BS71" s="3921"/>
      <c r="BT71" s="3921"/>
      <c r="BU71" s="3921"/>
      <c r="BV71" s="3921"/>
      <c r="BW71" s="3921"/>
      <c r="BX71" s="3921"/>
      <c r="BY71" s="3921"/>
      <c r="BZ71" s="3921"/>
      <c r="CA71" s="3921"/>
      <c r="CB71" s="3921"/>
      <c r="CC71" s="3921"/>
      <c r="CD71" s="3921"/>
      <c r="CE71" s="3921"/>
      <c r="CF71" s="3921"/>
      <c r="CG71" s="3921"/>
      <c r="CH71" s="3921"/>
      <c r="CI71" s="3921"/>
      <c r="CJ71" s="3921"/>
      <c r="CK71" s="3921"/>
      <c r="CL71" s="3921"/>
      <c r="CM71" s="3921"/>
    </row>
    <row r="72" spans="1:91" ht="30">
      <c r="A72" s="478"/>
      <c r="B72" s="3896" t="s">
        <v>12</v>
      </c>
      <c r="C72" s="3897" t="s">
        <v>997</v>
      </c>
      <c r="D72" s="3984" t="s">
        <v>12</v>
      </c>
      <c r="E72" s="3899" t="s">
        <v>681</v>
      </c>
      <c r="F72" s="3897" t="s">
        <v>997</v>
      </c>
      <c r="G72" s="3985" t="s">
        <v>681</v>
      </c>
      <c r="H72" s="3901">
        <v>19</v>
      </c>
      <c r="I72" s="3897" t="s">
        <v>997</v>
      </c>
      <c r="J72" s="3985">
        <v>19</v>
      </c>
      <c r="K72" s="3901">
        <v>45</v>
      </c>
      <c r="L72" s="3897" t="s">
        <v>997</v>
      </c>
      <c r="M72" s="3986">
        <v>45</v>
      </c>
      <c r="N72" s="478"/>
      <c r="O72" s="3896" t="s">
        <v>12</v>
      </c>
      <c r="P72" s="3897" t="s">
        <v>997</v>
      </c>
      <c r="Q72" s="3987" t="s">
        <v>12</v>
      </c>
      <c r="R72" s="3899" t="s">
        <v>681</v>
      </c>
      <c r="S72" s="3897" t="s">
        <v>997</v>
      </c>
      <c r="T72" s="3988" t="s">
        <v>681</v>
      </c>
      <c r="U72" s="3901">
        <v>19</v>
      </c>
      <c r="V72" s="3897" t="s">
        <v>997</v>
      </c>
      <c r="W72" s="3987">
        <v>19</v>
      </c>
      <c r="X72" s="3901">
        <v>45</v>
      </c>
      <c r="Y72" s="3897" t="s">
        <v>997</v>
      </c>
      <c r="Z72" s="3989">
        <v>45</v>
      </c>
      <c r="AA72" s="478"/>
      <c r="AB72" s="478"/>
      <c r="AC72" s="478"/>
      <c r="AG72" s="3994" t="s">
        <v>55</v>
      </c>
      <c r="AI72" s="3995" t="s">
        <v>679</v>
      </c>
      <c r="AJ72" s="3992"/>
      <c r="AK72" s="3996" t="s">
        <v>55</v>
      </c>
      <c r="AM72" s="3997" t="s">
        <v>679</v>
      </c>
      <c r="AO72" s="3998" t="s">
        <v>679</v>
      </c>
      <c r="AQ72" s="3999" t="s">
        <v>55</v>
      </c>
      <c r="AS72" s="4000" t="s">
        <v>55</v>
      </c>
      <c r="AU72" s="4001" t="s">
        <v>55</v>
      </c>
      <c r="BD72" s="7105" t="s">
        <v>3591</v>
      </c>
      <c r="BE72" s="3943" t="s">
        <v>3657</v>
      </c>
      <c r="BF72" s="3944"/>
      <c r="BG72" s="3921"/>
      <c r="BH72" s="3943" t="s">
        <v>3629</v>
      </c>
      <c r="BI72" s="3944"/>
      <c r="BJ72" s="3921"/>
      <c r="BK72" s="3943" t="s">
        <v>603</v>
      </c>
      <c r="BL72" s="3944"/>
      <c r="BM72" s="3921"/>
      <c r="BN72" s="3943" t="s">
        <v>6</v>
      </c>
      <c r="BO72" s="3944"/>
      <c r="BP72" s="3921"/>
      <c r="BQ72" s="3943" t="s">
        <v>1834</v>
      </c>
      <c r="BR72" s="3944"/>
      <c r="BS72" s="3921"/>
      <c r="BT72" s="3943" t="s">
        <v>21</v>
      </c>
      <c r="BU72" s="3944"/>
      <c r="BV72" s="3921"/>
      <c r="BW72" s="3943" t="s">
        <v>808</v>
      </c>
      <c r="BX72" s="3944"/>
      <c r="BY72" s="3921"/>
      <c r="BZ72" s="3943" t="s">
        <v>2048</v>
      </c>
      <c r="CA72" s="3944"/>
      <c r="CB72" s="3921"/>
      <c r="CC72" s="3943" t="s">
        <v>230</v>
      </c>
      <c r="CD72" s="3944"/>
      <c r="CE72" s="3921"/>
      <c r="CF72" s="3943" t="s">
        <v>2156</v>
      </c>
      <c r="CG72" s="3944"/>
      <c r="CH72" s="3921"/>
      <c r="CI72" s="3943" t="s">
        <v>3661</v>
      </c>
      <c r="CJ72" s="3944"/>
      <c r="CK72" s="3921"/>
      <c r="CL72" s="3921"/>
      <c r="CM72" s="3921"/>
    </row>
    <row r="73" spans="1:91" ht="30">
      <c r="A73" s="478"/>
      <c r="B73" s="3896" t="s">
        <v>813</v>
      </c>
      <c r="C73" s="3897" t="s">
        <v>997</v>
      </c>
      <c r="D73" s="3984" t="s">
        <v>813</v>
      </c>
      <c r="E73" s="3899" t="s">
        <v>602</v>
      </c>
      <c r="F73" s="3897" t="s">
        <v>997</v>
      </c>
      <c r="G73" s="3985" t="s">
        <v>602</v>
      </c>
      <c r="H73" s="3901">
        <v>20</v>
      </c>
      <c r="I73" s="3897" t="s">
        <v>997</v>
      </c>
      <c r="J73" s="3985">
        <v>20</v>
      </c>
      <c r="K73" s="3901">
        <v>46</v>
      </c>
      <c r="L73" s="3897" t="s">
        <v>997</v>
      </c>
      <c r="M73" s="3986">
        <v>46</v>
      </c>
      <c r="N73" s="478"/>
      <c r="O73" s="3896" t="s">
        <v>813</v>
      </c>
      <c r="P73" s="3897" t="s">
        <v>997</v>
      </c>
      <c r="Q73" s="3987" t="s">
        <v>813</v>
      </c>
      <c r="R73" s="3899" t="s">
        <v>602</v>
      </c>
      <c r="S73" s="3897" t="s">
        <v>997</v>
      </c>
      <c r="T73" s="3988" t="s">
        <v>602</v>
      </c>
      <c r="U73" s="3901">
        <v>20</v>
      </c>
      <c r="V73" s="3897" t="s">
        <v>997</v>
      </c>
      <c r="W73" s="3987">
        <v>20</v>
      </c>
      <c r="X73" s="3901">
        <v>46</v>
      </c>
      <c r="Y73" s="3897" t="s">
        <v>997</v>
      </c>
      <c r="Z73" s="3989">
        <v>46</v>
      </c>
      <c r="AA73" s="478"/>
      <c r="AB73" s="478"/>
      <c r="AC73" s="478"/>
      <c r="AG73" s="4002" t="s">
        <v>44</v>
      </c>
      <c r="AI73" s="4003" t="s">
        <v>678</v>
      </c>
      <c r="AJ73" s="3992"/>
      <c r="AK73" s="3996" t="s">
        <v>44</v>
      </c>
      <c r="AM73" s="3997" t="s">
        <v>677</v>
      </c>
      <c r="AO73" s="4004" t="s">
        <v>678</v>
      </c>
      <c r="AQ73" s="3999" t="s">
        <v>44</v>
      </c>
      <c r="AS73" s="4000" t="s">
        <v>44</v>
      </c>
      <c r="AU73" s="4001" t="s">
        <v>44</v>
      </c>
      <c r="BD73" s="7105"/>
      <c r="BE73" s="3947" t="s">
        <v>3657</v>
      </c>
      <c r="BF73" s="3948"/>
      <c r="BG73" s="3921"/>
      <c r="BH73" s="3947" t="s">
        <v>3630</v>
      </c>
      <c r="BI73" s="3948"/>
      <c r="BJ73" s="3921"/>
      <c r="BK73" s="3947" t="s">
        <v>1326</v>
      </c>
      <c r="BL73" s="3948"/>
      <c r="BM73" s="3921"/>
      <c r="BN73" s="3947" t="s">
        <v>3572</v>
      </c>
      <c r="BO73" s="3948"/>
      <c r="BP73" s="3921"/>
      <c r="BQ73" s="3947" t="s">
        <v>3628</v>
      </c>
      <c r="BR73" s="3948"/>
      <c r="BS73" s="3921"/>
      <c r="BT73" s="3947" t="s">
        <v>3556</v>
      </c>
      <c r="BU73" s="3948"/>
      <c r="BV73" s="3921"/>
      <c r="BW73" s="3947" t="s">
        <v>3595</v>
      </c>
      <c r="BX73" s="3948"/>
      <c r="BY73" s="3921"/>
      <c r="BZ73" s="3947" t="s">
        <v>3662</v>
      </c>
      <c r="CA73" s="3948"/>
      <c r="CB73" s="3921"/>
      <c r="CC73" s="3947" t="s">
        <v>3631</v>
      </c>
      <c r="CD73" s="3948"/>
      <c r="CE73" s="3921"/>
      <c r="CF73" s="3947" t="s">
        <v>2882</v>
      </c>
      <c r="CG73" s="3948"/>
      <c r="CH73" s="3921"/>
      <c r="CI73" s="3947" t="s">
        <v>1984</v>
      </c>
      <c r="CJ73" s="3948"/>
      <c r="CK73" s="3921"/>
      <c r="CL73" s="3921"/>
      <c r="CM73" s="3921"/>
    </row>
    <row r="74" spans="1:91" ht="23.25">
      <c r="A74" s="478"/>
      <c r="B74" s="3896" t="s">
        <v>814</v>
      </c>
      <c r="C74" s="3897" t="s">
        <v>997</v>
      </c>
      <c r="D74" s="3984" t="s">
        <v>814</v>
      </c>
      <c r="E74" s="3899" t="s">
        <v>594</v>
      </c>
      <c r="F74" s="3897" t="s">
        <v>997</v>
      </c>
      <c r="G74" s="3985" t="s">
        <v>594</v>
      </c>
      <c r="H74" s="3901">
        <v>21</v>
      </c>
      <c r="I74" s="3897" t="s">
        <v>997</v>
      </c>
      <c r="J74" s="3985">
        <v>21</v>
      </c>
      <c r="K74" s="3901">
        <v>47</v>
      </c>
      <c r="L74" s="3897" t="s">
        <v>997</v>
      </c>
      <c r="M74" s="3986">
        <v>47</v>
      </c>
      <c r="N74" s="478"/>
      <c r="O74" s="3896" t="s">
        <v>814</v>
      </c>
      <c r="P74" s="3897" t="s">
        <v>997</v>
      </c>
      <c r="Q74" s="3987" t="s">
        <v>814</v>
      </c>
      <c r="R74" s="3899" t="s">
        <v>594</v>
      </c>
      <c r="S74" s="3897" t="s">
        <v>997</v>
      </c>
      <c r="T74" s="3988" t="s">
        <v>594</v>
      </c>
      <c r="U74" s="3901">
        <v>21</v>
      </c>
      <c r="V74" s="3897" t="s">
        <v>997</v>
      </c>
      <c r="W74" s="3987">
        <v>21</v>
      </c>
      <c r="X74" s="3901">
        <v>47</v>
      </c>
      <c r="Y74" s="3897" t="s">
        <v>997</v>
      </c>
      <c r="Z74" s="3989">
        <v>47</v>
      </c>
      <c r="AA74" s="478"/>
      <c r="AB74" s="478"/>
      <c r="AC74" s="478"/>
      <c r="AG74" s="4005" t="s">
        <v>46</v>
      </c>
      <c r="AI74" s="4002" t="s">
        <v>677</v>
      </c>
      <c r="AJ74" s="3992"/>
      <c r="AK74" s="3996" t="s">
        <v>46</v>
      </c>
      <c r="AM74" s="3997" t="s">
        <v>678</v>
      </c>
      <c r="AO74" s="4004"/>
      <c r="AQ74" s="3999" t="s">
        <v>46</v>
      </c>
      <c r="AS74" s="4000" t="s">
        <v>46</v>
      </c>
      <c r="AU74" s="4001" t="s">
        <v>46</v>
      </c>
      <c r="BE74" s="3949"/>
      <c r="BF74" s="3949"/>
      <c r="BG74" s="3949"/>
      <c r="BH74" s="3949"/>
      <c r="BI74" s="3949"/>
      <c r="BJ74" s="3949"/>
      <c r="BK74" s="3949"/>
      <c r="BL74" s="3949"/>
      <c r="BM74" s="3949"/>
      <c r="BN74" s="3949"/>
      <c r="BO74" s="3949"/>
      <c r="BP74" s="3949"/>
      <c r="BQ74" s="3949"/>
      <c r="BR74" s="3949"/>
      <c r="BS74" s="3949"/>
      <c r="BT74" s="3949"/>
      <c r="BU74" s="3949"/>
      <c r="BV74" s="3949"/>
      <c r="BW74" s="3949"/>
      <c r="BX74" s="3949"/>
      <c r="BY74" s="3949"/>
      <c r="BZ74" s="3949"/>
      <c r="CA74" s="3949"/>
      <c r="CB74" s="3949"/>
      <c r="CC74" s="3949"/>
      <c r="CD74" s="3949"/>
      <c r="CE74" s="3949"/>
      <c r="CF74" s="3949"/>
      <c r="CG74" s="3949"/>
      <c r="CH74" s="3949"/>
      <c r="CI74" s="3949"/>
      <c r="CJ74" s="3949"/>
      <c r="CK74" s="3949"/>
      <c r="CL74" s="3949"/>
      <c r="CM74" s="3949"/>
    </row>
    <row r="75" spans="1:91" ht="23.25">
      <c r="A75" s="478"/>
      <c r="B75" s="3896" t="s">
        <v>1834</v>
      </c>
      <c r="C75" s="3897" t="s">
        <v>997</v>
      </c>
      <c r="D75" s="3984" t="s">
        <v>1834</v>
      </c>
      <c r="E75" s="3899" t="s">
        <v>3628</v>
      </c>
      <c r="F75" s="3897" t="s">
        <v>997</v>
      </c>
      <c r="G75" s="3985" t="s">
        <v>3628</v>
      </c>
      <c r="H75" s="3901">
        <v>22</v>
      </c>
      <c r="I75" s="3897" t="s">
        <v>997</v>
      </c>
      <c r="J75" s="3985">
        <v>22</v>
      </c>
      <c r="K75" s="3901">
        <v>48</v>
      </c>
      <c r="L75" s="3897" t="s">
        <v>997</v>
      </c>
      <c r="M75" s="3986">
        <v>48</v>
      </c>
      <c r="N75" s="478"/>
      <c r="O75" s="3896" t="s">
        <v>1834</v>
      </c>
      <c r="P75" s="3897" t="s">
        <v>997</v>
      </c>
      <c r="Q75" s="3987" t="s">
        <v>1834</v>
      </c>
      <c r="R75" s="3899" t="s">
        <v>3628</v>
      </c>
      <c r="S75" s="3897" t="s">
        <v>997</v>
      </c>
      <c r="T75" s="3988" t="s">
        <v>3628</v>
      </c>
      <c r="U75" s="3901">
        <v>22</v>
      </c>
      <c r="V75" s="3897" t="s">
        <v>997</v>
      </c>
      <c r="W75" s="3987">
        <v>22</v>
      </c>
      <c r="X75" s="3901">
        <v>48</v>
      </c>
      <c r="Y75" s="3897" t="s">
        <v>997</v>
      </c>
      <c r="Z75" s="3989">
        <v>48</v>
      </c>
      <c r="AA75" s="478"/>
      <c r="AB75" s="478"/>
      <c r="AC75" s="478"/>
      <c r="AG75" s="4006" t="s">
        <v>457</v>
      </c>
      <c r="AI75" s="4003" t="s">
        <v>676</v>
      </c>
      <c r="AJ75" s="3992"/>
      <c r="AK75" s="3996" t="s">
        <v>457</v>
      </c>
      <c r="AM75" s="3997" t="s">
        <v>676</v>
      </c>
      <c r="AO75" s="4007" t="s">
        <v>677</v>
      </c>
      <c r="AQ75" s="3999" t="s">
        <v>457</v>
      </c>
      <c r="AS75" s="4000" t="s">
        <v>457</v>
      </c>
      <c r="AU75" s="4001" t="s">
        <v>457</v>
      </c>
      <c r="BE75" s="3949"/>
      <c r="BF75" s="3949"/>
      <c r="BG75" s="3949"/>
      <c r="BH75" s="3949"/>
      <c r="BI75" s="3949"/>
      <c r="BJ75" s="3949"/>
      <c r="BK75" s="3949"/>
      <c r="BL75" s="3949"/>
      <c r="BM75" s="3949"/>
      <c r="BN75" s="3949"/>
      <c r="BO75" s="3949"/>
      <c r="BP75" s="3949"/>
      <c r="BQ75" s="3949"/>
      <c r="BR75" s="3949"/>
      <c r="BS75" s="3949"/>
      <c r="BT75" s="3949"/>
      <c r="BU75" s="3949"/>
      <c r="BV75" s="3949"/>
      <c r="BW75" s="3949"/>
      <c r="BX75" s="3949"/>
      <c r="BY75" s="3949"/>
      <c r="BZ75" s="3949"/>
      <c r="CA75" s="3949"/>
      <c r="CB75" s="3949"/>
      <c r="CC75" s="3949"/>
      <c r="CD75" s="3949"/>
      <c r="CE75" s="3949"/>
      <c r="CF75" s="3949"/>
      <c r="CG75" s="3949"/>
      <c r="CH75" s="3949"/>
      <c r="CI75" s="3949"/>
      <c r="CJ75" s="3949"/>
      <c r="CK75" s="3949"/>
      <c r="CL75" s="3949"/>
      <c r="CM75" s="3949"/>
    </row>
    <row r="76" spans="1:91" ht="23.25">
      <c r="A76" s="478"/>
      <c r="B76" s="3896" t="s">
        <v>3629</v>
      </c>
      <c r="C76" s="3897" t="s">
        <v>997</v>
      </c>
      <c r="D76" s="3984" t="s">
        <v>3629</v>
      </c>
      <c r="E76" s="3899" t="s">
        <v>3630</v>
      </c>
      <c r="F76" s="3897" t="s">
        <v>997</v>
      </c>
      <c r="G76" s="3985" t="s">
        <v>3630</v>
      </c>
      <c r="H76" s="3901">
        <v>23</v>
      </c>
      <c r="I76" s="3897" t="s">
        <v>997</v>
      </c>
      <c r="J76" s="3985">
        <v>23</v>
      </c>
      <c r="K76" s="3901">
        <v>49</v>
      </c>
      <c r="L76" s="3897" t="s">
        <v>997</v>
      </c>
      <c r="M76" s="3986">
        <v>49</v>
      </c>
      <c r="N76" s="478"/>
      <c r="O76" s="3896" t="s">
        <v>3629</v>
      </c>
      <c r="P76" s="3897" t="s">
        <v>997</v>
      </c>
      <c r="Q76" s="3987" t="s">
        <v>3629</v>
      </c>
      <c r="R76" s="3899" t="s">
        <v>3630</v>
      </c>
      <c r="S76" s="3897" t="s">
        <v>997</v>
      </c>
      <c r="T76" s="3988" t="s">
        <v>3630</v>
      </c>
      <c r="U76" s="3901">
        <v>23</v>
      </c>
      <c r="V76" s="3897" t="s">
        <v>997</v>
      </c>
      <c r="W76" s="3987">
        <v>23</v>
      </c>
      <c r="X76" s="3901">
        <v>49</v>
      </c>
      <c r="Y76" s="3897" t="s">
        <v>997</v>
      </c>
      <c r="Z76" s="3989">
        <v>49</v>
      </c>
      <c r="AA76" s="478"/>
      <c r="AB76" s="478"/>
      <c r="AC76" s="478"/>
      <c r="AG76" s="4008" t="s">
        <v>469</v>
      </c>
      <c r="AI76" s="4003" t="s">
        <v>675</v>
      </c>
      <c r="AJ76" s="3992"/>
      <c r="AK76" s="3996" t="s">
        <v>469</v>
      </c>
      <c r="AM76" s="3997" t="s">
        <v>675</v>
      </c>
      <c r="AO76" s="4009" t="s">
        <v>676</v>
      </c>
      <c r="AQ76" s="3999" t="s">
        <v>469</v>
      </c>
      <c r="AS76" s="4000" t="s">
        <v>469</v>
      </c>
      <c r="AU76" s="4001" t="s">
        <v>469</v>
      </c>
      <c r="BE76" s="3949"/>
      <c r="BF76" s="3949"/>
      <c r="BG76" s="3949"/>
      <c r="BH76" s="3949"/>
      <c r="BI76" s="3949"/>
      <c r="BJ76" s="3949"/>
      <c r="BK76" s="3949"/>
      <c r="BL76" s="3949"/>
      <c r="BM76" s="3949"/>
      <c r="BN76" s="3949"/>
      <c r="BO76" s="3949"/>
      <c r="BP76" s="3949"/>
      <c r="BQ76" s="3949"/>
      <c r="BR76" s="3949"/>
      <c r="BS76" s="3949"/>
      <c r="BT76" s="3949"/>
      <c r="BU76" s="3949"/>
      <c r="BV76" s="3949"/>
      <c r="BW76" s="3949"/>
      <c r="BX76" s="3949"/>
      <c r="BY76" s="3949"/>
      <c r="BZ76" s="3949"/>
      <c r="CA76" s="3949"/>
      <c r="CB76" s="3949"/>
      <c r="CC76" s="3949"/>
      <c r="CD76" s="3949"/>
      <c r="CE76" s="3949"/>
      <c r="CF76" s="3949"/>
      <c r="CG76" s="3949"/>
      <c r="CH76" s="3949"/>
      <c r="CI76" s="3949"/>
      <c r="CJ76" s="3949"/>
      <c r="CK76" s="3949"/>
      <c r="CL76" s="3949"/>
      <c r="CM76" s="3949"/>
    </row>
    <row r="77" spans="1:91" ht="23.25">
      <c r="A77" s="478"/>
      <c r="B77" s="3896" t="s">
        <v>603</v>
      </c>
      <c r="C77" s="3897" t="s">
        <v>997</v>
      </c>
      <c r="D77" s="3984" t="s">
        <v>603</v>
      </c>
      <c r="E77" s="3899" t="s">
        <v>1326</v>
      </c>
      <c r="F77" s="3897" t="s">
        <v>997</v>
      </c>
      <c r="G77" s="3985" t="s">
        <v>1326</v>
      </c>
      <c r="H77" s="3901">
        <v>24</v>
      </c>
      <c r="I77" s="3897" t="s">
        <v>997</v>
      </c>
      <c r="J77" s="3985">
        <v>24</v>
      </c>
      <c r="K77" s="3901">
        <v>50</v>
      </c>
      <c r="L77" s="3897" t="s">
        <v>997</v>
      </c>
      <c r="M77" s="3986">
        <v>50</v>
      </c>
      <c r="N77" s="478"/>
      <c r="O77" s="3896" t="s">
        <v>603</v>
      </c>
      <c r="P77" s="3897" t="s">
        <v>997</v>
      </c>
      <c r="Q77" s="3987" t="s">
        <v>603</v>
      </c>
      <c r="R77" s="3899" t="s">
        <v>1326</v>
      </c>
      <c r="S77" s="3897" t="s">
        <v>997</v>
      </c>
      <c r="T77" s="3988" t="s">
        <v>1326</v>
      </c>
      <c r="U77" s="3901">
        <v>24</v>
      </c>
      <c r="V77" s="3897" t="s">
        <v>997</v>
      </c>
      <c r="W77" s="3987">
        <v>24</v>
      </c>
      <c r="X77" s="3901">
        <v>50</v>
      </c>
      <c r="Y77" s="3897" t="s">
        <v>997</v>
      </c>
      <c r="Z77" s="3989">
        <v>50</v>
      </c>
      <c r="AA77" s="478"/>
      <c r="AB77" s="478"/>
      <c r="AC77" s="478"/>
      <c r="AG77" s="4010" t="s">
        <v>464</v>
      </c>
      <c r="AI77" s="4003" t="s">
        <v>674</v>
      </c>
      <c r="AJ77" s="3992"/>
      <c r="AK77" s="3996" t="s">
        <v>464</v>
      </c>
      <c r="AM77" s="3997" t="s">
        <v>674</v>
      </c>
      <c r="AO77" s="4011" t="s">
        <v>675</v>
      </c>
      <c r="AQ77" s="3999" t="s">
        <v>464</v>
      </c>
      <c r="AS77" s="4000" t="s">
        <v>464</v>
      </c>
      <c r="AU77" s="4001" t="s">
        <v>464</v>
      </c>
      <c r="BE77" s="3949"/>
      <c r="BF77" s="3949"/>
      <c r="BG77" s="3949"/>
      <c r="BH77" s="3949"/>
      <c r="BI77" s="3949"/>
      <c r="BJ77" s="3949"/>
      <c r="BK77" s="3949"/>
      <c r="BL77" s="3949"/>
      <c r="BM77" s="3949"/>
      <c r="BN77" s="3949"/>
      <c r="BO77" s="3949"/>
      <c r="BP77" s="3949"/>
      <c r="BQ77" s="3949"/>
      <c r="BR77" s="3949"/>
      <c r="BS77" s="3949"/>
      <c r="BT77" s="3949"/>
      <c r="BU77" s="3949"/>
      <c r="BV77" s="3949"/>
      <c r="BW77" s="3949"/>
      <c r="BX77" s="3949"/>
      <c r="BY77" s="3949"/>
      <c r="BZ77" s="3949"/>
      <c r="CA77" s="3949"/>
      <c r="CB77" s="3949"/>
      <c r="CC77" s="3949"/>
      <c r="CD77" s="3949"/>
      <c r="CE77" s="3949"/>
      <c r="CF77" s="3949"/>
      <c r="CG77" s="3949"/>
      <c r="CH77" s="3949"/>
      <c r="CI77" s="3949"/>
      <c r="CJ77" s="3949"/>
      <c r="CK77" s="3949"/>
      <c r="CL77" s="3949"/>
      <c r="CM77" s="3949"/>
    </row>
    <row r="78" spans="1:91" ht="23.25">
      <c r="A78" s="478"/>
      <c r="B78" s="3896" t="s">
        <v>3621</v>
      </c>
      <c r="C78" s="3897" t="s">
        <v>997</v>
      </c>
      <c r="D78" s="3984" t="s">
        <v>3621</v>
      </c>
      <c r="E78" s="3899" t="s">
        <v>3626</v>
      </c>
      <c r="F78" s="3897" t="s">
        <v>997</v>
      </c>
      <c r="G78" s="3985" t="s">
        <v>3626</v>
      </c>
      <c r="H78" s="3901">
        <v>25</v>
      </c>
      <c r="I78" s="3897" t="s">
        <v>997</v>
      </c>
      <c r="J78" s="3985">
        <v>25</v>
      </c>
      <c r="K78" s="3901">
        <v>51</v>
      </c>
      <c r="L78" s="3897" t="s">
        <v>997</v>
      </c>
      <c r="M78" s="3986">
        <v>51</v>
      </c>
      <c r="N78" s="478"/>
      <c r="O78" s="3896" t="s">
        <v>3621</v>
      </c>
      <c r="P78" s="3897" t="s">
        <v>997</v>
      </c>
      <c r="Q78" s="3987" t="s">
        <v>3621</v>
      </c>
      <c r="R78" s="3899" t="s">
        <v>3626</v>
      </c>
      <c r="S78" s="3897" t="s">
        <v>997</v>
      </c>
      <c r="T78" s="3988" t="s">
        <v>3626</v>
      </c>
      <c r="U78" s="3901">
        <v>25</v>
      </c>
      <c r="V78" s="3897" t="s">
        <v>997</v>
      </c>
      <c r="W78" s="3987">
        <v>25</v>
      </c>
      <c r="X78" s="3901">
        <v>51</v>
      </c>
      <c r="Y78" s="3897" t="s">
        <v>997</v>
      </c>
      <c r="Z78" s="3989">
        <v>51</v>
      </c>
      <c r="AA78" s="478"/>
      <c r="AB78" s="478"/>
      <c r="AC78" s="478"/>
      <c r="AG78" s="4012" t="s">
        <v>461</v>
      </c>
      <c r="AI78" s="4003" t="s">
        <v>673</v>
      </c>
      <c r="AJ78" s="3992"/>
      <c r="AK78" s="3996" t="s">
        <v>461</v>
      </c>
      <c r="AM78" s="3997" t="s">
        <v>673</v>
      </c>
      <c r="AO78" s="4013" t="s">
        <v>674</v>
      </c>
      <c r="AQ78" s="3999" t="s">
        <v>461</v>
      </c>
      <c r="AS78" s="4000" t="s">
        <v>461</v>
      </c>
      <c r="AU78" s="4001" t="s">
        <v>461</v>
      </c>
      <c r="BE78" s="3949"/>
      <c r="BF78" s="3949"/>
      <c r="BG78" s="3949"/>
      <c r="BH78" s="3949"/>
      <c r="BI78" s="3949"/>
      <c r="BJ78" s="3949"/>
      <c r="BK78" s="3949"/>
      <c r="BL78" s="3949"/>
      <c r="BM78" s="3949"/>
      <c r="BN78" s="3949"/>
      <c r="BO78" s="3949"/>
      <c r="BP78" s="3949"/>
      <c r="BQ78" s="3949"/>
      <c r="BR78" s="3949"/>
      <c r="BS78" s="3949"/>
      <c r="BT78" s="3949"/>
      <c r="BU78" s="3949"/>
      <c r="BV78" s="3949"/>
      <c r="BW78" s="3949"/>
      <c r="BX78" s="3949"/>
      <c r="BY78" s="3949"/>
      <c r="BZ78" s="3949"/>
      <c r="CA78" s="3949"/>
      <c r="CB78" s="3949"/>
      <c r="CC78" s="3949"/>
      <c r="CD78" s="3949"/>
      <c r="CE78" s="3949"/>
      <c r="CF78" s="3949"/>
      <c r="CG78" s="3949"/>
      <c r="CH78" s="3949"/>
      <c r="CI78" s="3949"/>
      <c r="CJ78" s="3949"/>
      <c r="CK78" s="3949"/>
      <c r="CL78" s="3949"/>
      <c r="CM78" s="3949"/>
    </row>
    <row r="79" spans="1:91" ht="23.25">
      <c r="A79" s="478"/>
      <c r="B79" s="3896" t="s">
        <v>597</v>
      </c>
      <c r="C79" s="3897" t="s">
        <v>997</v>
      </c>
      <c r="D79" s="3984" t="s">
        <v>597</v>
      </c>
      <c r="E79" s="3899" t="s">
        <v>3625</v>
      </c>
      <c r="F79" s="3897" t="s">
        <v>997</v>
      </c>
      <c r="G79" s="3985" t="s">
        <v>3625</v>
      </c>
      <c r="H79" s="3901">
        <v>26</v>
      </c>
      <c r="I79" s="3897" t="s">
        <v>997</v>
      </c>
      <c r="J79" s="3985">
        <v>26</v>
      </c>
      <c r="K79" s="3901">
        <v>52</v>
      </c>
      <c r="L79" s="3897" t="s">
        <v>997</v>
      </c>
      <c r="M79" s="3986">
        <v>52</v>
      </c>
      <c r="N79" s="478"/>
      <c r="O79" s="3896" t="s">
        <v>597</v>
      </c>
      <c r="P79" s="3897" t="s">
        <v>997</v>
      </c>
      <c r="Q79" s="3987" t="s">
        <v>597</v>
      </c>
      <c r="R79" s="3899" t="s">
        <v>3625</v>
      </c>
      <c r="S79" s="3897" t="s">
        <v>997</v>
      </c>
      <c r="T79" s="3988" t="s">
        <v>3625</v>
      </c>
      <c r="U79" s="3901">
        <v>26</v>
      </c>
      <c r="V79" s="3897" t="s">
        <v>997</v>
      </c>
      <c r="W79" s="3987">
        <v>26</v>
      </c>
      <c r="X79" s="3901">
        <v>52</v>
      </c>
      <c r="Y79" s="3897" t="s">
        <v>997</v>
      </c>
      <c r="Z79" s="3989">
        <v>52</v>
      </c>
      <c r="AA79" s="478"/>
      <c r="AB79" s="478"/>
      <c r="AC79" s="478"/>
      <c r="AG79" s="4014" t="s">
        <v>455</v>
      </c>
      <c r="AI79" s="4003" t="s">
        <v>672</v>
      </c>
      <c r="AJ79" s="3992"/>
      <c r="AK79" s="3996" t="s">
        <v>455</v>
      </c>
      <c r="AM79" s="3997" t="s">
        <v>672</v>
      </c>
      <c r="AO79" s="4015" t="s">
        <v>673</v>
      </c>
      <c r="AQ79" s="3999" t="s">
        <v>455</v>
      </c>
      <c r="AS79" s="4000" t="s">
        <v>455</v>
      </c>
      <c r="AU79" s="4001" t="s">
        <v>455</v>
      </c>
      <c r="BE79" s="3949"/>
      <c r="BF79" s="3949"/>
      <c r="BG79" s="3949"/>
      <c r="BH79" s="3949"/>
      <c r="BI79" s="3949"/>
      <c r="BJ79" s="3949"/>
      <c r="BK79" s="3949"/>
      <c r="BL79" s="3949"/>
      <c r="BM79" s="3949"/>
      <c r="BN79" s="3949"/>
      <c r="BO79" s="3949"/>
      <c r="BP79" s="3949"/>
      <c r="BQ79" s="3949"/>
      <c r="BR79" s="3949"/>
      <c r="BS79" s="3949"/>
      <c r="BT79" s="3949"/>
      <c r="BU79" s="3949"/>
      <c r="BV79" s="3949"/>
      <c r="BW79" s="3949"/>
      <c r="BX79" s="3949"/>
      <c r="BY79" s="3949"/>
      <c r="BZ79" s="3949"/>
      <c r="CA79" s="3949"/>
      <c r="CB79" s="3949"/>
      <c r="CC79" s="3949"/>
      <c r="CD79" s="3949"/>
      <c r="CE79" s="3949"/>
      <c r="CF79" s="3949"/>
      <c r="CG79" s="3949"/>
      <c r="CH79" s="3949"/>
      <c r="CI79" s="3949"/>
      <c r="CJ79" s="3949"/>
      <c r="CK79" s="3949"/>
      <c r="CL79" s="3949"/>
      <c r="CM79" s="3949"/>
    </row>
    <row r="80" spans="1:91" ht="23.25">
      <c r="A80" s="478"/>
      <c r="B80" s="3896" t="s">
        <v>682</v>
      </c>
      <c r="C80" s="3897" t="s">
        <v>997</v>
      </c>
      <c r="D80" s="3984" t="s">
        <v>682</v>
      </c>
      <c r="E80" s="3899" t="s">
        <v>2010</v>
      </c>
      <c r="F80" s="3897" t="s">
        <v>997</v>
      </c>
      <c r="G80" s="3985" t="s">
        <v>2010</v>
      </c>
      <c r="H80" s="3901" t="s">
        <v>3623</v>
      </c>
      <c r="I80" s="3897" t="s">
        <v>997</v>
      </c>
      <c r="J80" s="3984" t="s">
        <v>3623</v>
      </c>
      <c r="K80" s="3901" t="s">
        <v>3631</v>
      </c>
      <c r="L80" s="3897" t="s">
        <v>997</v>
      </c>
      <c r="M80" s="3986" t="s">
        <v>3631</v>
      </c>
      <c r="N80" s="478"/>
      <c r="O80" s="3896" t="s">
        <v>682</v>
      </c>
      <c r="P80" s="3897" t="s">
        <v>997</v>
      </c>
      <c r="Q80" s="3987" t="s">
        <v>682</v>
      </c>
      <c r="R80" s="3899" t="s">
        <v>2010</v>
      </c>
      <c r="S80" s="3897" t="s">
        <v>997</v>
      </c>
      <c r="T80" s="3988" t="s">
        <v>2010</v>
      </c>
      <c r="U80" s="3901" t="s">
        <v>3623</v>
      </c>
      <c r="V80" s="3897" t="s">
        <v>997</v>
      </c>
      <c r="W80" s="3987" t="s">
        <v>3623</v>
      </c>
      <c r="X80" s="3901" t="s">
        <v>3631</v>
      </c>
      <c r="Y80" s="3897" t="s">
        <v>997</v>
      </c>
      <c r="Z80" s="3989" t="s">
        <v>3631</v>
      </c>
      <c r="AA80" s="478"/>
      <c r="AB80" s="478"/>
      <c r="AC80" s="478"/>
      <c r="AG80" s="4016" t="s">
        <v>467</v>
      </c>
      <c r="AI80" s="4003" t="s">
        <v>670</v>
      </c>
      <c r="AJ80" s="3992"/>
      <c r="AK80" s="3996" t="s">
        <v>467</v>
      </c>
      <c r="AM80" s="3997" t="s">
        <v>670</v>
      </c>
      <c r="AO80" s="4017" t="s">
        <v>672</v>
      </c>
      <c r="AQ80" s="3999" t="s">
        <v>467</v>
      </c>
      <c r="AS80" s="4000" t="s">
        <v>467</v>
      </c>
      <c r="AU80" s="4001" t="s">
        <v>467</v>
      </c>
      <c r="BE80" s="3949"/>
      <c r="BF80" s="3949"/>
      <c r="BG80" s="3949"/>
      <c r="BH80" s="3949"/>
      <c r="BI80" s="3949"/>
      <c r="BJ80" s="3949"/>
      <c r="BK80" s="3949"/>
      <c r="BL80" s="3949"/>
      <c r="BM80" s="3949"/>
      <c r="BN80" s="3949"/>
      <c r="BO80" s="3949"/>
      <c r="BP80" s="3949"/>
      <c r="BQ80" s="3949"/>
      <c r="BR80" s="3949"/>
      <c r="BS80" s="3949"/>
      <c r="BT80" s="3949"/>
      <c r="BU80" s="3949"/>
      <c r="BV80" s="3949"/>
      <c r="BW80" s="3949"/>
      <c r="BX80" s="3949"/>
      <c r="BY80" s="3949"/>
      <c r="BZ80" s="3949"/>
      <c r="CA80" s="3949"/>
      <c r="CB80" s="3949"/>
      <c r="CC80" s="3949"/>
      <c r="CD80" s="3949"/>
      <c r="CE80" s="3949"/>
      <c r="CF80" s="3949"/>
      <c r="CG80" s="3949"/>
      <c r="CH80" s="3949"/>
      <c r="CI80" s="3949"/>
      <c r="CJ80" s="3949"/>
      <c r="CK80" s="3949"/>
      <c r="CL80" s="3949"/>
      <c r="CM80" s="3949"/>
    </row>
    <row r="81" spans="1:91" ht="23.25">
      <c r="A81" s="478"/>
      <c r="B81" s="3896" t="s">
        <v>3557</v>
      </c>
      <c r="C81" s="3897" t="s">
        <v>997</v>
      </c>
      <c r="D81" s="3984" t="s">
        <v>3557</v>
      </c>
      <c r="E81" s="3899" t="s">
        <v>2008</v>
      </c>
      <c r="F81" s="3897" t="s">
        <v>997</v>
      </c>
      <c r="G81" s="3985" t="s">
        <v>2008</v>
      </c>
      <c r="H81" s="3901" t="s">
        <v>78</v>
      </c>
      <c r="I81" s="3897" t="s">
        <v>997</v>
      </c>
      <c r="J81" s="3984" t="s">
        <v>78</v>
      </c>
      <c r="K81" s="3901" t="s">
        <v>2882</v>
      </c>
      <c r="L81" s="3897" t="s">
        <v>997</v>
      </c>
      <c r="M81" s="3986" t="s">
        <v>2882</v>
      </c>
      <c r="N81" s="478"/>
      <c r="O81" s="3896" t="s">
        <v>3557</v>
      </c>
      <c r="P81" s="3897" t="s">
        <v>997</v>
      </c>
      <c r="Q81" s="3987" t="s">
        <v>3557</v>
      </c>
      <c r="R81" s="3899" t="s">
        <v>2008</v>
      </c>
      <c r="S81" s="3897" t="s">
        <v>997</v>
      </c>
      <c r="T81" s="3988" t="s">
        <v>2008</v>
      </c>
      <c r="U81" s="3901" t="s">
        <v>78</v>
      </c>
      <c r="V81" s="3897" t="s">
        <v>997</v>
      </c>
      <c r="W81" s="3987" t="s">
        <v>78</v>
      </c>
      <c r="X81" s="3901" t="s">
        <v>2882</v>
      </c>
      <c r="Y81" s="3897" t="s">
        <v>997</v>
      </c>
      <c r="Z81" s="3989" t="s">
        <v>2882</v>
      </c>
      <c r="AA81" s="478"/>
      <c r="AB81" s="478"/>
      <c r="AC81" s="478"/>
      <c r="AG81" s="4018" t="s">
        <v>459</v>
      </c>
      <c r="AI81" s="4003" t="s">
        <v>671</v>
      </c>
      <c r="AJ81" s="3992"/>
      <c r="AK81" s="3996" t="s">
        <v>459</v>
      </c>
      <c r="AM81" s="3997" t="s">
        <v>671</v>
      </c>
      <c r="AO81" s="4019" t="s">
        <v>670</v>
      </c>
      <c r="AQ81" s="3999" t="s">
        <v>459</v>
      </c>
      <c r="AS81" s="4000" t="s">
        <v>459</v>
      </c>
      <c r="AU81" s="4001" t="s">
        <v>459</v>
      </c>
      <c r="BE81" s="3949"/>
      <c r="BF81" s="3949"/>
      <c r="BG81" s="3949"/>
      <c r="BH81" s="3949"/>
      <c r="BI81" s="3949"/>
      <c r="BJ81" s="3949"/>
      <c r="BK81" s="3949"/>
      <c r="BL81" s="3949"/>
      <c r="BM81" s="3949"/>
      <c r="BN81" s="3949"/>
      <c r="BO81" s="3949"/>
      <c r="BP81" s="3949"/>
      <c r="BQ81" s="3949"/>
      <c r="BR81" s="3949"/>
      <c r="BS81" s="3949"/>
      <c r="BT81" s="3949"/>
      <c r="BU81" s="3949"/>
      <c r="BV81" s="3949"/>
      <c r="BW81" s="3949"/>
      <c r="BX81" s="3949"/>
      <c r="BY81" s="3949"/>
      <c r="BZ81" s="3949"/>
      <c r="CA81" s="3949"/>
      <c r="CB81" s="3949"/>
      <c r="CC81" s="3949"/>
      <c r="CD81" s="3949"/>
      <c r="CE81" s="3949"/>
      <c r="CF81" s="3949"/>
      <c r="CG81" s="3949"/>
      <c r="CH81" s="3949"/>
      <c r="CI81" s="3949"/>
      <c r="CJ81" s="3949"/>
      <c r="CK81" s="3949"/>
      <c r="CL81" s="3949"/>
      <c r="CM81" s="3949"/>
    </row>
    <row r="82" spans="1:91" ht="23.25">
      <c r="A82" s="478"/>
      <c r="B82" s="3896" t="s">
        <v>3563</v>
      </c>
      <c r="C82" s="3897" t="s">
        <v>997</v>
      </c>
      <c r="D82" s="3984" t="s">
        <v>3563</v>
      </c>
      <c r="E82" s="3899" t="s">
        <v>1331</v>
      </c>
      <c r="F82" s="3897" t="s">
        <v>997</v>
      </c>
      <c r="G82" s="3985" t="s">
        <v>1331</v>
      </c>
      <c r="H82" s="3901" t="s">
        <v>1984</v>
      </c>
      <c r="I82" s="3897" t="s">
        <v>997</v>
      </c>
      <c r="J82" s="3984" t="s">
        <v>1984</v>
      </c>
      <c r="K82" s="3901" t="s">
        <v>1321</v>
      </c>
      <c r="L82" s="3897" t="s">
        <v>997</v>
      </c>
      <c r="M82" s="3986" t="s">
        <v>1321</v>
      </c>
      <c r="N82" s="478"/>
      <c r="O82" s="3896" t="s">
        <v>3563</v>
      </c>
      <c r="P82" s="3897" t="s">
        <v>997</v>
      </c>
      <c r="Q82" s="3987" t="s">
        <v>3563</v>
      </c>
      <c r="R82" s="3899" t="s">
        <v>1331</v>
      </c>
      <c r="S82" s="3897" t="s">
        <v>997</v>
      </c>
      <c r="T82" s="3988" t="s">
        <v>1331</v>
      </c>
      <c r="U82" s="3901" t="s">
        <v>1984</v>
      </c>
      <c r="V82" s="3897" t="s">
        <v>997</v>
      </c>
      <c r="W82" s="3987" t="s">
        <v>1984</v>
      </c>
      <c r="X82" s="3901" t="s">
        <v>1321</v>
      </c>
      <c r="Y82" s="3897" t="s">
        <v>997</v>
      </c>
      <c r="Z82" s="3989" t="s">
        <v>1321</v>
      </c>
      <c r="AA82" s="478"/>
      <c r="AB82" s="478"/>
      <c r="AC82" s="478"/>
      <c r="AG82" s="4020" t="s">
        <v>601</v>
      </c>
      <c r="AI82" s="4003" t="s">
        <v>669</v>
      </c>
      <c r="AJ82" s="3992"/>
      <c r="AK82" s="3996" t="s">
        <v>601</v>
      </c>
      <c r="AM82" s="3997" t="s">
        <v>669</v>
      </c>
      <c r="AO82" s="3992"/>
      <c r="AQ82" s="3999" t="s">
        <v>601</v>
      </c>
      <c r="AS82" s="4000" t="s">
        <v>601</v>
      </c>
      <c r="AU82" s="4001" t="s">
        <v>601</v>
      </c>
      <c r="BE82" s="3949"/>
      <c r="BF82" s="3949"/>
      <c r="BG82" s="3949"/>
      <c r="BH82" s="3949"/>
      <c r="BI82" s="3949"/>
      <c r="BJ82" s="3949"/>
      <c r="BK82" s="3949"/>
      <c r="BL82" s="3949"/>
      <c r="BM82" s="3949"/>
      <c r="BN82" s="3949"/>
      <c r="BO82" s="3949"/>
      <c r="BP82" s="3949"/>
      <c r="BQ82" s="3949"/>
      <c r="BR82" s="3949"/>
      <c r="BS82" s="3949"/>
      <c r="BT82" s="3949"/>
      <c r="BU82" s="3949"/>
      <c r="BV82" s="3949"/>
      <c r="BW82" s="3949"/>
      <c r="BX82" s="3949"/>
      <c r="BY82" s="3949"/>
      <c r="BZ82" s="3949"/>
      <c r="CA82" s="3949"/>
      <c r="CB82" s="3949"/>
      <c r="CC82" s="3949"/>
      <c r="CD82" s="3949"/>
      <c r="CE82" s="3949"/>
      <c r="CF82" s="3949"/>
      <c r="CG82" s="3949"/>
      <c r="CH82" s="3949"/>
      <c r="CI82" s="3949"/>
      <c r="CJ82" s="3949"/>
      <c r="CK82" s="3949"/>
      <c r="CL82" s="3949"/>
      <c r="CM82" s="3949"/>
    </row>
    <row r="83" spans="1:91" ht="23.25">
      <c r="A83" s="478"/>
      <c r="B83" s="3896" t="s">
        <v>3655</v>
      </c>
      <c r="C83" s="3897" t="s">
        <v>997</v>
      </c>
      <c r="D83" s="3984" t="s">
        <v>3655</v>
      </c>
      <c r="E83" s="3899" t="s">
        <v>1330</v>
      </c>
      <c r="F83" s="3897" t="s">
        <v>997</v>
      </c>
      <c r="G83" s="3985" t="s">
        <v>1330</v>
      </c>
      <c r="H83" s="3901" t="s">
        <v>2048</v>
      </c>
      <c r="I83" s="3897" t="s">
        <v>997</v>
      </c>
      <c r="J83" s="3984" t="s">
        <v>2048</v>
      </c>
      <c r="K83" s="3901" t="s">
        <v>230</v>
      </c>
      <c r="L83" s="3897" t="s">
        <v>997</v>
      </c>
      <c r="M83" s="3986" t="s">
        <v>230</v>
      </c>
      <c r="N83" s="478"/>
      <c r="O83" s="3896" t="s">
        <v>3655</v>
      </c>
      <c r="P83" s="3897" t="s">
        <v>997</v>
      </c>
      <c r="Q83" s="3987" t="s">
        <v>3655</v>
      </c>
      <c r="R83" s="3899" t="s">
        <v>1330</v>
      </c>
      <c r="S83" s="3897" t="s">
        <v>997</v>
      </c>
      <c r="T83" s="3988" t="s">
        <v>1330</v>
      </c>
      <c r="U83" s="3901" t="s">
        <v>2048</v>
      </c>
      <c r="V83" s="3897" t="s">
        <v>997</v>
      </c>
      <c r="W83" s="3987" t="s">
        <v>2048</v>
      </c>
      <c r="X83" s="3901" t="s">
        <v>230</v>
      </c>
      <c r="Y83" s="3897" t="s">
        <v>997</v>
      </c>
      <c r="Z83" s="3989" t="s">
        <v>230</v>
      </c>
      <c r="AA83" s="478"/>
      <c r="AB83" s="478"/>
      <c r="AC83" s="478"/>
      <c r="AG83" s="4021" t="s">
        <v>600</v>
      </c>
      <c r="AI83" s="4003" t="s">
        <v>668</v>
      </c>
      <c r="AJ83" s="3992"/>
      <c r="AK83" s="3996" t="s">
        <v>600</v>
      </c>
      <c r="AM83" s="3997" t="s">
        <v>668</v>
      </c>
      <c r="AO83" s="3992"/>
      <c r="AQ83" s="3999" t="s">
        <v>600</v>
      </c>
      <c r="AS83" s="4000" t="s">
        <v>600</v>
      </c>
      <c r="AU83" s="4001" t="s">
        <v>600</v>
      </c>
      <c r="BE83" s="3949"/>
      <c r="BF83" s="3949"/>
      <c r="BG83" s="3949"/>
      <c r="BH83" s="3949"/>
      <c r="BI83" s="3949"/>
      <c r="BJ83" s="3949"/>
      <c r="BK83" s="3949"/>
      <c r="BL83" s="3949"/>
      <c r="BM83" s="3949"/>
      <c r="BN83" s="3949"/>
      <c r="BO83" s="3949"/>
      <c r="BP83" s="3949"/>
      <c r="BQ83" s="3949"/>
      <c r="BR83" s="3949"/>
      <c r="BS83" s="3949"/>
      <c r="BT83" s="3949"/>
      <c r="BU83" s="3949"/>
      <c r="BV83" s="3949"/>
      <c r="BW83" s="3949"/>
      <c r="BX83" s="3949"/>
      <c r="BY83" s="3949"/>
      <c r="BZ83" s="3949"/>
      <c r="CA83" s="3949"/>
      <c r="CB83" s="3949"/>
      <c r="CC83" s="3949"/>
      <c r="CD83" s="3949"/>
      <c r="CE83" s="3949"/>
      <c r="CF83" s="3949"/>
      <c r="CG83" s="3949"/>
      <c r="CH83" s="3949"/>
      <c r="CI83" s="3949"/>
      <c r="CJ83" s="3949"/>
      <c r="CK83" s="3949"/>
      <c r="CL83" s="3949"/>
      <c r="CM83" s="3949"/>
    </row>
    <row r="84" spans="1:91" ht="20.25">
      <c r="A84" s="478"/>
      <c r="B84" s="3896" t="s">
        <v>3567</v>
      </c>
      <c r="C84" s="3897" t="s">
        <v>997</v>
      </c>
      <c r="D84" s="3984" t="s">
        <v>3567</v>
      </c>
      <c r="E84" s="3899" t="s">
        <v>3561</v>
      </c>
      <c r="F84" s="3897" t="s">
        <v>997</v>
      </c>
      <c r="G84" s="3985" t="s">
        <v>3561</v>
      </c>
      <c r="H84" s="3901" t="s">
        <v>3656</v>
      </c>
      <c r="I84" s="3897" t="s">
        <v>997</v>
      </c>
      <c r="J84" s="3984" t="s">
        <v>3656</v>
      </c>
      <c r="K84" s="3901" t="s">
        <v>3558</v>
      </c>
      <c r="L84" s="3897" t="s">
        <v>997</v>
      </c>
      <c r="M84" s="3986" t="s">
        <v>3558</v>
      </c>
      <c r="N84" s="478"/>
      <c r="O84" s="3896" t="s">
        <v>3567</v>
      </c>
      <c r="P84" s="3897" t="s">
        <v>997</v>
      </c>
      <c r="Q84" s="3987" t="s">
        <v>3567</v>
      </c>
      <c r="R84" s="3899" t="s">
        <v>3561</v>
      </c>
      <c r="S84" s="3897" t="s">
        <v>997</v>
      </c>
      <c r="T84" s="3988" t="s">
        <v>3561</v>
      </c>
      <c r="U84" s="3901" t="s">
        <v>3656</v>
      </c>
      <c r="V84" s="3897" t="s">
        <v>997</v>
      </c>
      <c r="W84" s="3987" t="s">
        <v>3656</v>
      </c>
      <c r="X84" s="3901" t="s">
        <v>3558</v>
      </c>
      <c r="Y84" s="3897" t="s">
        <v>997</v>
      </c>
      <c r="Z84" s="3989" t="s">
        <v>3558</v>
      </c>
      <c r="AA84" s="478"/>
      <c r="AB84" s="478"/>
      <c r="AC84" s="478"/>
      <c r="AG84" s="4022" t="s">
        <v>599</v>
      </c>
      <c r="AI84" s="4003" t="s">
        <v>667</v>
      </c>
      <c r="AJ84" s="3992"/>
      <c r="AK84" s="3996" t="s">
        <v>599</v>
      </c>
      <c r="AM84" s="3997" t="s">
        <v>667</v>
      </c>
      <c r="AO84" s="3992"/>
      <c r="AQ84" s="3999" t="s">
        <v>599</v>
      </c>
      <c r="AS84" s="4000" t="s">
        <v>599</v>
      </c>
      <c r="AU84" s="4001" t="s">
        <v>599</v>
      </c>
    </row>
    <row r="85" spans="1:91" ht="20.25">
      <c r="A85" s="478"/>
      <c r="B85" s="3896" t="s">
        <v>3569</v>
      </c>
      <c r="C85" s="3897" t="s">
        <v>997</v>
      </c>
      <c r="D85" s="3984" t="s">
        <v>3569</v>
      </c>
      <c r="E85" s="3899" t="s">
        <v>3570</v>
      </c>
      <c r="F85" s="3897" t="s">
        <v>997</v>
      </c>
      <c r="G85" s="3985" t="s">
        <v>3570</v>
      </c>
      <c r="H85" s="3901" t="s">
        <v>3657</v>
      </c>
      <c r="I85" s="3897" t="s">
        <v>997</v>
      </c>
      <c r="J85" s="3984" t="s">
        <v>3657</v>
      </c>
      <c r="K85" s="3901" t="s">
        <v>2007</v>
      </c>
      <c r="L85" s="3897" t="s">
        <v>997</v>
      </c>
      <c r="M85" s="3986" t="s">
        <v>2007</v>
      </c>
      <c r="N85" s="478"/>
      <c r="O85" s="3896" t="s">
        <v>3569</v>
      </c>
      <c r="P85" s="3897" t="s">
        <v>997</v>
      </c>
      <c r="Q85" s="3987" t="s">
        <v>3569</v>
      </c>
      <c r="R85" s="3899" t="s">
        <v>3570</v>
      </c>
      <c r="S85" s="3897" t="s">
        <v>997</v>
      </c>
      <c r="T85" s="3988" t="s">
        <v>3570</v>
      </c>
      <c r="U85" s="3901" t="s">
        <v>3657</v>
      </c>
      <c r="V85" s="3897" t="s">
        <v>997</v>
      </c>
      <c r="W85" s="3987" t="s">
        <v>3657</v>
      </c>
      <c r="X85" s="3901" t="s">
        <v>2007</v>
      </c>
      <c r="Y85" s="3897" t="s">
        <v>997</v>
      </c>
      <c r="Z85" s="3989" t="s">
        <v>2007</v>
      </c>
      <c r="AA85" s="478"/>
      <c r="AB85" s="478"/>
      <c r="AC85" s="478"/>
      <c r="AG85" s="4023" t="s">
        <v>598</v>
      </c>
      <c r="AI85" s="4003" t="s">
        <v>666</v>
      </c>
      <c r="AJ85" s="3992"/>
      <c r="AK85" s="3996" t="s">
        <v>598</v>
      </c>
      <c r="AM85" s="3997" t="s">
        <v>666</v>
      </c>
      <c r="AO85" s="3992"/>
      <c r="AQ85" s="3999" t="s">
        <v>598</v>
      </c>
      <c r="AS85" s="4000" t="s">
        <v>598</v>
      </c>
      <c r="AU85" s="4001" t="s">
        <v>598</v>
      </c>
    </row>
    <row r="86" spans="1:91" s="2045" customFormat="1" ht="20.25">
      <c r="A86" s="478"/>
      <c r="B86" s="3896" t="s">
        <v>3659</v>
      </c>
      <c r="C86" s="3897" t="s">
        <v>997</v>
      </c>
      <c r="D86" s="3984" t="s">
        <v>3659</v>
      </c>
      <c r="E86" s="3899" t="s">
        <v>3560</v>
      </c>
      <c r="F86" s="3897" t="s">
        <v>997</v>
      </c>
      <c r="G86" s="3985" t="s">
        <v>3560</v>
      </c>
      <c r="H86" s="3901" t="s">
        <v>3566</v>
      </c>
      <c r="I86" s="3897" t="s">
        <v>997</v>
      </c>
      <c r="J86" s="3984" t="s">
        <v>3566</v>
      </c>
      <c r="K86" s="3901" t="s">
        <v>3660</v>
      </c>
      <c r="L86" s="3897" t="s">
        <v>997</v>
      </c>
      <c r="M86" s="3986" t="s">
        <v>3660</v>
      </c>
      <c r="N86" s="478"/>
      <c r="O86" s="3896" t="s">
        <v>3659</v>
      </c>
      <c r="P86" s="3897" t="s">
        <v>997</v>
      </c>
      <c r="Q86" s="3987" t="s">
        <v>3659</v>
      </c>
      <c r="R86" s="3899" t="s">
        <v>3560</v>
      </c>
      <c r="S86" s="3897" t="s">
        <v>997</v>
      </c>
      <c r="T86" s="3988" t="s">
        <v>3560</v>
      </c>
      <c r="U86" s="3901" t="s">
        <v>3566</v>
      </c>
      <c r="V86" s="3897" t="s">
        <v>997</v>
      </c>
      <c r="W86" s="3987" t="s">
        <v>3566</v>
      </c>
      <c r="X86" s="3901" t="s">
        <v>3660</v>
      </c>
      <c r="Y86" s="3897" t="s">
        <v>997</v>
      </c>
      <c r="Z86" s="3989" t="s">
        <v>3660</v>
      </c>
      <c r="AA86" s="478"/>
      <c r="AB86" s="478"/>
      <c r="AC86" s="478"/>
      <c r="AG86" s="4024" t="s">
        <v>639</v>
      </c>
      <c r="AI86" s="4003" t="s">
        <v>665</v>
      </c>
      <c r="AJ86" s="3992"/>
      <c r="AK86" s="3996" t="s">
        <v>639</v>
      </c>
      <c r="AM86" s="3997" t="s">
        <v>665</v>
      </c>
      <c r="AO86" s="3992"/>
      <c r="AQ86" s="3999" t="s">
        <v>639</v>
      </c>
      <c r="AS86" s="4000" t="s">
        <v>639</v>
      </c>
      <c r="AU86" s="4001" t="s">
        <v>639</v>
      </c>
    </row>
    <row r="87" spans="1:91" s="2045" customFormat="1" ht="20.25">
      <c r="A87" s="478"/>
      <c r="B87" s="3896" t="s">
        <v>3661</v>
      </c>
      <c r="C87" s="3897" t="s">
        <v>997</v>
      </c>
      <c r="D87" s="3984" t="s">
        <v>3661</v>
      </c>
      <c r="E87" s="3899" t="s">
        <v>3571</v>
      </c>
      <c r="F87" s="3897" t="s">
        <v>997</v>
      </c>
      <c r="G87" s="3985" t="s">
        <v>3571</v>
      </c>
      <c r="H87" s="3901" t="s">
        <v>2156</v>
      </c>
      <c r="I87" s="3897" t="s">
        <v>997</v>
      </c>
      <c r="J87" s="3984" t="s">
        <v>2156</v>
      </c>
      <c r="K87" s="3901" t="s">
        <v>3662</v>
      </c>
      <c r="L87" s="3897" t="s">
        <v>997</v>
      </c>
      <c r="M87" s="3986" t="s">
        <v>3662</v>
      </c>
      <c r="N87" s="478"/>
      <c r="O87" s="3896" t="s">
        <v>3661</v>
      </c>
      <c r="P87" s="3897" t="s">
        <v>997</v>
      </c>
      <c r="Q87" s="3987" t="s">
        <v>3661</v>
      </c>
      <c r="R87" s="3899" t="s">
        <v>3571</v>
      </c>
      <c r="S87" s="3897" t="s">
        <v>997</v>
      </c>
      <c r="T87" s="3988" t="s">
        <v>3571</v>
      </c>
      <c r="U87" s="3901" t="s">
        <v>2156</v>
      </c>
      <c r="V87" s="3897" t="s">
        <v>997</v>
      </c>
      <c r="W87" s="3987" t="s">
        <v>2156</v>
      </c>
      <c r="X87" s="3901" t="s">
        <v>3662</v>
      </c>
      <c r="Y87" s="3897" t="s">
        <v>997</v>
      </c>
      <c r="Z87" s="3989" t="s">
        <v>3662</v>
      </c>
      <c r="AA87" s="478"/>
      <c r="AB87" s="478"/>
      <c r="AC87" s="478"/>
      <c r="AG87" s="4025" t="s">
        <v>638</v>
      </c>
      <c r="AI87" s="4003" t="s">
        <v>664</v>
      </c>
      <c r="AJ87" s="3992"/>
      <c r="AK87" s="3996" t="s">
        <v>638</v>
      </c>
      <c r="AM87" s="3997" t="s">
        <v>664</v>
      </c>
      <c r="AO87" s="3992"/>
      <c r="AQ87" s="3999" t="s">
        <v>638</v>
      </c>
      <c r="AS87" s="4000" t="s">
        <v>638</v>
      </c>
      <c r="AU87" s="4001" t="s">
        <v>638</v>
      </c>
    </row>
    <row r="88" spans="1:91" s="2045" customFormat="1" ht="20.25">
      <c r="A88" s="478"/>
      <c r="B88" s="3896"/>
      <c r="C88" s="3897" t="s">
        <v>997</v>
      </c>
      <c r="D88" s="3984"/>
      <c r="E88" s="3899" t="s">
        <v>3562</v>
      </c>
      <c r="F88" s="3897" t="s">
        <v>997</v>
      </c>
      <c r="G88" s="3985" t="s">
        <v>3562</v>
      </c>
      <c r="H88" s="3901" t="s">
        <v>3565</v>
      </c>
      <c r="I88" s="3897" t="s">
        <v>997</v>
      </c>
      <c r="J88" s="3984" t="s">
        <v>3565</v>
      </c>
      <c r="K88" s="3901"/>
      <c r="L88" s="3897" t="s">
        <v>997</v>
      </c>
      <c r="M88" s="3986"/>
      <c r="N88" s="478"/>
      <c r="O88" s="3896"/>
      <c r="P88" s="3897" t="s">
        <v>997</v>
      </c>
      <c r="Q88" s="3987"/>
      <c r="R88" s="3899" t="s">
        <v>3562</v>
      </c>
      <c r="S88" s="3897" t="s">
        <v>997</v>
      </c>
      <c r="T88" s="3988" t="s">
        <v>3562</v>
      </c>
      <c r="U88" s="3901" t="s">
        <v>3565</v>
      </c>
      <c r="V88" s="3897" t="s">
        <v>997</v>
      </c>
      <c r="W88" s="3987" t="s">
        <v>3565</v>
      </c>
      <c r="X88" s="3901"/>
      <c r="Y88" s="3897" t="s">
        <v>997</v>
      </c>
      <c r="Z88" s="3989"/>
      <c r="AA88" s="478"/>
      <c r="AB88" s="478"/>
      <c r="AC88" s="478"/>
      <c r="AG88" s="4026" t="s">
        <v>637</v>
      </c>
      <c r="AI88" s="4003" t="s">
        <v>663</v>
      </c>
      <c r="AJ88" s="3992"/>
      <c r="AK88" s="3996" t="s">
        <v>637</v>
      </c>
      <c r="AM88" s="3997" t="s">
        <v>663</v>
      </c>
      <c r="AO88" s="3992"/>
      <c r="AQ88" s="3999" t="s">
        <v>637</v>
      </c>
      <c r="AS88" s="4000" t="s">
        <v>637</v>
      </c>
      <c r="AU88" s="4001" t="s">
        <v>637</v>
      </c>
    </row>
    <row r="89" spans="1:91" s="2045" customFormat="1" ht="18.75">
      <c r="A89" s="4027"/>
      <c r="B89" s="4028"/>
      <c r="C89" s="4029"/>
      <c r="D89" s="4029"/>
      <c r="E89" s="4029"/>
      <c r="F89" s="4029"/>
      <c r="G89" s="4029"/>
      <c r="H89" s="4029"/>
      <c r="I89" s="4029"/>
      <c r="J89" s="4029"/>
      <c r="K89" s="4029"/>
      <c r="L89" s="4029"/>
      <c r="M89" s="4030"/>
      <c r="N89" s="4031"/>
      <c r="O89" s="4028"/>
      <c r="P89" s="4029"/>
      <c r="Q89" s="4029"/>
      <c r="R89" s="4029"/>
      <c r="S89" s="4029"/>
      <c r="T89" s="4029"/>
      <c r="U89" s="4029"/>
      <c r="V89" s="4029"/>
      <c r="W89" s="4029"/>
      <c r="X89" s="4029"/>
      <c r="Y89" s="4029"/>
      <c r="Z89" s="4030"/>
      <c r="AA89" s="4031"/>
      <c r="AB89" s="4027"/>
      <c r="AC89" s="4027"/>
      <c r="AG89" s="4032" t="s">
        <v>636</v>
      </c>
      <c r="AI89" s="4003" t="s">
        <v>662</v>
      </c>
      <c r="AJ89" s="3992"/>
      <c r="AK89" s="3996" t="s">
        <v>636</v>
      </c>
      <c r="AM89" s="3997" t="s">
        <v>662</v>
      </c>
      <c r="AO89" s="3992"/>
      <c r="AQ89" s="3999" t="s">
        <v>636</v>
      </c>
      <c r="AS89" s="4000" t="s">
        <v>636</v>
      </c>
      <c r="AU89" s="4001" t="s">
        <v>636</v>
      </c>
    </row>
    <row r="90" spans="1:91" s="2045" customFormat="1" ht="18.75">
      <c r="A90" s="642"/>
      <c r="B90" s="642"/>
      <c r="C90" s="642"/>
      <c r="D90" s="642"/>
      <c r="E90" s="642"/>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c r="AG90" s="4033" t="s">
        <v>633</v>
      </c>
      <c r="AI90" s="4003" t="s">
        <v>661</v>
      </c>
      <c r="AJ90" s="3992"/>
      <c r="AK90" s="3996" t="s">
        <v>633</v>
      </c>
      <c r="AM90" s="3997" t="s">
        <v>661</v>
      </c>
      <c r="AO90" s="3992"/>
      <c r="AQ90" s="3999" t="s">
        <v>633</v>
      </c>
      <c r="AS90" s="4000" t="s">
        <v>633</v>
      </c>
      <c r="AU90" s="4001" t="s">
        <v>633</v>
      </c>
    </row>
    <row r="91" spans="1:91" s="2045" customFormat="1" ht="18.75">
      <c r="A91" s="642"/>
      <c r="B91" s="642"/>
      <c r="C91" s="642"/>
      <c r="D91" s="642"/>
      <c r="E91" s="642"/>
      <c r="F91" s="642"/>
      <c r="G91" s="642"/>
      <c r="H91" s="642"/>
      <c r="I91" s="642"/>
      <c r="J91" s="642"/>
      <c r="K91" s="642"/>
      <c r="L91" s="642"/>
      <c r="M91" s="642"/>
      <c r="N91" s="642"/>
      <c r="O91" s="642"/>
      <c r="P91" s="642"/>
      <c r="Q91" s="642"/>
      <c r="R91" s="642"/>
      <c r="S91" s="642"/>
      <c r="T91" s="642"/>
      <c r="U91" s="642"/>
      <c r="V91" s="642"/>
      <c r="W91" s="642"/>
      <c r="X91" s="642"/>
      <c r="Y91" s="642"/>
      <c r="Z91" s="642"/>
      <c r="AA91" s="642"/>
      <c r="AB91" s="642"/>
      <c r="AC91" s="642"/>
      <c r="AG91" s="4033" t="s">
        <v>632</v>
      </c>
      <c r="AI91" s="4003" t="s">
        <v>660</v>
      </c>
      <c r="AJ91" s="3992"/>
      <c r="AK91" s="3996" t="s">
        <v>632</v>
      </c>
      <c r="AM91" s="4034"/>
      <c r="AO91" s="3992"/>
      <c r="AQ91" s="3999" t="s">
        <v>632</v>
      </c>
      <c r="AS91" s="4000" t="s">
        <v>632</v>
      </c>
      <c r="AU91" s="4001" t="s">
        <v>632</v>
      </c>
    </row>
    <row r="92" spans="1:91" s="2045" customFormat="1" ht="45">
      <c r="A92" s="642"/>
      <c r="B92" s="3872" t="s">
        <v>3528</v>
      </c>
      <c r="C92" s="3873"/>
      <c r="D92" s="3874" t="s">
        <v>3529</v>
      </c>
      <c r="E92" s="4035" t="s">
        <v>3694</v>
      </c>
      <c r="F92" s="4036"/>
      <c r="G92" s="4036"/>
      <c r="H92" s="4036"/>
      <c r="I92" s="4036"/>
      <c r="J92" s="4036"/>
      <c r="K92" s="4036"/>
      <c r="L92" s="4036"/>
      <c r="M92" s="4037"/>
      <c r="N92" s="642"/>
      <c r="O92" s="3872" t="s">
        <v>3528</v>
      </c>
      <c r="P92" s="3873"/>
      <c r="Q92" s="3874" t="s">
        <v>3529</v>
      </c>
      <c r="R92" s="3875" t="s">
        <v>3695</v>
      </c>
      <c r="S92" s="3876"/>
      <c r="T92" s="3876"/>
      <c r="U92" s="3876"/>
      <c r="V92" s="3876"/>
      <c r="W92" s="3876"/>
      <c r="X92" s="3876"/>
      <c r="Y92" s="3876"/>
      <c r="Z92" s="3877"/>
      <c r="AA92" s="642"/>
      <c r="AB92" s="642"/>
      <c r="AC92" s="642"/>
    </row>
    <row r="93" spans="1:91" s="2045" customFormat="1" ht="20.25">
      <c r="A93" s="642"/>
      <c r="B93" s="3881" t="s">
        <v>3533</v>
      </c>
      <c r="C93" s="3882" t="s">
        <v>997</v>
      </c>
      <c r="D93" s="4038" t="str">
        <f>B93</f>
        <v>Aa</v>
      </c>
      <c r="E93" s="4039" t="s">
        <v>3696</v>
      </c>
      <c r="F93" s="4040"/>
      <c r="G93" s="4041"/>
      <c r="H93" s="4041"/>
      <c r="I93" s="4041"/>
      <c r="J93" s="4041"/>
      <c r="K93" s="4041"/>
      <c r="L93" s="4041"/>
      <c r="M93" s="4042"/>
      <c r="N93" s="642"/>
      <c r="O93" s="3881" t="s">
        <v>3533</v>
      </c>
      <c r="P93" s="3882" t="s">
        <v>997</v>
      </c>
      <c r="Q93" s="4043" t="str">
        <f>O93</f>
        <v>Aa</v>
      </c>
      <c r="R93" s="3980" t="s">
        <v>3532</v>
      </c>
      <c r="S93" s="4040"/>
      <c r="T93" s="4041"/>
      <c r="U93" s="4041"/>
      <c r="V93" s="4041"/>
      <c r="W93" s="4041"/>
      <c r="X93" s="4041"/>
      <c r="Y93" s="4041"/>
      <c r="Z93" s="4042"/>
      <c r="AA93" s="642"/>
      <c r="AB93" s="642"/>
      <c r="AC93" s="642"/>
    </row>
    <row r="94" spans="1:91" s="2045" customFormat="1">
      <c r="A94" s="642"/>
      <c r="B94" s="3890"/>
      <c r="C94" s="642"/>
      <c r="D94" s="642"/>
      <c r="E94" s="642"/>
      <c r="F94" s="642"/>
      <c r="G94" s="642"/>
      <c r="H94" s="642"/>
      <c r="I94" s="642"/>
      <c r="J94" s="642"/>
      <c r="K94" s="642"/>
      <c r="L94" s="642"/>
      <c r="M94" s="3891"/>
      <c r="N94" s="642"/>
      <c r="O94" s="3890"/>
      <c r="P94" s="642"/>
      <c r="Q94" s="642"/>
      <c r="R94" s="642"/>
      <c r="S94" s="642"/>
      <c r="T94" s="642"/>
      <c r="U94" s="642"/>
      <c r="V94" s="642"/>
      <c r="W94" s="642"/>
      <c r="X94" s="642"/>
      <c r="Y94" s="642"/>
      <c r="Z94" s="3891"/>
      <c r="AA94" s="642"/>
      <c r="AB94" s="642"/>
      <c r="AC94" s="642"/>
    </row>
    <row r="95" spans="1:91" s="2045" customFormat="1">
      <c r="A95" s="642"/>
      <c r="B95" s="3894" t="s">
        <v>3535</v>
      </c>
      <c r="C95" s="7133" t="s">
        <v>3536</v>
      </c>
      <c r="D95" s="7134"/>
      <c r="E95" s="3895" t="s">
        <v>3537</v>
      </c>
      <c r="F95" s="7133" t="s">
        <v>3536</v>
      </c>
      <c r="G95" s="7134"/>
      <c r="H95" s="3895" t="s">
        <v>3538</v>
      </c>
      <c r="I95" s="7133" t="s">
        <v>3536</v>
      </c>
      <c r="J95" s="7134"/>
      <c r="K95" s="3895" t="s">
        <v>3539</v>
      </c>
      <c r="L95" s="7133" t="s">
        <v>3536</v>
      </c>
      <c r="M95" s="7135"/>
      <c r="N95" s="642"/>
      <c r="O95" s="3894" t="s">
        <v>3535</v>
      </c>
      <c r="P95" s="7102" t="s">
        <v>3536</v>
      </c>
      <c r="Q95" s="7103"/>
      <c r="R95" s="3895" t="s">
        <v>3537</v>
      </c>
      <c r="S95" s="7102" t="s">
        <v>3536</v>
      </c>
      <c r="T95" s="7103"/>
      <c r="U95" s="3895" t="s">
        <v>3538</v>
      </c>
      <c r="V95" s="7102" t="s">
        <v>3536</v>
      </c>
      <c r="W95" s="7103"/>
      <c r="X95" s="3895" t="s">
        <v>3539</v>
      </c>
      <c r="Y95" s="7102" t="s">
        <v>3536</v>
      </c>
      <c r="Z95" s="7104"/>
      <c r="AA95" s="642"/>
      <c r="AB95" s="642"/>
      <c r="AC95" s="642"/>
    </row>
    <row r="96" spans="1:91" s="2045" customFormat="1" ht="20.25">
      <c r="A96" s="478"/>
      <c r="B96" s="3896" t="s">
        <v>24</v>
      </c>
      <c r="C96" s="3897" t="s">
        <v>997</v>
      </c>
      <c r="D96" s="4044" t="s">
        <v>24</v>
      </c>
      <c r="E96" s="3899" t="s">
        <v>3540</v>
      </c>
      <c r="F96" s="3897" t="s">
        <v>997</v>
      </c>
      <c r="G96" s="4045" t="s">
        <v>3540</v>
      </c>
      <c r="H96" s="3901">
        <v>1</v>
      </c>
      <c r="I96" s="3897" t="s">
        <v>997</v>
      </c>
      <c r="J96" s="4044">
        <v>1</v>
      </c>
      <c r="K96" s="3901">
        <v>27</v>
      </c>
      <c r="L96" s="3897" t="s">
        <v>997</v>
      </c>
      <c r="M96" s="4046">
        <v>27</v>
      </c>
      <c r="N96" s="478"/>
      <c r="O96" s="3896" t="s">
        <v>24</v>
      </c>
      <c r="P96" s="3897" t="s">
        <v>997</v>
      </c>
      <c r="Q96" s="4047" t="s">
        <v>24</v>
      </c>
      <c r="R96" s="3899" t="s">
        <v>3540</v>
      </c>
      <c r="S96" s="3897" t="s">
        <v>997</v>
      </c>
      <c r="T96" s="4048" t="s">
        <v>3540</v>
      </c>
      <c r="U96" s="3901">
        <v>1</v>
      </c>
      <c r="V96" s="3897" t="s">
        <v>997</v>
      </c>
      <c r="W96" s="4047">
        <v>1</v>
      </c>
      <c r="X96" s="3901">
        <v>27</v>
      </c>
      <c r="Y96" s="3897" t="s">
        <v>997</v>
      </c>
      <c r="Z96" s="4049">
        <v>27</v>
      </c>
      <c r="AA96" s="478"/>
      <c r="AB96" s="478"/>
      <c r="AC96" s="478"/>
    </row>
    <row r="97" spans="1:29" s="2045" customFormat="1" ht="20.25">
      <c r="A97" s="478"/>
      <c r="B97" s="3896" t="s">
        <v>21</v>
      </c>
      <c r="C97" s="3897" t="s">
        <v>997</v>
      </c>
      <c r="D97" s="4044" t="s">
        <v>21</v>
      </c>
      <c r="E97" s="3899" t="s">
        <v>3556</v>
      </c>
      <c r="F97" s="3897" t="s">
        <v>997</v>
      </c>
      <c r="G97" s="4045" t="s">
        <v>3556</v>
      </c>
      <c r="H97" s="3901">
        <v>2</v>
      </c>
      <c r="I97" s="3897" t="s">
        <v>997</v>
      </c>
      <c r="J97" s="4044">
        <v>2</v>
      </c>
      <c r="K97" s="3901">
        <v>28</v>
      </c>
      <c r="L97" s="3897" t="s">
        <v>997</v>
      </c>
      <c r="M97" s="4046">
        <v>28</v>
      </c>
      <c r="N97" s="478"/>
      <c r="O97" s="3896" t="s">
        <v>21</v>
      </c>
      <c r="P97" s="3897" t="s">
        <v>997</v>
      </c>
      <c r="Q97" s="4047" t="s">
        <v>21</v>
      </c>
      <c r="R97" s="3899" t="s">
        <v>3556</v>
      </c>
      <c r="S97" s="3897" t="s">
        <v>997</v>
      </c>
      <c r="T97" s="4048" t="s">
        <v>3556</v>
      </c>
      <c r="U97" s="3901">
        <v>2</v>
      </c>
      <c r="V97" s="3897" t="s">
        <v>997</v>
      </c>
      <c r="W97" s="4047">
        <v>2</v>
      </c>
      <c r="X97" s="3901">
        <v>28</v>
      </c>
      <c r="Y97" s="3897" t="s">
        <v>997</v>
      </c>
      <c r="Z97" s="4049">
        <v>28</v>
      </c>
      <c r="AA97" s="478"/>
      <c r="AB97" s="478"/>
      <c r="AC97" s="478"/>
    </row>
    <row r="98" spans="1:29" s="2045" customFormat="1" ht="20.25">
      <c r="A98" s="478"/>
      <c r="B98" s="3896" t="s">
        <v>6</v>
      </c>
      <c r="C98" s="3897" t="s">
        <v>997</v>
      </c>
      <c r="D98" s="4044" t="s">
        <v>6</v>
      </c>
      <c r="E98" s="3899" t="s">
        <v>3572</v>
      </c>
      <c r="F98" s="3897" t="s">
        <v>997</v>
      </c>
      <c r="G98" s="4045" t="s">
        <v>3572</v>
      </c>
      <c r="H98" s="3901">
        <v>3</v>
      </c>
      <c r="I98" s="3897" t="s">
        <v>997</v>
      </c>
      <c r="J98" s="4044">
        <v>3</v>
      </c>
      <c r="K98" s="3901">
        <v>29</v>
      </c>
      <c r="L98" s="3897" t="s">
        <v>997</v>
      </c>
      <c r="M98" s="4046">
        <v>29</v>
      </c>
      <c r="N98" s="478"/>
      <c r="O98" s="3896" t="s">
        <v>6</v>
      </c>
      <c r="P98" s="3897" t="s">
        <v>997</v>
      </c>
      <c r="Q98" s="4047" t="s">
        <v>6</v>
      </c>
      <c r="R98" s="3899" t="s">
        <v>3572</v>
      </c>
      <c r="S98" s="3897" t="s">
        <v>997</v>
      </c>
      <c r="T98" s="4048" t="s">
        <v>3572</v>
      </c>
      <c r="U98" s="3901">
        <v>3</v>
      </c>
      <c r="V98" s="3897" t="s">
        <v>997</v>
      </c>
      <c r="W98" s="4047">
        <v>3</v>
      </c>
      <c r="X98" s="3901">
        <v>29</v>
      </c>
      <c r="Y98" s="3897" t="s">
        <v>997</v>
      </c>
      <c r="Z98" s="4049">
        <v>29</v>
      </c>
      <c r="AA98" s="478"/>
      <c r="AB98" s="478"/>
      <c r="AC98" s="478"/>
    </row>
    <row r="99" spans="1:29" s="2045" customFormat="1" ht="20.25">
      <c r="A99" s="478"/>
      <c r="B99" s="3896" t="s">
        <v>713</v>
      </c>
      <c r="C99" s="3897" t="s">
        <v>997</v>
      </c>
      <c r="D99" s="4044" t="s">
        <v>713</v>
      </c>
      <c r="E99" s="3899" t="s">
        <v>3580</v>
      </c>
      <c r="F99" s="3897" t="s">
        <v>997</v>
      </c>
      <c r="G99" s="4045" t="s">
        <v>3580</v>
      </c>
      <c r="H99" s="3901">
        <v>4</v>
      </c>
      <c r="I99" s="3897" t="s">
        <v>997</v>
      </c>
      <c r="J99" s="4044">
        <v>4</v>
      </c>
      <c r="K99" s="3901">
        <v>30</v>
      </c>
      <c r="L99" s="3897" t="s">
        <v>997</v>
      </c>
      <c r="M99" s="4046">
        <v>30</v>
      </c>
      <c r="N99" s="478"/>
      <c r="O99" s="3896" t="s">
        <v>713</v>
      </c>
      <c r="P99" s="3897" t="s">
        <v>997</v>
      </c>
      <c r="Q99" s="4047" t="s">
        <v>713</v>
      </c>
      <c r="R99" s="3899" t="s">
        <v>3580</v>
      </c>
      <c r="S99" s="3897" t="s">
        <v>997</v>
      </c>
      <c r="T99" s="4048" t="s">
        <v>3580</v>
      </c>
      <c r="U99" s="3901">
        <v>4</v>
      </c>
      <c r="V99" s="3897" t="s">
        <v>997</v>
      </c>
      <c r="W99" s="4047">
        <v>4</v>
      </c>
      <c r="X99" s="3901">
        <v>30</v>
      </c>
      <c r="Y99" s="3897" t="s">
        <v>997</v>
      </c>
      <c r="Z99" s="4049">
        <v>30</v>
      </c>
      <c r="AA99" s="478"/>
      <c r="AB99" s="478"/>
      <c r="AC99" s="478"/>
    </row>
    <row r="100" spans="1:29" s="2045" customFormat="1" ht="20.25">
      <c r="A100" s="478"/>
      <c r="B100" s="3896" t="s">
        <v>1697</v>
      </c>
      <c r="C100" s="3897" t="s">
        <v>997</v>
      </c>
      <c r="D100" s="4044" t="s">
        <v>1697</v>
      </c>
      <c r="E100" s="3899" t="s">
        <v>3581</v>
      </c>
      <c r="F100" s="3897" t="s">
        <v>997</v>
      </c>
      <c r="G100" s="4045" t="s">
        <v>3581</v>
      </c>
      <c r="H100" s="3901">
        <v>5</v>
      </c>
      <c r="I100" s="3897" t="s">
        <v>997</v>
      </c>
      <c r="J100" s="4044">
        <v>5</v>
      </c>
      <c r="K100" s="3901">
        <v>31</v>
      </c>
      <c r="L100" s="3897" t="s">
        <v>997</v>
      </c>
      <c r="M100" s="4046">
        <v>31</v>
      </c>
      <c r="N100" s="478"/>
      <c r="O100" s="3896" t="s">
        <v>1697</v>
      </c>
      <c r="P100" s="3897" t="s">
        <v>997</v>
      </c>
      <c r="Q100" s="4047" t="s">
        <v>1697</v>
      </c>
      <c r="R100" s="3899" t="s">
        <v>3581</v>
      </c>
      <c r="S100" s="3897" t="s">
        <v>997</v>
      </c>
      <c r="T100" s="4048" t="s">
        <v>3581</v>
      </c>
      <c r="U100" s="3901">
        <v>5</v>
      </c>
      <c r="V100" s="3897" t="s">
        <v>997</v>
      </c>
      <c r="W100" s="4047">
        <v>5</v>
      </c>
      <c r="X100" s="3901">
        <v>31</v>
      </c>
      <c r="Y100" s="3897" t="s">
        <v>997</v>
      </c>
      <c r="Z100" s="4049">
        <v>31</v>
      </c>
      <c r="AA100" s="478"/>
      <c r="AB100" s="478"/>
      <c r="AC100" s="478"/>
    </row>
    <row r="101" spans="1:29" s="2045" customFormat="1" ht="20.25">
      <c r="A101" s="478"/>
      <c r="B101" s="3896" t="s">
        <v>23</v>
      </c>
      <c r="C101" s="3897" t="s">
        <v>997</v>
      </c>
      <c r="D101" s="4044" t="s">
        <v>23</v>
      </c>
      <c r="E101" s="3899" t="s">
        <v>3582</v>
      </c>
      <c r="F101" s="3897" t="s">
        <v>997</v>
      </c>
      <c r="G101" s="4045" t="s">
        <v>3582</v>
      </c>
      <c r="H101" s="3901">
        <v>6</v>
      </c>
      <c r="I101" s="3897" t="s">
        <v>997</v>
      </c>
      <c r="J101" s="4044">
        <v>6</v>
      </c>
      <c r="K101" s="3901">
        <v>32</v>
      </c>
      <c r="L101" s="3897" t="s">
        <v>997</v>
      </c>
      <c r="M101" s="4046">
        <v>32</v>
      </c>
      <c r="N101" s="478"/>
      <c r="O101" s="3896" t="s">
        <v>23</v>
      </c>
      <c r="P101" s="3897" t="s">
        <v>997</v>
      </c>
      <c r="Q101" s="4047" t="s">
        <v>23</v>
      </c>
      <c r="R101" s="3899" t="s">
        <v>3582</v>
      </c>
      <c r="S101" s="3897" t="s">
        <v>997</v>
      </c>
      <c r="T101" s="4048" t="s">
        <v>3582</v>
      </c>
      <c r="U101" s="3901">
        <v>6</v>
      </c>
      <c r="V101" s="3897" t="s">
        <v>997</v>
      </c>
      <c r="W101" s="4047">
        <v>6</v>
      </c>
      <c r="X101" s="3901">
        <v>32</v>
      </c>
      <c r="Y101" s="3897" t="s">
        <v>997</v>
      </c>
      <c r="Z101" s="4049">
        <v>32</v>
      </c>
      <c r="AA101" s="478"/>
      <c r="AB101" s="478"/>
      <c r="AC101" s="478"/>
    </row>
    <row r="102" spans="1:29" s="2045" customFormat="1" ht="20.25">
      <c r="A102" s="478"/>
      <c r="B102" s="3896" t="s">
        <v>1782</v>
      </c>
      <c r="C102" s="3897" t="s">
        <v>997</v>
      </c>
      <c r="D102" s="4044" t="s">
        <v>1782</v>
      </c>
      <c r="E102" s="3899" t="s">
        <v>2072</v>
      </c>
      <c r="F102" s="3897" t="s">
        <v>997</v>
      </c>
      <c r="G102" s="4045" t="s">
        <v>2072</v>
      </c>
      <c r="H102" s="3901">
        <v>7</v>
      </c>
      <c r="I102" s="3897" t="s">
        <v>997</v>
      </c>
      <c r="J102" s="4044">
        <v>7</v>
      </c>
      <c r="K102" s="3901">
        <v>33</v>
      </c>
      <c r="L102" s="3897" t="s">
        <v>997</v>
      </c>
      <c r="M102" s="4046">
        <v>33</v>
      </c>
      <c r="N102" s="478"/>
      <c r="O102" s="3896" t="s">
        <v>1782</v>
      </c>
      <c r="P102" s="3897" t="s">
        <v>997</v>
      </c>
      <c r="Q102" s="4047" t="s">
        <v>1782</v>
      </c>
      <c r="R102" s="3899" t="s">
        <v>2072</v>
      </c>
      <c r="S102" s="3897" t="s">
        <v>997</v>
      </c>
      <c r="T102" s="4048" t="s">
        <v>2072</v>
      </c>
      <c r="U102" s="3901">
        <v>7</v>
      </c>
      <c r="V102" s="3897" t="s">
        <v>997</v>
      </c>
      <c r="W102" s="4047">
        <v>7</v>
      </c>
      <c r="X102" s="3901">
        <v>33</v>
      </c>
      <c r="Y102" s="3897" t="s">
        <v>997</v>
      </c>
      <c r="Z102" s="4049">
        <v>33</v>
      </c>
      <c r="AA102" s="478"/>
      <c r="AB102" s="478"/>
      <c r="AC102" s="478"/>
    </row>
    <row r="103" spans="1:29" s="2045" customFormat="1" ht="20.25">
      <c r="A103" s="478"/>
      <c r="B103" s="3896" t="s">
        <v>1698</v>
      </c>
      <c r="C103" s="3897" t="s">
        <v>997</v>
      </c>
      <c r="D103" s="4044" t="s">
        <v>1698</v>
      </c>
      <c r="E103" s="3899" t="s">
        <v>3585</v>
      </c>
      <c r="F103" s="3897" t="s">
        <v>997</v>
      </c>
      <c r="G103" s="4045" t="s">
        <v>3585</v>
      </c>
      <c r="H103" s="3901">
        <v>8</v>
      </c>
      <c r="I103" s="3897" t="s">
        <v>997</v>
      </c>
      <c r="J103" s="4044">
        <v>8</v>
      </c>
      <c r="K103" s="3901">
        <v>34</v>
      </c>
      <c r="L103" s="3897" t="s">
        <v>997</v>
      </c>
      <c r="M103" s="4046">
        <v>34</v>
      </c>
      <c r="N103" s="478"/>
      <c r="O103" s="3896" t="s">
        <v>1698</v>
      </c>
      <c r="P103" s="3897" t="s">
        <v>997</v>
      </c>
      <c r="Q103" s="4047" t="s">
        <v>1698</v>
      </c>
      <c r="R103" s="3899" t="s">
        <v>3585</v>
      </c>
      <c r="S103" s="3897" t="s">
        <v>997</v>
      </c>
      <c r="T103" s="4048" t="s">
        <v>3585</v>
      </c>
      <c r="U103" s="3901">
        <v>8</v>
      </c>
      <c r="V103" s="3897" t="s">
        <v>997</v>
      </c>
      <c r="W103" s="4047">
        <v>8</v>
      </c>
      <c r="X103" s="3901">
        <v>34</v>
      </c>
      <c r="Y103" s="3897" t="s">
        <v>997</v>
      </c>
      <c r="Z103" s="4049">
        <v>34</v>
      </c>
      <c r="AA103" s="478"/>
      <c r="AB103" s="478"/>
      <c r="AC103" s="478"/>
    </row>
    <row r="104" spans="1:29" s="2045" customFormat="1" ht="20.25">
      <c r="A104" s="478"/>
      <c r="B104" s="3896" t="s">
        <v>20</v>
      </c>
      <c r="C104" s="3897" t="s">
        <v>997</v>
      </c>
      <c r="D104" s="4044" t="s">
        <v>20</v>
      </c>
      <c r="E104" s="3899" t="s">
        <v>3586</v>
      </c>
      <c r="F104" s="3897" t="s">
        <v>997</v>
      </c>
      <c r="G104" s="4045" t="s">
        <v>3586</v>
      </c>
      <c r="H104" s="3901">
        <v>9</v>
      </c>
      <c r="I104" s="3897" t="s">
        <v>997</v>
      </c>
      <c r="J104" s="4044">
        <v>9</v>
      </c>
      <c r="K104" s="3901">
        <v>35</v>
      </c>
      <c r="L104" s="3897" t="s">
        <v>997</v>
      </c>
      <c r="M104" s="4046">
        <v>35</v>
      </c>
      <c r="N104" s="478"/>
      <c r="O104" s="3896" t="s">
        <v>20</v>
      </c>
      <c r="P104" s="3897" t="s">
        <v>997</v>
      </c>
      <c r="Q104" s="4047" t="s">
        <v>20</v>
      </c>
      <c r="R104" s="3899" t="s">
        <v>3586</v>
      </c>
      <c r="S104" s="3897" t="s">
        <v>997</v>
      </c>
      <c r="T104" s="4048" t="s">
        <v>3586</v>
      </c>
      <c r="U104" s="3901">
        <v>9</v>
      </c>
      <c r="V104" s="3897" t="s">
        <v>997</v>
      </c>
      <c r="W104" s="4047">
        <v>9</v>
      </c>
      <c r="X104" s="3901">
        <v>35</v>
      </c>
      <c r="Y104" s="3897" t="s">
        <v>997</v>
      </c>
      <c r="Z104" s="4049">
        <v>35</v>
      </c>
      <c r="AA104" s="478"/>
      <c r="AB104" s="478"/>
      <c r="AC104" s="478"/>
    </row>
    <row r="105" spans="1:29" s="2045" customFormat="1" ht="20.25">
      <c r="A105" s="478"/>
      <c r="B105" s="3896" t="s">
        <v>18</v>
      </c>
      <c r="C105" s="3897" t="s">
        <v>997</v>
      </c>
      <c r="D105" s="4044" t="s">
        <v>18</v>
      </c>
      <c r="E105" s="3899" t="s">
        <v>3588</v>
      </c>
      <c r="F105" s="3897" t="s">
        <v>997</v>
      </c>
      <c r="G105" s="4045" t="s">
        <v>3588</v>
      </c>
      <c r="H105" s="3901">
        <v>10</v>
      </c>
      <c r="I105" s="3897" t="s">
        <v>997</v>
      </c>
      <c r="J105" s="4044">
        <v>10</v>
      </c>
      <c r="K105" s="3901">
        <v>36</v>
      </c>
      <c r="L105" s="3897" t="s">
        <v>997</v>
      </c>
      <c r="M105" s="4046">
        <v>36</v>
      </c>
      <c r="N105" s="478"/>
      <c r="O105" s="3896" t="s">
        <v>18</v>
      </c>
      <c r="P105" s="3897" t="s">
        <v>997</v>
      </c>
      <c r="Q105" s="4047" t="s">
        <v>18</v>
      </c>
      <c r="R105" s="3899" t="s">
        <v>3588</v>
      </c>
      <c r="S105" s="3897" t="s">
        <v>997</v>
      </c>
      <c r="T105" s="4048" t="s">
        <v>3588</v>
      </c>
      <c r="U105" s="3901">
        <v>10</v>
      </c>
      <c r="V105" s="3897" t="s">
        <v>997</v>
      </c>
      <c r="W105" s="4047">
        <v>10</v>
      </c>
      <c r="X105" s="3901">
        <v>36</v>
      </c>
      <c r="Y105" s="3897" t="s">
        <v>997</v>
      </c>
      <c r="Z105" s="4049">
        <v>36</v>
      </c>
      <c r="AA105" s="478"/>
      <c r="AB105" s="478"/>
      <c r="AC105" s="478"/>
    </row>
    <row r="106" spans="1:29" s="2045" customFormat="1" ht="20.25">
      <c r="A106" s="478"/>
      <c r="B106" s="3896" t="s">
        <v>15</v>
      </c>
      <c r="C106" s="3897" t="s">
        <v>997</v>
      </c>
      <c r="D106" s="4044" t="s">
        <v>15</v>
      </c>
      <c r="E106" s="3899" t="s">
        <v>3590</v>
      </c>
      <c r="F106" s="3897" t="s">
        <v>997</v>
      </c>
      <c r="G106" s="4045" t="s">
        <v>3590</v>
      </c>
      <c r="H106" s="3901">
        <v>11</v>
      </c>
      <c r="I106" s="3897" t="s">
        <v>997</v>
      </c>
      <c r="J106" s="4044">
        <v>11</v>
      </c>
      <c r="K106" s="3901">
        <v>37</v>
      </c>
      <c r="L106" s="3897" t="s">
        <v>997</v>
      </c>
      <c r="M106" s="4046">
        <v>37</v>
      </c>
      <c r="N106" s="478"/>
      <c r="O106" s="3896" t="s">
        <v>15</v>
      </c>
      <c r="P106" s="3897" t="s">
        <v>997</v>
      </c>
      <c r="Q106" s="4047" t="s">
        <v>15</v>
      </c>
      <c r="R106" s="3899" t="s">
        <v>3590</v>
      </c>
      <c r="S106" s="3897" t="s">
        <v>997</v>
      </c>
      <c r="T106" s="4048" t="s">
        <v>3590</v>
      </c>
      <c r="U106" s="3901">
        <v>11</v>
      </c>
      <c r="V106" s="3897" t="s">
        <v>997</v>
      </c>
      <c r="W106" s="4047">
        <v>11</v>
      </c>
      <c r="X106" s="3901">
        <v>37</v>
      </c>
      <c r="Y106" s="3897" t="s">
        <v>997</v>
      </c>
      <c r="Z106" s="4049">
        <v>37</v>
      </c>
      <c r="AA106" s="478"/>
      <c r="AB106" s="478"/>
      <c r="AC106" s="478"/>
    </row>
    <row r="107" spans="1:29" s="2045" customFormat="1" ht="20.25">
      <c r="A107" s="478"/>
      <c r="B107" s="3896" t="s">
        <v>398</v>
      </c>
      <c r="C107" s="3897" t="s">
        <v>997</v>
      </c>
      <c r="D107" s="4044" t="s">
        <v>398</v>
      </c>
      <c r="E107" s="3899" t="s">
        <v>3592</v>
      </c>
      <c r="F107" s="3897" t="s">
        <v>997</v>
      </c>
      <c r="G107" s="4045" t="s">
        <v>3592</v>
      </c>
      <c r="H107" s="3901">
        <v>12</v>
      </c>
      <c r="I107" s="3897" t="s">
        <v>997</v>
      </c>
      <c r="J107" s="4044">
        <v>12</v>
      </c>
      <c r="K107" s="3901">
        <v>38</v>
      </c>
      <c r="L107" s="3897" t="s">
        <v>997</v>
      </c>
      <c r="M107" s="4046">
        <v>38</v>
      </c>
      <c r="N107" s="478"/>
      <c r="O107" s="3896" t="s">
        <v>398</v>
      </c>
      <c r="P107" s="3897" t="s">
        <v>997</v>
      </c>
      <c r="Q107" s="4047" t="s">
        <v>398</v>
      </c>
      <c r="R107" s="3899" t="s">
        <v>3592</v>
      </c>
      <c r="S107" s="3897" t="s">
        <v>997</v>
      </c>
      <c r="T107" s="4048" t="s">
        <v>3592</v>
      </c>
      <c r="U107" s="3901">
        <v>12</v>
      </c>
      <c r="V107" s="3897" t="s">
        <v>997</v>
      </c>
      <c r="W107" s="4047">
        <v>12</v>
      </c>
      <c r="X107" s="3901">
        <v>38</v>
      </c>
      <c r="Y107" s="3897" t="s">
        <v>997</v>
      </c>
      <c r="Z107" s="4049">
        <v>38</v>
      </c>
      <c r="AA107" s="478"/>
      <c r="AB107" s="478"/>
      <c r="AC107" s="478"/>
    </row>
    <row r="108" spans="1:29" s="2045" customFormat="1" ht="20.25">
      <c r="A108" s="478"/>
      <c r="B108" s="3896" t="s">
        <v>807</v>
      </c>
      <c r="C108" s="3897" t="s">
        <v>997</v>
      </c>
      <c r="D108" s="4044" t="s">
        <v>807</v>
      </c>
      <c r="E108" s="3899" t="s">
        <v>3593</v>
      </c>
      <c r="F108" s="3897" t="s">
        <v>997</v>
      </c>
      <c r="G108" s="4045" t="s">
        <v>3593</v>
      </c>
      <c r="H108" s="3901">
        <v>13</v>
      </c>
      <c r="I108" s="3897" t="s">
        <v>997</v>
      </c>
      <c r="J108" s="4044">
        <v>13</v>
      </c>
      <c r="K108" s="3901">
        <v>39</v>
      </c>
      <c r="L108" s="3897" t="s">
        <v>997</v>
      </c>
      <c r="M108" s="4046">
        <v>39</v>
      </c>
      <c r="N108" s="478"/>
      <c r="O108" s="3896" t="s">
        <v>807</v>
      </c>
      <c r="P108" s="3897" t="s">
        <v>997</v>
      </c>
      <c r="Q108" s="4047" t="s">
        <v>807</v>
      </c>
      <c r="R108" s="3899" t="s">
        <v>3593</v>
      </c>
      <c r="S108" s="3897" t="s">
        <v>997</v>
      </c>
      <c r="T108" s="4048" t="s">
        <v>3593</v>
      </c>
      <c r="U108" s="3901">
        <v>13</v>
      </c>
      <c r="V108" s="3897" t="s">
        <v>997</v>
      </c>
      <c r="W108" s="4047">
        <v>13</v>
      </c>
      <c r="X108" s="3901">
        <v>39</v>
      </c>
      <c r="Y108" s="3897" t="s">
        <v>997</v>
      </c>
      <c r="Z108" s="4049">
        <v>39</v>
      </c>
      <c r="AA108" s="478"/>
      <c r="AB108" s="478"/>
      <c r="AC108" s="478"/>
    </row>
    <row r="109" spans="1:29" s="2045" customFormat="1" ht="20.25">
      <c r="A109" s="478"/>
      <c r="B109" s="3896" t="s">
        <v>808</v>
      </c>
      <c r="C109" s="3897" t="s">
        <v>997</v>
      </c>
      <c r="D109" s="4044" t="s">
        <v>808</v>
      </c>
      <c r="E109" s="3899" t="s">
        <v>3595</v>
      </c>
      <c r="F109" s="3897" t="s">
        <v>997</v>
      </c>
      <c r="G109" s="4045" t="s">
        <v>3595</v>
      </c>
      <c r="H109" s="3901">
        <v>14</v>
      </c>
      <c r="I109" s="3897" t="s">
        <v>997</v>
      </c>
      <c r="J109" s="4044">
        <v>14</v>
      </c>
      <c r="K109" s="3901">
        <v>40</v>
      </c>
      <c r="L109" s="3897" t="s">
        <v>997</v>
      </c>
      <c r="M109" s="4046">
        <v>40</v>
      </c>
      <c r="N109" s="478"/>
      <c r="O109" s="3896" t="s">
        <v>808</v>
      </c>
      <c r="P109" s="3897" t="s">
        <v>997</v>
      </c>
      <c r="Q109" s="4047" t="s">
        <v>808</v>
      </c>
      <c r="R109" s="3899" t="s">
        <v>3595</v>
      </c>
      <c r="S109" s="3897" t="s">
        <v>997</v>
      </c>
      <c r="T109" s="4048" t="s">
        <v>3595</v>
      </c>
      <c r="U109" s="3901">
        <v>14</v>
      </c>
      <c r="V109" s="3897" t="s">
        <v>997</v>
      </c>
      <c r="W109" s="4047">
        <v>14</v>
      </c>
      <c r="X109" s="3901">
        <v>40</v>
      </c>
      <c r="Y109" s="3897" t="s">
        <v>997</v>
      </c>
      <c r="Z109" s="4049">
        <v>40</v>
      </c>
      <c r="AA109" s="478"/>
      <c r="AB109" s="478"/>
      <c r="AC109" s="478"/>
    </row>
    <row r="110" spans="1:29" s="2045" customFormat="1" ht="20.25">
      <c r="A110" s="478"/>
      <c r="B110" s="3896" t="s">
        <v>809</v>
      </c>
      <c r="C110" s="3897" t="s">
        <v>997</v>
      </c>
      <c r="D110" s="4044" t="s">
        <v>809</v>
      </c>
      <c r="E110" s="3899" t="s">
        <v>3608</v>
      </c>
      <c r="F110" s="3897" t="s">
        <v>997</v>
      </c>
      <c r="G110" s="4045" t="s">
        <v>3608</v>
      </c>
      <c r="H110" s="3901">
        <v>15</v>
      </c>
      <c r="I110" s="3897" t="s">
        <v>997</v>
      </c>
      <c r="J110" s="4044">
        <v>15</v>
      </c>
      <c r="K110" s="3901">
        <v>41</v>
      </c>
      <c r="L110" s="3897" t="s">
        <v>997</v>
      </c>
      <c r="M110" s="4046">
        <v>41</v>
      </c>
      <c r="N110" s="478"/>
      <c r="O110" s="3896" t="s">
        <v>809</v>
      </c>
      <c r="P110" s="3897" t="s">
        <v>997</v>
      </c>
      <c r="Q110" s="4047" t="s">
        <v>809</v>
      </c>
      <c r="R110" s="3899" t="s">
        <v>3608</v>
      </c>
      <c r="S110" s="3897" t="s">
        <v>997</v>
      </c>
      <c r="T110" s="4048" t="s">
        <v>3608</v>
      </c>
      <c r="U110" s="3901">
        <v>15</v>
      </c>
      <c r="V110" s="3897" t="s">
        <v>997</v>
      </c>
      <c r="W110" s="4047">
        <v>15</v>
      </c>
      <c r="X110" s="3901">
        <v>41</v>
      </c>
      <c r="Y110" s="3897" t="s">
        <v>997</v>
      </c>
      <c r="Z110" s="4049">
        <v>41</v>
      </c>
      <c r="AA110" s="478"/>
      <c r="AB110" s="478"/>
      <c r="AC110" s="478"/>
    </row>
    <row r="111" spans="1:29" s="2045" customFormat="1" ht="20.25">
      <c r="A111" s="478"/>
      <c r="B111" s="3896" t="s">
        <v>810</v>
      </c>
      <c r="C111" s="3897" t="s">
        <v>997</v>
      </c>
      <c r="D111" s="4044" t="s">
        <v>810</v>
      </c>
      <c r="E111" s="3899" t="s">
        <v>593</v>
      </c>
      <c r="F111" s="3897" t="s">
        <v>997</v>
      </c>
      <c r="G111" s="4045" t="s">
        <v>593</v>
      </c>
      <c r="H111" s="3901">
        <v>16</v>
      </c>
      <c r="I111" s="3897" t="s">
        <v>997</v>
      </c>
      <c r="J111" s="4044">
        <v>16</v>
      </c>
      <c r="K111" s="3901">
        <v>42</v>
      </c>
      <c r="L111" s="3897" t="s">
        <v>997</v>
      </c>
      <c r="M111" s="4046">
        <v>42</v>
      </c>
      <c r="N111" s="478"/>
      <c r="O111" s="3896" t="s">
        <v>810</v>
      </c>
      <c r="P111" s="3897" t="s">
        <v>997</v>
      </c>
      <c r="Q111" s="4047" t="s">
        <v>810</v>
      </c>
      <c r="R111" s="3899" t="s">
        <v>593</v>
      </c>
      <c r="S111" s="3897" t="s">
        <v>997</v>
      </c>
      <c r="T111" s="4048" t="s">
        <v>593</v>
      </c>
      <c r="U111" s="3901">
        <v>16</v>
      </c>
      <c r="V111" s="3897" t="s">
        <v>997</v>
      </c>
      <c r="W111" s="4047">
        <v>16</v>
      </c>
      <c r="X111" s="3901">
        <v>42</v>
      </c>
      <c r="Y111" s="3897" t="s">
        <v>997</v>
      </c>
      <c r="Z111" s="4049">
        <v>42</v>
      </c>
      <c r="AA111" s="478"/>
      <c r="AB111" s="478"/>
      <c r="AC111" s="478"/>
    </row>
    <row r="112" spans="1:29" s="2045" customFormat="1" ht="20.25">
      <c r="A112" s="478"/>
      <c r="B112" s="3896" t="s">
        <v>811</v>
      </c>
      <c r="C112" s="3897" t="s">
        <v>997</v>
      </c>
      <c r="D112" s="4044" t="s">
        <v>811</v>
      </c>
      <c r="E112" s="3899" t="s">
        <v>473</v>
      </c>
      <c r="F112" s="3897" t="s">
        <v>997</v>
      </c>
      <c r="G112" s="4045" t="s">
        <v>473</v>
      </c>
      <c r="H112" s="3901">
        <v>17</v>
      </c>
      <c r="I112" s="3897" t="s">
        <v>997</v>
      </c>
      <c r="J112" s="4044">
        <v>17</v>
      </c>
      <c r="K112" s="3901">
        <v>43</v>
      </c>
      <c r="L112" s="3897" t="s">
        <v>997</v>
      </c>
      <c r="M112" s="4046">
        <v>43</v>
      </c>
      <c r="N112" s="478"/>
      <c r="O112" s="3896" t="s">
        <v>811</v>
      </c>
      <c r="P112" s="3897" t="s">
        <v>997</v>
      </c>
      <c r="Q112" s="4047" t="s">
        <v>811</v>
      </c>
      <c r="R112" s="3899" t="s">
        <v>473</v>
      </c>
      <c r="S112" s="3897" t="s">
        <v>997</v>
      </c>
      <c r="T112" s="4048" t="s">
        <v>473</v>
      </c>
      <c r="U112" s="3901">
        <v>17</v>
      </c>
      <c r="V112" s="3897" t="s">
        <v>997</v>
      </c>
      <c r="W112" s="4047">
        <v>17</v>
      </c>
      <c r="X112" s="3901">
        <v>43</v>
      </c>
      <c r="Y112" s="3897" t="s">
        <v>997</v>
      </c>
      <c r="Z112" s="4049">
        <v>43</v>
      </c>
      <c r="AA112" s="478"/>
      <c r="AB112" s="478"/>
      <c r="AC112" s="478"/>
    </row>
    <row r="113" spans="1:29" s="2045" customFormat="1" ht="20.25">
      <c r="A113" s="478"/>
      <c r="B113" s="3896" t="s">
        <v>812</v>
      </c>
      <c r="C113" s="3897" t="s">
        <v>997</v>
      </c>
      <c r="D113" s="4044" t="s">
        <v>812</v>
      </c>
      <c r="E113" s="3899" t="s">
        <v>3624</v>
      </c>
      <c r="F113" s="3897" t="s">
        <v>997</v>
      </c>
      <c r="G113" s="4045" t="s">
        <v>3624</v>
      </c>
      <c r="H113" s="3901">
        <v>18</v>
      </c>
      <c r="I113" s="3897" t="s">
        <v>997</v>
      </c>
      <c r="J113" s="4044">
        <v>18</v>
      </c>
      <c r="K113" s="3901">
        <v>44</v>
      </c>
      <c r="L113" s="3897" t="s">
        <v>997</v>
      </c>
      <c r="M113" s="4046">
        <v>44</v>
      </c>
      <c r="N113" s="478"/>
      <c r="O113" s="3896" t="s">
        <v>812</v>
      </c>
      <c r="P113" s="3897" t="s">
        <v>997</v>
      </c>
      <c r="Q113" s="4047" t="s">
        <v>812</v>
      </c>
      <c r="R113" s="3899" t="s">
        <v>3624</v>
      </c>
      <c r="S113" s="3897" t="s">
        <v>997</v>
      </c>
      <c r="T113" s="4048" t="s">
        <v>3624</v>
      </c>
      <c r="U113" s="3901">
        <v>18</v>
      </c>
      <c r="V113" s="3897" t="s">
        <v>997</v>
      </c>
      <c r="W113" s="4047">
        <v>18</v>
      </c>
      <c r="X113" s="3901">
        <v>44</v>
      </c>
      <c r="Y113" s="3897" t="s">
        <v>997</v>
      </c>
      <c r="Z113" s="4049">
        <v>44</v>
      </c>
      <c r="AA113" s="478"/>
      <c r="AB113" s="478"/>
      <c r="AC113" s="478"/>
    </row>
    <row r="114" spans="1:29" s="2045" customFormat="1" ht="20.25">
      <c r="A114" s="478"/>
      <c r="B114" s="3896" t="s">
        <v>12</v>
      </c>
      <c r="C114" s="3897" t="s">
        <v>997</v>
      </c>
      <c r="D114" s="4044" t="s">
        <v>12</v>
      </c>
      <c r="E114" s="3899" t="s">
        <v>681</v>
      </c>
      <c r="F114" s="3897" t="s">
        <v>997</v>
      </c>
      <c r="G114" s="4045" t="s">
        <v>681</v>
      </c>
      <c r="H114" s="3901">
        <v>19</v>
      </c>
      <c r="I114" s="3897" t="s">
        <v>997</v>
      </c>
      <c r="J114" s="4044">
        <v>19</v>
      </c>
      <c r="K114" s="3901">
        <v>45</v>
      </c>
      <c r="L114" s="3897" t="s">
        <v>997</v>
      </c>
      <c r="M114" s="4046">
        <v>45</v>
      </c>
      <c r="N114" s="478"/>
      <c r="O114" s="3896" t="s">
        <v>12</v>
      </c>
      <c r="P114" s="3897" t="s">
        <v>997</v>
      </c>
      <c r="Q114" s="4047" t="s">
        <v>12</v>
      </c>
      <c r="R114" s="3899" t="s">
        <v>681</v>
      </c>
      <c r="S114" s="3897" t="s">
        <v>997</v>
      </c>
      <c r="T114" s="4048" t="s">
        <v>681</v>
      </c>
      <c r="U114" s="3901">
        <v>19</v>
      </c>
      <c r="V114" s="3897" t="s">
        <v>997</v>
      </c>
      <c r="W114" s="4047">
        <v>19</v>
      </c>
      <c r="X114" s="3901">
        <v>45</v>
      </c>
      <c r="Y114" s="3897" t="s">
        <v>997</v>
      </c>
      <c r="Z114" s="4049">
        <v>45</v>
      </c>
      <c r="AA114" s="478"/>
      <c r="AB114" s="478"/>
      <c r="AC114" s="478"/>
    </row>
    <row r="115" spans="1:29" s="2045" customFormat="1" ht="20.25">
      <c r="A115" s="478"/>
      <c r="B115" s="3896" t="s">
        <v>813</v>
      </c>
      <c r="C115" s="3897" t="s">
        <v>997</v>
      </c>
      <c r="D115" s="4044" t="s">
        <v>813</v>
      </c>
      <c r="E115" s="3899" t="s">
        <v>602</v>
      </c>
      <c r="F115" s="3897" t="s">
        <v>997</v>
      </c>
      <c r="G115" s="4045" t="s">
        <v>602</v>
      </c>
      <c r="H115" s="3901">
        <v>20</v>
      </c>
      <c r="I115" s="3897" t="s">
        <v>997</v>
      </c>
      <c r="J115" s="4044">
        <v>20</v>
      </c>
      <c r="K115" s="3901">
        <v>46</v>
      </c>
      <c r="L115" s="3897" t="s">
        <v>997</v>
      </c>
      <c r="M115" s="4046">
        <v>46</v>
      </c>
      <c r="N115" s="478"/>
      <c r="O115" s="3896" t="s">
        <v>813</v>
      </c>
      <c r="P115" s="3897" t="s">
        <v>997</v>
      </c>
      <c r="Q115" s="4047" t="s">
        <v>813</v>
      </c>
      <c r="R115" s="3899" t="s">
        <v>602</v>
      </c>
      <c r="S115" s="3897" t="s">
        <v>997</v>
      </c>
      <c r="T115" s="4048" t="s">
        <v>602</v>
      </c>
      <c r="U115" s="3901">
        <v>20</v>
      </c>
      <c r="V115" s="3897" t="s">
        <v>997</v>
      </c>
      <c r="W115" s="4047">
        <v>20</v>
      </c>
      <c r="X115" s="3901">
        <v>46</v>
      </c>
      <c r="Y115" s="3897" t="s">
        <v>997</v>
      </c>
      <c r="Z115" s="4049">
        <v>46</v>
      </c>
      <c r="AA115" s="478"/>
      <c r="AB115" s="478"/>
      <c r="AC115" s="478"/>
    </row>
    <row r="116" spans="1:29" s="2045" customFormat="1" ht="20.25">
      <c r="A116" s="478"/>
      <c r="B116" s="3896" t="s">
        <v>814</v>
      </c>
      <c r="C116" s="3897" t="s">
        <v>997</v>
      </c>
      <c r="D116" s="4044" t="s">
        <v>814</v>
      </c>
      <c r="E116" s="3899" t="s">
        <v>594</v>
      </c>
      <c r="F116" s="3897" t="s">
        <v>997</v>
      </c>
      <c r="G116" s="4045" t="s">
        <v>594</v>
      </c>
      <c r="H116" s="3901">
        <v>21</v>
      </c>
      <c r="I116" s="3897" t="s">
        <v>997</v>
      </c>
      <c r="J116" s="4044">
        <v>21</v>
      </c>
      <c r="K116" s="3901">
        <v>47</v>
      </c>
      <c r="L116" s="3897" t="s">
        <v>997</v>
      </c>
      <c r="M116" s="4046">
        <v>47</v>
      </c>
      <c r="N116" s="478"/>
      <c r="O116" s="3896" t="s">
        <v>814</v>
      </c>
      <c r="P116" s="3897" t="s">
        <v>997</v>
      </c>
      <c r="Q116" s="4047" t="s">
        <v>814</v>
      </c>
      <c r="R116" s="3899" t="s">
        <v>594</v>
      </c>
      <c r="S116" s="3897" t="s">
        <v>997</v>
      </c>
      <c r="T116" s="4048" t="s">
        <v>594</v>
      </c>
      <c r="U116" s="3901">
        <v>21</v>
      </c>
      <c r="V116" s="3897" t="s">
        <v>997</v>
      </c>
      <c r="W116" s="4047">
        <v>21</v>
      </c>
      <c r="X116" s="3901">
        <v>47</v>
      </c>
      <c r="Y116" s="3897" t="s">
        <v>997</v>
      </c>
      <c r="Z116" s="4049">
        <v>47</v>
      </c>
      <c r="AA116" s="478"/>
      <c r="AB116" s="478"/>
      <c r="AC116" s="478"/>
    </row>
    <row r="117" spans="1:29" s="2045" customFormat="1" ht="20.25">
      <c r="A117" s="478"/>
      <c r="B117" s="3896" t="s">
        <v>1834</v>
      </c>
      <c r="C117" s="3897" t="s">
        <v>997</v>
      </c>
      <c r="D117" s="4044" t="s">
        <v>1834</v>
      </c>
      <c r="E117" s="3899" t="s">
        <v>3628</v>
      </c>
      <c r="F117" s="3897" t="s">
        <v>997</v>
      </c>
      <c r="G117" s="4045" t="s">
        <v>3628</v>
      </c>
      <c r="H117" s="3901">
        <v>22</v>
      </c>
      <c r="I117" s="3897" t="s">
        <v>997</v>
      </c>
      <c r="J117" s="4044">
        <v>22</v>
      </c>
      <c r="K117" s="3901">
        <v>48</v>
      </c>
      <c r="L117" s="3897" t="s">
        <v>997</v>
      </c>
      <c r="M117" s="4046">
        <v>48</v>
      </c>
      <c r="N117" s="478"/>
      <c r="O117" s="3896" t="s">
        <v>1834</v>
      </c>
      <c r="P117" s="3897" t="s">
        <v>997</v>
      </c>
      <c r="Q117" s="4047" t="s">
        <v>1834</v>
      </c>
      <c r="R117" s="3899" t="s">
        <v>3628</v>
      </c>
      <c r="S117" s="3897" t="s">
        <v>997</v>
      </c>
      <c r="T117" s="4048" t="s">
        <v>3628</v>
      </c>
      <c r="U117" s="3901">
        <v>22</v>
      </c>
      <c r="V117" s="3897" t="s">
        <v>997</v>
      </c>
      <c r="W117" s="4047">
        <v>22</v>
      </c>
      <c r="X117" s="3901">
        <v>48</v>
      </c>
      <c r="Y117" s="3897" t="s">
        <v>997</v>
      </c>
      <c r="Z117" s="4049">
        <v>48</v>
      </c>
      <c r="AA117" s="478"/>
      <c r="AB117" s="478"/>
      <c r="AC117" s="478"/>
    </row>
    <row r="118" spans="1:29" s="2045" customFormat="1" ht="20.25">
      <c r="A118" s="478"/>
      <c r="B118" s="3896" t="s">
        <v>3629</v>
      </c>
      <c r="C118" s="3897" t="s">
        <v>997</v>
      </c>
      <c r="D118" s="4044" t="s">
        <v>3629</v>
      </c>
      <c r="E118" s="3899" t="s">
        <v>3630</v>
      </c>
      <c r="F118" s="3897" t="s">
        <v>997</v>
      </c>
      <c r="G118" s="4045" t="s">
        <v>3630</v>
      </c>
      <c r="H118" s="3901">
        <v>23</v>
      </c>
      <c r="I118" s="3897" t="s">
        <v>997</v>
      </c>
      <c r="J118" s="4044">
        <v>23</v>
      </c>
      <c r="K118" s="3901">
        <v>49</v>
      </c>
      <c r="L118" s="3897" t="s">
        <v>997</v>
      </c>
      <c r="M118" s="4046">
        <v>49</v>
      </c>
      <c r="N118" s="478"/>
      <c r="O118" s="3896" t="s">
        <v>3629</v>
      </c>
      <c r="P118" s="3897" t="s">
        <v>997</v>
      </c>
      <c r="Q118" s="4047" t="s">
        <v>3629</v>
      </c>
      <c r="R118" s="3899" t="s">
        <v>3630</v>
      </c>
      <c r="S118" s="3897" t="s">
        <v>997</v>
      </c>
      <c r="T118" s="4048" t="s">
        <v>3630</v>
      </c>
      <c r="U118" s="3901">
        <v>23</v>
      </c>
      <c r="V118" s="3897" t="s">
        <v>997</v>
      </c>
      <c r="W118" s="4047">
        <v>23</v>
      </c>
      <c r="X118" s="3901">
        <v>49</v>
      </c>
      <c r="Y118" s="3897" t="s">
        <v>997</v>
      </c>
      <c r="Z118" s="4049">
        <v>49</v>
      </c>
      <c r="AA118" s="478"/>
      <c r="AB118" s="478"/>
      <c r="AC118" s="478"/>
    </row>
    <row r="119" spans="1:29" s="2045" customFormat="1" ht="20.25">
      <c r="A119" s="478"/>
      <c r="B119" s="3896" t="s">
        <v>603</v>
      </c>
      <c r="C119" s="3897" t="s">
        <v>997</v>
      </c>
      <c r="D119" s="4044" t="s">
        <v>603</v>
      </c>
      <c r="E119" s="3899" t="s">
        <v>1326</v>
      </c>
      <c r="F119" s="3897" t="s">
        <v>997</v>
      </c>
      <c r="G119" s="4045" t="s">
        <v>1326</v>
      </c>
      <c r="H119" s="3901">
        <v>24</v>
      </c>
      <c r="I119" s="3897" t="s">
        <v>997</v>
      </c>
      <c r="J119" s="4044">
        <v>24</v>
      </c>
      <c r="K119" s="3901">
        <v>50</v>
      </c>
      <c r="L119" s="3897" t="s">
        <v>997</v>
      </c>
      <c r="M119" s="4046">
        <v>50</v>
      </c>
      <c r="N119" s="478"/>
      <c r="O119" s="3896" t="s">
        <v>603</v>
      </c>
      <c r="P119" s="3897" t="s">
        <v>997</v>
      </c>
      <c r="Q119" s="4047" t="s">
        <v>603</v>
      </c>
      <c r="R119" s="3899" t="s">
        <v>1326</v>
      </c>
      <c r="S119" s="3897" t="s">
        <v>997</v>
      </c>
      <c r="T119" s="4048" t="s">
        <v>1326</v>
      </c>
      <c r="U119" s="3901">
        <v>24</v>
      </c>
      <c r="V119" s="3897" t="s">
        <v>997</v>
      </c>
      <c r="W119" s="4047">
        <v>24</v>
      </c>
      <c r="X119" s="3901">
        <v>50</v>
      </c>
      <c r="Y119" s="3897" t="s">
        <v>997</v>
      </c>
      <c r="Z119" s="4049">
        <v>50</v>
      </c>
      <c r="AA119" s="478"/>
      <c r="AB119" s="478"/>
      <c r="AC119" s="478"/>
    </row>
    <row r="120" spans="1:29" s="2045" customFormat="1" ht="20.25">
      <c r="A120" s="478"/>
      <c r="B120" s="3896" t="s">
        <v>3621</v>
      </c>
      <c r="C120" s="3897" t="s">
        <v>997</v>
      </c>
      <c r="D120" s="4044" t="s">
        <v>3621</v>
      </c>
      <c r="E120" s="3899" t="s">
        <v>3626</v>
      </c>
      <c r="F120" s="3897" t="s">
        <v>997</v>
      </c>
      <c r="G120" s="4045" t="s">
        <v>3626</v>
      </c>
      <c r="H120" s="3901">
        <v>25</v>
      </c>
      <c r="I120" s="3897" t="s">
        <v>997</v>
      </c>
      <c r="J120" s="4044">
        <v>25</v>
      </c>
      <c r="K120" s="3901">
        <v>51</v>
      </c>
      <c r="L120" s="3897" t="s">
        <v>997</v>
      </c>
      <c r="M120" s="4046">
        <v>51</v>
      </c>
      <c r="N120" s="478"/>
      <c r="O120" s="3896" t="s">
        <v>3621</v>
      </c>
      <c r="P120" s="3897" t="s">
        <v>997</v>
      </c>
      <c r="Q120" s="4047" t="s">
        <v>3621</v>
      </c>
      <c r="R120" s="3899" t="s">
        <v>3626</v>
      </c>
      <c r="S120" s="3897" t="s">
        <v>997</v>
      </c>
      <c r="T120" s="4048" t="s">
        <v>3626</v>
      </c>
      <c r="U120" s="3901">
        <v>25</v>
      </c>
      <c r="V120" s="3897" t="s">
        <v>997</v>
      </c>
      <c r="W120" s="4047">
        <v>25</v>
      </c>
      <c r="X120" s="3901">
        <v>51</v>
      </c>
      <c r="Y120" s="3897" t="s">
        <v>997</v>
      </c>
      <c r="Z120" s="4049">
        <v>51</v>
      </c>
      <c r="AA120" s="478"/>
      <c r="AB120" s="478"/>
      <c r="AC120" s="478"/>
    </row>
    <row r="121" spans="1:29" s="2045" customFormat="1" ht="20.25">
      <c r="A121" s="478"/>
      <c r="B121" s="3896" t="s">
        <v>597</v>
      </c>
      <c r="C121" s="3897" t="s">
        <v>997</v>
      </c>
      <c r="D121" s="4044" t="s">
        <v>597</v>
      </c>
      <c r="E121" s="3899" t="s">
        <v>3625</v>
      </c>
      <c r="F121" s="3897" t="s">
        <v>997</v>
      </c>
      <c r="G121" s="4045" t="s">
        <v>3625</v>
      </c>
      <c r="H121" s="3901">
        <v>26</v>
      </c>
      <c r="I121" s="3897" t="s">
        <v>997</v>
      </c>
      <c r="J121" s="4044">
        <v>26</v>
      </c>
      <c r="K121" s="3901">
        <v>52</v>
      </c>
      <c r="L121" s="3897" t="s">
        <v>997</v>
      </c>
      <c r="M121" s="4046">
        <v>52</v>
      </c>
      <c r="N121" s="478"/>
      <c r="O121" s="3896" t="s">
        <v>597</v>
      </c>
      <c r="P121" s="3897" t="s">
        <v>997</v>
      </c>
      <c r="Q121" s="4047" t="s">
        <v>597</v>
      </c>
      <c r="R121" s="3899" t="s">
        <v>3625</v>
      </c>
      <c r="S121" s="3897" t="s">
        <v>997</v>
      </c>
      <c r="T121" s="4048" t="s">
        <v>3625</v>
      </c>
      <c r="U121" s="3901">
        <v>26</v>
      </c>
      <c r="V121" s="3897" t="s">
        <v>997</v>
      </c>
      <c r="W121" s="4047">
        <v>26</v>
      </c>
      <c r="X121" s="3901">
        <v>52</v>
      </c>
      <c r="Y121" s="3897" t="s">
        <v>997</v>
      </c>
      <c r="Z121" s="4049">
        <v>52</v>
      </c>
      <c r="AA121" s="478"/>
      <c r="AB121" s="478"/>
      <c r="AC121" s="478"/>
    </row>
    <row r="122" spans="1:29" s="2045" customFormat="1" ht="20.25">
      <c r="A122" s="478"/>
      <c r="B122" s="3896" t="s">
        <v>682</v>
      </c>
      <c r="C122" s="3897" t="s">
        <v>997</v>
      </c>
      <c r="D122" s="4044" t="s">
        <v>682</v>
      </c>
      <c r="E122" s="3899" t="s">
        <v>2010</v>
      </c>
      <c r="F122" s="3897" t="s">
        <v>997</v>
      </c>
      <c r="G122" s="4045" t="s">
        <v>2010</v>
      </c>
      <c r="H122" s="3901" t="s">
        <v>3623</v>
      </c>
      <c r="I122" s="3897" t="s">
        <v>997</v>
      </c>
      <c r="J122" s="4044" t="s">
        <v>3623</v>
      </c>
      <c r="K122" s="3901" t="s">
        <v>3631</v>
      </c>
      <c r="L122" s="3897" t="s">
        <v>997</v>
      </c>
      <c r="M122" s="4046" t="s">
        <v>3631</v>
      </c>
      <c r="N122" s="478"/>
      <c r="O122" s="3896" t="s">
        <v>682</v>
      </c>
      <c r="P122" s="3897" t="s">
        <v>997</v>
      </c>
      <c r="Q122" s="4047" t="s">
        <v>682</v>
      </c>
      <c r="R122" s="3899" t="s">
        <v>2010</v>
      </c>
      <c r="S122" s="3897" t="s">
        <v>997</v>
      </c>
      <c r="T122" s="4048" t="s">
        <v>2010</v>
      </c>
      <c r="U122" s="3901" t="s">
        <v>3623</v>
      </c>
      <c r="V122" s="3897" t="s">
        <v>997</v>
      </c>
      <c r="W122" s="4047" t="s">
        <v>3623</v>
      </c>
      <c r="X122" s="3901" t="s">
        <v>3631</v>
      </c>
      <c r="Y122" s="3897" t="s">
        <v>997</v>
      </c>
      <c r="Z122" s="4049" t="s">
        <v>3631</v>
      </c>
      <c r="AA122" s="478"/>
      <c r="AB122" s="478"/>
      <c r="AC122" s="478"/>
    </row>
    <row r="123" spans="1:29" s="2045" customFormat="1" ht="20.25">
      <c r="A123" s="478"/>
      <c r="B123" s="3896" t="s">
        <v>3557</v>
      </c>
      <c r="C123" s="3897" t="s">
        <v>997</v>
      </c>
      <c r="D123" s="4044" t="s">
        <v>3557</v>
      </c>
      <c r="E123" s="3899" t="s">
        <v>2008</v>
      </c>
      <c r="F123" s="3897" t="s">
        <v>997</v>
      </c>
      <c r="G123" s="4045" t="s">
        <v>2008</v>
      </c>
      <c r="H123" s="3901" t="s">
        <v>78</v>
      </c>
      <c r="I123" s="3897" t="s">
        <v>997</v>
      </c>
      <c r="J123" s="4044" t="s">
        <v>78</v>
      </c>
      <c r="K123" s="3901" t="s">
        <v>2882</v>
      </c>
      <c r="L123" s="3897" t="s">
        <v>997</v>
      </c>
      <c r="M123" s="4046" t="s">
        <v>2882</v>
      </c>
      <c r="N123" s="478"/>
      <c r="O123" s="3896" t="s">
        <v>3557</v>
      </c>
      <c r="P123" s="3897" t="s">
        <v>997</v>
      </c>
      <c r="Q123" s="4047" t="s">
        <v>3557</v>
      </c>
      <c r="R123" s="3899" t="s">
        <v>2008</v>
      </c>
      <c r="S123" s="3897" t="s">
        <v>997</v>
      </c>
      <c r="T123" s="4048" t="s">
        <v>2008</v>
      </c>
      <c r="U123" s="3901" t="s">
        <v>78</v>
      </c>
      <c r="V123" s="3897" t="s">
        <v>997</v>
      </c>
      <c r="W123" s="4047" t="s">
        <v>78</v>
      </c>
      <c r="X123" s="3901" t="s">
        <v>2882</v>
      </c>
      <c r="Y123" s="3897" t="s">
        <v>997</v>
      </c>
      <c r="Z123" s="4049" t="s">
        <v>2882</v>
      </c>
      <c r="AA123" s="478"/>
      <c r="AB123" s="478"/>
      <c r="AC123" s="478"/>
    </row>
    <row r="124" spans="1:29" s="2045" customFormat="1" ht="20.25">
      <c r="A124" s="478"/>
      <c r="B124" s="3896" t="s">
        <v>3563</v>
      </c>
      <c r="C124" s="3897" t="s">
        <v>997</v>
      </c>
      <c r="D124" s="4044" t="s">
        <v>3563</v>
      </c>
      <c r="E124" s="3899" t="s">
        <v>1331</v>
      </c>
      <c r="F124" s="3897" t="s">
        <v>997</v>
      </c>
      <c r="G124" s="4045" t="s">
        <v>1331</v>
      </c>
      <c r="H124" s="3901" t="s">
        <v>1984</v>
      </c>
      <c r="I124" s="3897" t="s">
        <v>997</v>
      </c>
      <c r="J124" s="4044" t="s">
        <v>1984</v>
      </c>
      <c r="K124" s="3901" t="s">
        <v>1321</v>
      </c>
      <c r="L124" s="3897" t="s">
        <v>997</v>
      </c>
      <c r="M124" s="4046" t="s">
        <v>1321</v>
      </c>
      <c r="N124" s="478"/>
      <c r="O124" s="3896" t="s">
        <v>3563</v>
      </c>
      <c r="P124" s="3897" t="s">
        <v>997</v>
      </c>
      <c r="Q124" s="4047" t="s">
        <v>3563</v>
      </c>
      <c r="R124" s="3899" t="s">
        <v>1331</v>
      </c>
      <c r="S124" s="3897" t="s">
        <v>997</v>
      </c>
      <c r="T124" s="4048" t="s">
        <v>1331</v>
      </c>
      <c r="U124" s="3901" t="s">
        <v>1984</v>
      </c>
      <c r="V124" s="3897" t="s">
        <v>997</v>
      </c>
      <c r="W124" s="4047" t="s">
        <v>1984</v>
      </c>
      <c r="X124" s="3901" t="s">
        <v>1321</v>
      </c>
      <c r="Y124" s="3897" t="s">
        <v>997</v>
      </c>
      <c r="Z124" s="4049" t="s">
        <v>1321</v>
      </c>
      <c r="AA124" s="478"/>
      <c r="AB124" s="478"/>
      <c r="AC124" s="478"/>
    </row>
    <row r="125" spans="1:29" s="2045" customFormat="1" ht="20.25">
      <c r="A125" s="478"/>
      <c r="B125" s="3896" t="s">
        <v>3655</v>
      </c>
      <c r="C125" s="3897" t="s">
        <v>997</v>
      </c>
      <c r="D125" s="4044" t="s">
        <v>3655</v>
      </c>
      <c r="E125" s="3899" t="s">
        <v>1330</v>
      </c>
      <c r="F125" s="3897" t="s">
        <v>997</v>
      </c>
      <c r="G125" s="4045" t="s">
        <v>1330</v>
      </c>
      <c r="H125" s="3901" t="s">
        <v>2048</v>
      </c>
      <c r="I125" s="3897" t="s">
        <v>997</v>
      </c>
      <c r="J125" s="4044" t="s">
        <v>2048</v>
      </c>
      <c r="K125" s="3901" t="s">
        <v>230</v>
      </c>
      <c r="L125" s="3897" t="s">
        <v>997</v>
      </c>
      <c r="M125" s="4046" t="s">
        <v>230</v>
      </c>
      <c r="N125" s="478"/>
      <c r="O125" s="3896" t="s">
        <v>3655</v>
      </c>
      <c r="P125" s="3897" t="s">
        <v>997</v>
      </c>
      <c r="Q125" s="4047" t="s">
        <v>3655</v>
      </c>
      <c r="R125" s="3899" t="s">
        <v>1330</v>
      </c>
      <c r="S125" s="3897" t="s">
        <v>997</v>
      </c>
      <c r="T125" s="4048" t="s">
        <v>1330</v>
      </c>
      <c r="U125" s="3901" t="s">
        <v>2048</v>
      </c>
      <c r="V125" s="3897" t="s">
        <v>997</v>
      </c>
      <c r="W125" s="4047" t="s">
        <v>2048</v>
      </c>
      <c r="X125" s="3901" t="s">
        <v>230</v>
      </c>
      <c r="Y125" s="3897" t="s">
        <v>997</v>
      </c>
      <c r="Z125" s="4049" t="s">
        <v>230</v>
      </c>
      <c r="AA125" s="478"/>
      <c r="AB125" s="478"/>
      <c r="AC125" s="478"/>
    </row>
    <row r="126" spans="1:29" s="2045" customFormat="1" ht="20.25">
      <c r="A126" s="478"/>
      <c r="B126" s="3896" t="s">
        <v>3567</v>
      </c>
      <c r="C126" s="3897" t="s">
        <v>997</v>
      </c>
      <c r="D126" s="4044" t="s">
        <v>3567</v>
      </c>
      <c r="E126" s="3899" t="s">
        <v>3561</v>
      </c>
      <c r="F126" s="3897" t="s">
        <v>997</v>
      </c>
      <c r="G126" s="4045" t="s">
        <v>3561</v>
      </c>
      <c r="H126" s="3901" t="s">
        <v>3656</v>
      </c>
      <c r="I126" s="3897" t="s">
        <v>997</v>
      </c>
      <c r="J126" s="4044" t="s">
        <v>3656</v>
      </c>
      <c r="K126" s="3901" t="s">
        <v>3558</v>
      </c>
      <c r="L126" s="3897" t="s">
        <v>997</v>
      </c>
      <c r="M126" s="4046" t="s">
        <v>3558</v>
      </c>
      <c r="N126" s="478"/>
      <c r="O126" s="3896" t="s">
        <v>3567</v>
      </c>
      <c r="P126" s="3897" t="s">
        <v>997</v>
      </c>
      <c r="Q126" s="4047" t="s">
        <v>3567</v>
      </c>
      <c r="R126" s="3899" t="s">
        <v>3561</v>
      </c>
      <c r="S126" s="3897" t="s">
        <v>997</v>
      </c>
      <c r="T126" s="4048" t="s">
        <v>3561</v>
      </c>
      <c r="U126" s="3901" t="s">
        <v>3656</v>
      </c>
      <c r="V126" s="3897" t="s">
        <v>997</v>
      </c>
      <c r="W126" s="4047" t="s">
        <v>3656</v>
      </c>
      <c r="X126" s="3901" t="s">
        <v>3558</v>
      </c>
      <c r="Y126" s="3897" t="s">
        <v>997</v>
      </c>
      <c r="Z126" s="4049" t="s">
        <v>3558</v>
      </c>
      <c r="AA126" s="478"/>
      <c r="AB126" s="478"/>
      <c r="AC126" s="478"/>
    </row>
    <row r="127" spans="1:29" s="2045" customFormat="1" ht="20.25">
      <c r="A127" s="478"/>
      <c r="B127" s="3896" t="s">
        <v>3569</v>
      </c>
      <c r="C127" s="3897" t="s">
        <v>997</v>
      </c>
      <c r="D127" s="4044" t="s">
        <v>3569</v>
      </c>
      <c r="E127" s="3899" t="s">
        <v>3570</v>
      </c>
      <c r="F127" s="3897" t="s">
        <v>997</v>
      </c>
      <c r="G127" s="4045" t="s">
        <v>3570</v>
      </c>
      <c r="H127" s="3901" t="s">
        <v>3657</v>
      </c>
      <c r="I127" s="3897" t="s">
        <v>997</v>
      </c>
      <c r="J127" s="4044" t="s">
        <v>3657</v>
      </c>
      <c r="K127" s="3901" t="s">
        <v>2007</v>
      </c>
      <c r="L127" s="3897" t="s">
        <v>997</v>
      </c>
      <c r="M127" s="4046" t="s">
        <v>2007</v>
      </c>
      <c r="N127" s="478"/>
      <c r="O127" s="3896" t="s">
        <v>3569</v>
      </c>
      <c r="P127" s="3897" t="s">
        <v>997</v>
      </c>
      <c r="Q127" s="4047" t="s">
        <v>3569</v>
      </c>
      <c r="R127" s="3899" t="s">
        <v>3570</v>
      </c>
      <c r="S127" s="3897" t="s">
        <v>997</v>
      </c>
      <c r="T127" s="4048" t="s">
        <v>3570</v>
      </c>
      <c r="U127" s="3901" t="s">
        <v>3657</v>
      </c>
      <c r="V127" s="3897" t="s">
        <v>997</v>
      </c>
      <c r="W127" s="4047" t="s">
        <v>3657</v>
      </c>
      <c r="X127" s="3901" t="s">
        <v>2007</v>
      </c>
      <c r="Y127" s="3897" t="s">
        <v>997</v>
      </c>
      <c r="Z127" s="4049" t="s">
        <v>2007</v>
      </c>
      <c r="AA127" s="478"/>
      <c r="AB127" s="478"/>
      <c r="AC127" s="478"/>
    </row>
    <row r="128" spans="1:29" s="2045" customFormat="1" ht="20.25">
      <c r="A128" s="478"/>
      <c r="B128" s="3896" t="s">
        <v>3659</v>
      </c>
      <c r="C128" s="3897" t="s">
        <v>997</v>
      </c>
      <c r="D128" s="4044" t="s">
        <v>3659</v>
      </c>
      <c r="E128" s="3899" t="s">
        <v>3560</v>
      </c>
      <c r="F128" s="3897" t="s">
        <v>997</v>
      </c>
      <c r="G128" s="4045" t="s">
        <v>3560</v>
      </c>
      <c r="H128" s="3901" t="s">
        <v>3566</v>
      </c>
      <c r="I128" s="3897" t="s">
        <v>997</v>
      </c>
      <c r="J128" s="4044" t="s">
        <v>3566</v>
      </c>
      <c r="K128" s="3901" t="s">
        <v>3660</v>
      </c>
      <c r="L128" s="3897" t="s">
        <v>997</v>
      </c>
      <c r="M128" s="4046" t="s">
        <v>3660</v>
      </c>
      <c r="N128" s="478"/>
      <c r="O128" s="3896" t="s">
        <v>3659</v>
      </c>
      <c r="P128" s="3897" t="s">
        <v>997</v>
      </c>
      <c r="Q128" s="4047" t="s">
        <v>3659</v>
      </c>
      <c r="R128" s="3899" t="s">
        <v>3560</v>
      </c>
      <c r="S128" s="3897" t="s">
        <v>997</v>
      </c>
      <c r="T128" s="4048" t="s">
        <v>3560</v>
      </c>
      <c r="U128" s="3901" t="s">
        <v>3566</v>
      </c>
      <c r="V128" s="3897" t="s">
        <v>997</v>
      </c>
      <c r="W128" s="4047" t="s">
        <v>3566</v>
      </c>
      <c r="X128" s="3901" t="s">
        <v>3660</v>
      </c>
      <c r="Y128" s="3897" t="s">
        <v>997</v>
      </c>
      <c r="Z128" s="4049" t="s">
        <v>3660</v>
      </c>
      <c r="AA128" s="478"/>
      <c r="AB128" s="478"/>
      <c r="AC128" s="478"/>
    </row>
    <row r="129" spans="1:29" s="2045" customFormat="1" ht="20.25">
      <c r="A129" s="478"/>
      <c r="B129" s="3896" t="s">
        <v>3661</v>
      </c>
      <c r="C129" s="3897" t="s">
        <v>997</v>
      </c>
      <c r="D129" s="4044" t="s">
        <v>3661</v>
      </c>
      <c r="E129" s="3899" t="s">
        <v>3571</v>
      </c>
      <c r="F129" s="3897" t="s">
        <v>997</v>
      </c>
      <c r="G129" s="4045" t="s">
        <v>3571</v>
      </c>
      <c r="H129" s="3901" t="s">
        <v>2156</v>
      </c>
      <c r="I129" s="3897" t="s">
        <v>997</v>
      </c>
      <c r="J129" s="4044" t="s">
        <v>2156</v>
      </c>
      <c r="K129" s="3901" t="s">
        <v>3662</v>
      </c>
      <c r="L129" s="3897" t="s">
        <v>997</v>
      </c>
      <c r="M129" s="4046" t="s">
        <v>3662</v>
      </c>
      <c r="N129" s="478"/>
      <c r="O129" s="3896" t="s">
        <v>3661</v>
      </c>
      <c r="P129" s="3897" t="s">
        <v>997</v>
      </c>
      <c r="Q129" s="4047" t="s">
        <v>3661</v>
      </c>
      <c r="R129" s="3899" t="s">
        <v>3571</v>
      </c>
      <c r="S129" s="3897" t="s">
        <v>997</v>
      </c>
      <c r="T129" s="4048" t="s">
        <v>3571</v>
      </c>
      <c r="U129" s="3901" t="s">
        <v>2156</v>
      </c>
      <c r="V129" s="3897" t="s">
        <v>997</v>
      </c>
      <c r="W129" s="4047" t="s">
        <v>2156</v>
      </c>
      <c r="X129" s="3901" t="s">
        <v>3662</v>
      </c>
      <c r="Y129" s="3897" t="s">
        <v>997</v>
      </c>
      <c r="Z129" s="4049" t="s">
        <v>3662</v>
      </c>
      <c r="AA129" s="478"/>
      <c r="AB129" s="478"/>
      <c r="AC129" s="478"/>
    </row>
    <row r="130" spans="1:29" s="2045" customFormat="1" ht="20.25">
      <c r="A130" s="478"/>
      <c r="B130" s="3896"/>
      <c r="C130" s="3897" t="s">
        <v>997</v>
      </c>
      <c r="D130" s="4044"/>
      <c r="E130" s="3899" t="s">
        <v>3562</v>
      </c>
      <c r="F130" s="3897" t="s">
        <v>997</v>
      </c>
      <c r="G130" s="4045" t="s">
        <v>3562</v>
      </c>
      <c r="H130" s="3901" t="s">
        <v>3565</v>
      </c>
      <c r="I130" s="3897" t="s">
        <v>997</v>
      </c>
      <c r="J130" s="4044" t="s">
        <v>3565</v>
      </c>
      <c r="K130" s="3901"/>
      <c r="L130" s="3897" t="s">
        <v>997</v>
      </c>
      <c r="M130" s="4046"/>
      <c r="N130" s="478"/>
      <c r="O130" s="3896"/>
      <c r="P130" s="3897" t="s">
        <v>997</v>
      </c>
      <c r="Q130" s="4047"/>
      <c r="R130" s="3899" t="s">
        <v>3562</v>
      </c>
      <c r="S130" s="3897" t="s">
        <v>997</v>
      </c>
      <c r="T130" s="4048" t="s">
        <v>3562</v>
      </c>
      <c r="U130" s="3901" t="s">
        <v>3565</v>
      </c>
      <c r="V130" s="3897" t="s">
        <v>997</v>
      </c>
      <c r="W130" s="4047" t="s">
        <v>3565</v>
      </c>
      <c r="X130" s="3901"/>
      <c r="Y130" s="3897" t="s">
        <v>997</v>
      </c>
      <c r="Z130" s="4049"/>
      <c r="AA130" s="478"/>
      <c r="AB130" s="478"/>
      <c r="AC130" s="478"/>
    </row>
    <row r="131" spans="1:29" s="2045" customFormat="1" ht="15">
      <c r="A131" s="642"/>
      <c r="B131" s="4050"/>
      <c r="C131" s="4051"/>
      <c r="D131" s="4051"/>
      <c r="E131" s="4051"/>
      <c r="F131" s="4051"/>
      <c r="G131" s="4051"/>
      <c r="H131" s="4051"/>
      <c r="I131" s="4051"/>
      <c r="J131" s="4051"/>
      <c r="K131" s="4051"/>
      <c r="L131" s="4051"/>
      <c r="M131" s="4052"/>
      <c r="N131" s="4053"/>
      <c r="O131" s="4050"/>
      <c r="P131" s="4051"/>
      <c r="Q131" s="4051"/>
      <c r="R131" s="4051"/>
      <c r="S131" s="4051"/>
      <c r="T131" s="4051"/>
      <c r="U131" s="4051"/>
      <c r="V131" s="4051"/>
      <c r="W131" s="4051"/>
      <c r="X131" s="4051"/>
      <c r="Y131" s="4051"/>
      <c r="Z131" s="4054"/>
      <c r="AA131" s="4031"/>
      <c r="AB131" s="642"/>
      <c r="AC131" s="642"/>
    </row>
    <row r="134" spans="1:29" s="2045" customFormat="1" ht="45">
      <c r="A134" s="642"/>
      <c r="B134" s="3872" t="s">
        <v>3528</v>
      </c>
      <c r="C134" s="3873"/>
      <c r="D134" s="3874" t="s">
        <v>3529</v>
      </c>
      <c r="E134" s="3878" t="s">
        <v>3697</v>
      </c>
      <c r="F134" s="3879"/>
      <c r="G134" s="3879"/>
      <c r="H134" s="3879"/>
      <c r="I134" s="3879"/>
      <c r="J134" s="3879"/>
      <c r="K134" s="3879"/>
      <c r="L134" s="3879"/>
      <c r="M134" s="3880"/>
      <c r="N134" s="642"/>
      <c r="O134" s="3872" t="s">
        <v>3528</v>
      </c>
      <c r="P134" s="3873"/>
      <c r="Q134" s="3874" t="s">
        <v>3529</v>
      </c>
      <c r="R134" s="4055" t="s">
        <v>3698</v>
      </c>
      <c r="S134" s="4056"/>
      <c r="T134" s="4056"/>
      <c r="U134" s="4056"/>
      <c r="V134" s="4056"/>
      <c r="W134" s="4056"/>
      <c r="X134" s="4056"/>
      <c r="Y134" s="4056"/>
      <c r="Z134" s="4057"/>
      <c r="AA134" s="642"/>
      <c r="AB134" s="642"/>
      <c r="AC134" s="642"/>
    </row>
    <row r="135" spans="1:29" s="2045" customFormat="1" ht="20.25">
      <c r="A135" s="642"/>
      <c r="B135" s="3881" t="s">
        <v>3533</v>
      </c>
      <c r="C135" s="3882" t="s">
        <v>997</v>
      </c>
      <c r="D135" s="4058" t="str">
        <f>B135</f>
        <v>Aa</v>
      </c>
      <c r="E135" s="3980" t="s">
        <v>3532</v>
      </c>
      <c r="F135" s="3980"/>
      <c r="G135" s="3981"/>
      <c r="H135" s="3981"/>
      <c r="I135" s="3981"/>
      <c r="J135" s="3981"/>
      <c r="K135" s="3981"/>
      <c r="L135" s="3981"/>
      <c r="M135" s="3982"/>
      <c r="N135" s="642"/>
      <c r="O135" s="3881" t="s">
        <v>3533</v>
      </c>
      <c r="P135" s="3882" t="s">
        <v>997</v>
      </c>
      <c r="Q135" s="4059" t="str">
        <f>O135</f>
        <v>Aa</v>
      </c>
      <c r="R135" s="3980" t="s">
        <v>3532</v>
      </c>
      <c r="S135" s="3980"/>
      <c r="T135" s="3981"/>
      <c r="U135" s="3981"/>
      <c r="V135" s="3981"/>
      <c r="W135" s="3981"/>
      <c r="X135" s="3981"/>
      <c r="Y135" s="3981"/>
      <c r="Z135" s="3982"/>
      <c r="AA135" s="642"/>
      <c r="AB135" s="642"/>
      <c r="AC135" s="642"/>
    </row>
    <row r="136" spans="1:29" s="2045" customFormat="1">
      <c r="A136" s="642"/>
      <c r="B136" s="3890"/>
      <c r="C136" s="642"/>
      <c r="D136" s="642"/>
      <c r="E136" s="642"/>
      <c r="F136" s="642"/>
      <c r="G136" s="642"/>
      <c r="H136" s="642"/>
      <c r="I136" s="642"/>
      <c r="J136" s="642"/>
      <c r="K136" s="642"/>
      <c r="L136" s="642"/>
      <c r="M136" s="3891"/>
      <c r="N136" s="642"/>
      <c r="O136" s="3890"/>
      <c r="P136" s="642"/>
      <c r="Q136" s="642"/>
      <c r="R136" s="642"/>
      <c r="S136" s="642"/>
      <c r="T136" s="642"/>
      <c r="U136" s="642"/>
      <c r="V136" s="642"/>
      <c r="W136" s="642"/>
      <c r="X136" s="642"/>
      <c r="Y136" s="642"/>
      <c r="Z136" s="3891"/>
      <c r="AA136" s="642"/>
      <c r="AB136" s="642"/>
      <c r="AC136" s="642"/>
    </row>
    <row r="137" spans="1:29" s="2045" customFormat="1">
      <c r="A137" s="642"/>
      <c r="B137" s="3894" t="s">
        <v>3535</v>
      </c>
      <c r="C137" s="7100" t="s">
        <v>3536</v>
      </c>
      <c r="D137" s="7101"/>
      <c r="E137" s="3895" t="s">
        <v>3537</v>
      </c>
      <c r="F137" s="7100" t="s">
        <v>3536</v>
      </c>
      <c r="G137" s="7101"/>
      <c r="H137" s="3895" t="s">
        <v>3538</v>
      </c>
      <c r="I137" s="7100" t="s">
        <v>3536</v>
      </c>
      <c r="J137" s="7101"/>
      <c r="K137" s="3895" t="s">
        <v>3539</v>
      </c>
      <c r="L137" s="7100" t="s">
        <v>3536</v>
      </c>
      <c r="M137" s="7106"/>
      <c r="N137" s="642"/>
      <c r="O137" s="3894" t="s">
        <v>3535</v>
      </c>
      <c r="P137" s="7130" t="s">
        <v>3536</v>
      </c>
      <c r="Q137" s="7132"/>
      <c r="R137" s="3895" t="s">
        <v>3537</v>
      </c>
      <c r="S137" s="7130" t="s">
        <v>3536</v>
      </c>
      <c r="T137" s="7132"/>
      <c r="U137" s="3895" t="s">
        <v>3538</v>
      </c>
      <c r="V137" s="7130" t="s">
        <v>3536</v>
      </c>
      <c r="W137" s="7132"/>
      <c r="X137" s="3895" t="s">
        <v>3539</v>
      </c>
      <c r="Y137" s="7130" t="s">
        <v>3536</v>
      </c>
      <c r="Z137" s="7131"/>
      <c r="AA137" s="642"/>
      <c r="AB137" s="642"/>
      <c r="AC137" s="642"/>
    </row>
    <row r="138" spans="1:29" s="2045" customFormat="1" ht="20.25">
      <c r="A138" s="478"/>
      <c r="B138" s="3896" t="s">
        <v>24</v>
      </c>
      <c r="C138" s="3897" t="s">
        <v>997</v>
      </c>
      <c r="D138" s="4060" t="s">
        <v>24</v>
      </c>
      <c r="E138" s="3899" t="s">
        <v>3540</v>
      </c>
      <c r="F138" s="3897" t="s">
        <v>997</v>
      </c>
      <c r="G138" s="4061" t="s">
        <v>3540</v>
      </c>
      <c r="H138" s="3901">
        <v>1</v>
      </c>
      <c r="I138" s="3897" t="s">
        <v>997</v>
      </c>
      <c r="J138" s="4062">
        <v>1</v>
      </c>
      <c r="K138" s="3901">
        <v>27</v>
      </c>
      <c r="L138" s="3897" t="s">
        <v>997</v>
      </c>
      <c r="M138" s="4063">
        <v>27</v>
      </c>
      <c r="N138" s="478"/>
      <c r="O138" s="3896" t="s">
        <v>24</v>
      </c>
      <c r="P138" s="3897" t="s">
        <v>997</v>
      </c>
      <c r="Q138" s="4064" t="s">
        <v>24</v>
      </c>
      <c r="R138" s="3899" t="s">
        <v>3540</v>
      </c>
      <c r="S138" s="3897" t="s">
        <v>997</v>
      </c>
      <c r="T138" s="4065" t="s">
        <v>3540</v>
      </c>
      <c r="U138" s="3901">
        <v>1</v>
      </c>
      <c r="V138" s="3897" t="s">
        <v>997</v>
      </c>
      <c r="W138" s="4064">
        <v>1</v>
      </c>
      <c r="X138" s="3901">
        <v>27</v>
      </c>
      <c r="Y138" s="3897" t="s">
        <v>997</v>
      </c>
      <c r="Z138" s="4066">
        <v>27</v>
      </c>
      <c r="AA138" s="478"/>
      <c r="AB138" s="478"/>
      <c r="AC138" s="478"/>
    </row>
    <row r="139" spans="1:29" s="2045" customFormat="1" ht="20.25">
      <c r="A139" s="478"/>
      <c r="B139" s="3896" t="s">
        <v>21</v>
      </c>
      <c r="C139" s="3897" t="s">
        <v>997</v>
      </c>
      <c r="D139" s="4060" t="s">
        <v>21</v>
      </c>
      <c r="E139" s="3899" t="s">
        <v>3556</v>
      </c>
      <c r="F139" s="3897" t="s">
        <v>997</v>
      </c>
      <c r="G139" s="4061" t="s">
        <v>3556</v>
      </c>
      <c r="H139" s="3901">
        <v>2</v>
      </c>
      <c r="I139" s="3897" t="s">
        <v>997</v>
      </c>
      <c r="J139" s="4062">
        <v>2</v>
      </c>
      <c r="K139" s="3901">
        <v>28</v>
      </c>
      <c r="L139" s="3897" t="s">
        <v>997</v>
      </c>
      <c r="M139" s="4063">
        <v>28</v>
      </c>
      <c r="N139" s="478"/>
      <c r="O139" s="3896" t="s">
        <v>21</v>
      </c>
      <c r="P139" s="3897" t="s">
        <v>997</v>
      </c>
      <c r="Q139" s="4064" t="s">
        <v>21</v>
      </c>
      <c r="R139" s="3899" t="s">
        <v>3556</v>
      </c>
      <c r="S139" s="3897" t="s">
        <v>997</v>
      </c>
      <c r="T139" s="4065" t="s">
        <v>3556</v>
      </c>
      <c r="U139" s="3901">
        <v>2</v>
      </c>
      <c r="V139" s="3897" t="s">
        <v>997</v>
      </c>
      <c r="W139" s="4064">
        <v>2</v>
      </c>
      <c r="X139" s="3901">
        <v>28</v>
      </c>
      <c r="Y139" s="3897" t="s">
        <v>997</v>
      </c>
      <c r="Z139" s="4066">
        <v>28</v>
      </c>
      <c r="AA139" s="478"/>
      <c r="AB139" s="478"/>
      <c r="AC139" s="478"/>
    </row>
    <row r="140" spans="1:29" s="2045" customFormat="1" ht="20.25">
      <c r="A140" s="478"/>
      <c r="B140" s="3896" t="s">
        <v>6</v>
      </c>
      <c r="C140" s="3897" t="s">
        <v>997</v>
      </c>
      <c r="D140" s="4060" t="s">
        <v>6</v>
      </c>
      <c r="E140" s="3899" t="s">
        <v>3572</v>
      </c>
      <c r="F140" s="3897" t="s">
        <v>997</v>
      </c>
      <c r="G140" s="4061" t="s">
        <v>3572</v>
      </c>
      <c r="H140" s="3901">
        <v>3</v>
      </c>
      <c r="I140" s="3897" t="s">
        <v>997</v>
      </c>
      <c r="J140" s="4062">
        <v>3</v>
      </c>
      <c r="K140" s="3901">
        <v>29</v>
      </c>
      <c r="L140" s="3897" t="s">
        <v>997</v>
      </c>
      <c r="M140" s="4063">
        <v>29</v>
      </c>
      <c r="N140" s="478"/>
      <c r="O140" s="3896" t="s">
        <v>6</v>
      </c>
      <c r="P140" s="3897" t="s">
        <v>997</v>
      </c>
      <c r="Q140" s="4064" t="s">
        <v>6</v>
      </c>
      <c r="R140" s="3899" t="s">
        <v>3572</v>
      </c>
      <c r="S140" s="3897" t="s">
        <v>997</v>
      </c>
      <c r="T140" s="4065" t="s">
        <v>3572</v>
      </c>
      <c r="U140" s="3901">
        <v>3</v>
      </c>
      <c r="V140" s="3897" t="s">
        <v>997</v>
      </c>
      <c r="W140" s="4064">
        <v>3</v>
      </c>
      <c r="X140" s="3901">
        <v>29</v>
      </c>
      <c r="Y140" s="3897" t="s">
        <v>997</v>
      </c>
      <c r="Z140" s="4066">
        <v>29</v>
      </c>
      <c r="AA140" s="478"/>
      <c r="AB140" s="478"/>
      <c r="AC140" s="478"/>
    </row>
    <row r="141" spans="1:29" s="2045" customFormat="1" ht="20.25">
      <c r="A141" s="478"/>
      <c r="B141" s="3896" t="s">
        <v>713</v>
      </c>
      <c r="C141" s="3897" t="s">
        <v>997</v>
      </c>
      <c r="D141" s="4060" t="s">
        <v>713</v>
      </c>
      <c r="E141" s="3899" t="s">
        <v>3580</v>
      </c>
      <c r="F141" s="3897" t="s">
        <v>997</v>
      </c>
      <c r="G141" s="4061" t="s">
        <v>3580</v>
      </c>
      <c r="H141" s="3901">
        <v>4</v>
      </c>
      <c r="I141" s="3897" t="s">
        <v>997</v>
      </c>
      <c r="J141" s="4062">
        <v>4</v>
      </c>
      <c r="K141" s="3901">
        <v>30</v>
      </c>
      <c r="L141" s="3897" t="s">
        <v>997</v>
      </c>
      <c r="M141" s="4063">
        <v>30</v>
      </c>
      <c r="N141" s="478"/>
      <c r="O141" s="3896" t="s">
        <v>713</v>
      </c>
      <c r="P141" s="3897" t="s">
        <v>997</v>
      </c>
      <c r="Q141" s="4064" t="s">
        <v>713</v>
      </c>
      <c r="R141" s="3899" t="s">
        <v>3580</v>
      </c>
      <c r="S141" s="3897" t="s">
        <v>997</v>
      </c>
      <c r="T141" s="4065" t="s">
        <v>3580</v>
      </c>
      <c r="U141" s="3901">
        <v>4</v>
      </c>
      <c r="V141" s="3897" t="s">
        <v>997</v>
      </c>
      <c r="W141" s="4064">
        <v>4</v>
      </c>
      <c r="X141" s="3901">
        <v>30</v>
      </c>
      <c r="Y141" s="3897" t="s">
        <v>997</v>
      </c>
      <c r="Z141" s="4066">
        <v>30</v>
      </c>
      <c r="AA141" s="478"/>
      <c r="AB141" s="478"/>
      <c r="AC141" s="478"/>
    </row>
    <row r="142" spans="1:29" s="2045" customFormat="1" ht="20.25">
      <c r="A142" s="478"/>
      <c r="B142" s="3896" t="s">
        <v>1697</v>
      </c>
      <c r="C142" s="3897" t="s">
        <v>997</v>
      </c>
      <c r="D142" s="4060" t="s">
        <v>1697</v>
      </c>
      <c r="E142" s="3899" t="s">
        <v>3581</v>
      </c>
      <c r="F142" s="3897" t="s">
        <v>997</v>
      </c>
      <c r="G142" s="4061" t="s">
        <v>3581</v>
      </c>
      <c r="H142" s="3901">
        <v>5</v>
      </c>
      <c r="I142" s="3897" t="s">
        <v>997</v>
      </c>
      <c r="J142" s="4062">
        <v>5</v>
      </c>
      <c r="K142" s="3901">
        <v>31</v>
      </c>
      <c r="L142" s="3897" t="s">
        <v>997</v>
      </c>
      <c r="M142" s="4063">
        <v>31</v>
      </c>
      <c r="N142" s="478"/>
      <c r="O142" s="3896" t="s">
        <v>1697</v>
      </c>
      <c r="P142" s="3897" t="s">
        <v>997</v>
      </c>
      <c r="Q142" s="4064" t="s">
        <v>1697</v>
      </c>
      <c r="R142" s="3899" t="s">
        <v>3581</v>
      </c>
      <c r="S142" s="3897" t="s">
        <v>997</v>
      </c>
      <c r="T142" s="4065" t="s">
        <v>3581</v>
      </c>
      <c r="U142" s="3901">
        <v>5</v>
      </c>
      <c r="V142" s="3897" t="s">
        <v>997</v>
      </c>
      <c r="W142" s="4064">
        <v>5</v>
      </c>
      <c r="X142" s="3901">
        <v>31</v>
      </c>
      <c r="Y142" s="3897" t="s">
        <v>997</v>
      </c>
      <c r="Z142" s="4066">
        <v>31</v>
      </c>
      <c r="AA142" s="478"/>
      <c r="AB142" s="478"/>
      <c r="AC142" s="478"/>
    </row>
    <row r="143" spans="1:29" s="2045" customFormat="1" ht="20.25">
      <c r="A143" s="478"/>
      <c r="B143" s="3896" t="s">
        <v>23</v>
      </c>
      <c r="C143" s="3897" t="s">
        <v>997</v>
      </c>
      <c r="D143" s="4060" t="s">
        <v>23</v>
      </c>
      <c r="E143" s="3899" t="s">
        <v>3582</v>
      </c>
      <c r="F143" s="3897" t="s">
        <v>997</v>
      </c>
      <c r="G143" s="4061" t="s">
        <v>3582</v>
      </c>
      <c r="H143" s="3901">
        <v>6</v>
      </c>
      <c r="I143" s="3897" t="s">
        <v>997</v>
      </c>
      <c r="J143" s="4062">
        <v>6</v>
      </c>
      <c r="K143" s="3901">
        <v>32</v>
      </c>
      <c r="L143" s="3897" t="s">
        <v>997</v>
      </c>
      <c r="M143" s="4063">
        <v>32</v>
      </c>
      <c r="N143" s="478"/>
      <c r="O143" s="3896" t="s">
        <v>23</v>
      </c>
      <c r="P143" s="3897" t="s">
        <v>997</v>
      </c>
      <c r="Q143" s="4064" t="s">
        <v>23</v>
      </c>
      <c r="R143" s="3899" t="s">
        <v>3582</v>
      </c>
      <c r="S143" s="3897" t="s">
        <v>997</v>
      </c>
      <c r="T143" s="4065" t="s">
        <v>3582</v>
      </c>
      <c r="U143" s="3901">
        <v>6</v>
      </c>
      <c r="V143" s="3897" t="s">
        <v>997</v>
      </c>
      <c r="W143" s="4064">
        <v>6</v>
      </c>
      <c r="X143" s="3901">
        <v>32</v>
      </c>
      <c r="Y143" s="3897" t="s">
        <v>997</v>
      </c>
      <c r="Z143" s="4066">
        <v>32</v>
      </c>
      <c r="AA143" s="478"/>
      <c r="AB143" s="478"/>
      <c r="AC143" s="478"/>
    </row>
    <row r="144" spans="1:29" s="2045" customFormat="1" ht="20.25">
      <c r="A144" s="478"/>
      <c r="B144" s="3896" t="s">
        <v>1782</v>
      </c>
      <c r="C144" s="3897" t="s">
        <v>997</v>
      </c>
      <c r="D144" s="4060" t="s">
        <v>1782</v>
      </c>
      <c r="E144" s="3899" t="s">
        <v>2072</v>
      </c>
      <c r="F144" s="3897" t="s">
        <v>997</v>
      </c>
      <c r="G144" s="4061" t="s">
        <v>2072</v>
      </c>
      <c r="H144" s="3901">
        <v>7</v>
      </c>
      <c r="I144" s="3897" t="s">
        <v>997</v>
      </c>
      <c r="J144" s="4062">
        <v>7</v>
      </c>
      <c r="K144" s="3901">
        <v>33</v>
      </c>
      <c r="L144" s="3897" t="s">
        <v>997</v>
      </c>
      <c r="M144" s="4063">
        <v>33</v>
      </c>
      <c r="N144" s="478"/>
      <c r="O144" s="3896" t="s">
        <v>1782</v>
      </c>
      <c r="P144" s="3897" t="s">
        <v>997</v>
      </c>
      <c r="Q144" s="4064" t="s">
        <v>1782</v>
      </c>
      <c r="R144" s="3899" t="s">
        <v>2072</v>
      </c>
      <c r="S144" s="3897" t="s">
        <v>997</v>
      </c>
      <c r="T144" s="4065" t="s">
        <v>2072</v>
      </c>
      <c r="U144" s="3901">
        <v>7</v>
      </c>
      <c r="V144" s="3897" t="s">
        <v>997</v>
      </c>
      <c r="W144" s="4064">
        <v>7</v>
      </c>
      <c r="X144" s="3901">
        <v>33</v>
      </c>
      <c r="Y144" s="3897" t="s">
        <v>997</v>
      </c>
      <c r="Z144" s="4066">
        <v>33</v>
      </c>
      <c r="AA144" s="478"/>
      <c r="AB144" s="478"/>
      <c r="AC144" s="478"/>
    </row>
    <row r="145" spans="1:29" s="2045" customFormat="1" ht="20.25">
      <c r="A145" s="478"/>
      <c r="B145" s="3896" t="s">
        <v>1698</v>
      </c>
      <c r="C145" s="3897" t="s">
        <v>997</v>
      </c>
      <c r="D145" s="4060" t="s">
        <v>1698</v>
      </c>
      <c r="E145" s="3899" t="s">
        <v>3585</v>
      </c>
      <c r="F145" s="3897" t="s">
        <v>997</v>
      </c>
      <c r="G145" s="4061" t="s">
        <v>3585</v>
      </c>
      <c r="H145" s="3901">
        <v>8</v>
      </c>
      <c r="I145" s="3897" t="s">
        <v>997</v>
      </c>
      <c r="J145" s="4062">
        <v>8</v>
      </c>
      <c r="K145" s="3901">
        <v>34</v>
      </c>
      <c r="L145" s="3897" t="s">
        <v>997</v>
      </c>
      <c r="M145" s="4063">
        <v>34</v>
      </c>
      <c r="N145" s="478"/>
      <c r="O145" s="3896" t="s">
        <v>1698</v>
      </c>
      <c r="P145" s="3897" t="s">
        <v>997</v>
      </c>
      <c r="Q145" s="4064" t="s">
        <v>1698</v>
      </c>
      <c r="R145" s="3899" t="s">
        <v>3585</v>
      </c>
      <c r="S145" s="3897" t="s">
        <v>997</v>
      </c>
      <c r="T145" s="4065" t="s">
        <v>3585</v>
      </c>
      <c r="U145" s="3901">
        <v>8</v>
      </c>
      <c r="V145" s="3897" t="s">
        <v>997</v>
      </c>
      <c r="W145" s="4064">
        <v>8</v>
      </c>
      <c r="X145" s="3901">
        <v>34</v>
      </c>
      <c r="Y145" s="3897" t="s">
        <v>997</v>
      </c>
      <c r="Z145" s="4066">
        <v>34</v>
      </c>
      <c r="AA145" s="478"/>
      <c r="AB145" s="478"/>
      <c r="AC145" s="478"/>
    </row>
    <row r="146" spans="1:29" s="2045" customFormat="1" ht="20.25">
      <c r="A146" s="478"/>
      <c r="B146" s="3896" t="s">
        <v>20</v>
      </c>
      <c r="C146" s="3897" t="s">
        <v>997</v>
      </c>
      <c r="D146" s="4060" t="s">
        <v>20</v>
      </c>
      <c r="E146" s="3899" t="s">
        <v>3586</v>
      </c>
      <c r="F146" s="3897" t="s">
        <v>997</v>
      </c>
      <c r="G146" s="4061" t="s">
        <v>3586</v>
      </c>
      <c r="H146" s="3901">
        <v>9</v>
      </c>
      <c r="I146" s="3897" t="s">
        <v>997</v>
      </c>
      <c r="J146" s="4062">
        <v>9</v>
      </c>
      <c r="K146" s="3901">
        <v>35</v>
      </c>
      <c r="L146" s="3897" t="s">
        <v>997</v>
      </c>
      <c r="M146" s="4063">
        <v>35</v>
      </c>
      <c r="N146" s="478"/>
      <c r="O146" s="3896" t="s">
        <v>20</v>
      </c>
      <c r="P146" s="3897" t="s">
        <v>997</v>
      </c>
      <c r="Q146" s="4064" t="s">
        <v>20</v>
      </c>
      <c r="R146" s="3899" t="s">
        <v>3586</v>
      </c>
      <c r="S146" s="3897" t="s">
        <v>997</v>
      </c>
      <c r="T146" s="4065" t="s">
        <v>3586</v>
      </c>
      <c r="U146" s="3901">
        <v>9</v>
      </c>
      <c r="V146" s="3897" t="s">
        <v>997</v>
      </c>
      <c r="W146" s="4064">
        <v>9</v>
      </c>
      <c r="X146" s="3901">
        <v>35</v>
      </c>
      <c r="Y146" s="3897" t="s">
        <v>997</v>
      </c>
      <c r="Z146" s="4066">
        <v>35</v>
      </c>
      <c r="AA146" s="478"/>
      <c r="AB146" s="478"/>
      <c r="AC146" s="478"/>
    </row>
    <row r="147" spans="1:29" s="2045" customFormat="1" ht="20.25">
      <c r="A147" s="478"/>
      <c r="B147" s="3896" t="s">
        <v>18</v>
      </c>
      <c r="C147" s="3897" t="s">
        <v>997</v>
      </c>
      <c r="D147" s="4060" t="s">
        <v>18</v>
      </c>
      <c r="E147" s="3899" t="s">
        <v>3588</v>
      </c>
      <c r="F147" s="3897" t="s">
        <v>997</v>
      </c>
      <c r="G147" s="4061" t="s">
        <v>3588</v>
      </c>
      <c r="H147" s="3901">
        <v>10</v>
      </c>
      <c r="I147" s="3897" t="s">
        <v>997</v>
      </c>
      <c r="J147" s="4062">
        <v>10</v>
      </c>
      <c r="K147" s="3901">
        <v>36</v>
      </c>
      <c r="L147" s="3897" t="s">
        <v>997</v>
      </c>
      <c r="M147" s="4063">
        <v>36</v>
      </c>
      <c r="N147" s="478"/>
      <c r="O147" s="3896" t="s">
        <v>18</v>
      </c>
      <c r="P147" s="3897" t="s">
        <v>997</v>
      </c>
      <c r="Q147" s="4064" t="s">
        <v>18</v>
      </c>
      <c r="R147" s="3899" t="s">
        <v>3588</v>
      </c>
      <c r="S147" s="3897" t="s">
        <v>997</v>
      </c>
      <c r="T147" s="4065" t="s">
        <v>3588</v>
      </c>
      <c r="U147" s="3901">
        <v>10</v>
      </c>
      <c r="V147" s="3897" t="s">
        <v>997</v>
      </c>
      <c r="W147" s="4064">
        <v>10</v>
      </c>
      <c r="X147" s="3901">
        <v>36</v>
      </c>
      <c r="Y147" s="3897" t="s">
        <v>997</v>
      </c>
      <c r="Z147" s="4066">
        <v>36</v>
      </c>
      <c r="AA147" s="478"/>
      <c r="AB147" s="478"/>
      <c r="AC147" s="478"/>
    </row>
    <row r="148" spans="1:29" s="2045" customFormat="1" ht="20.25">
      <c r="A148" s="478"/>
      <c r="B148" s="3896" t="s">
        <v>15</v>
      </c>
      <c r="C148" s="3897" t="s">
        <v>997</v>
      </c>
      <c r="D148" s="4060" t="s">
        <v>15</v>
      </c>
      <c r="E148" s="3899" t="s">
        <v>3590</v>
      </c>
      <c r="F148" s="3897" t="s">
        <v>997</v>
      </c>
      <c r="G148" s="4061" t="s">
        <v>3590</v>
      </c>
      <c r="H148" s="3901">
        <v>11</v>
      </c>
      <c r="I148" s="3897" t="s">
        <v>997</v>
      </c>
      <c r="J148" s="4062">
        <v>11</v>
      </c>
      <c r="K148" s="3901">
        <v>37</v>
      </c>
      <c r="L148" s="3897" t="s">
        <v>997</v>
      </c>
      <c r="M148" s="4063">
        <v>37</v>
      </c>
      <c r="N148" s="478"/>
      <c r="O148" s="3896" t="s">
        <v>15</v>
      </c>
      <c r="P148" s="3897" t="s">
        <v>997</v>
      </c>
      <c r="Q148" s="4064" t="s">
        <v>15</v>
      </c>
      <c r="R148" s="3899" t="s">
        <v>3590</v>
      </c>
      <c r="S148" s="3897" t="s">
        <v>997</v>
      </c>
      <c r="T148" s="4065" t="s">
        <v>3590</v>
      </c>
      <c r="U148" s="3901">
        <v>11</v>
      </c>
      <c r="V148" s="3897" t="s">
        <v>997</v>
      </c>
      <c r="W148" s="4064">
        <v>11</v>
      </c>
      <c r="X148" s="3901">
        <v>37</v>
      </c>
      <c r="Y148" s="3897" t="s">
        <v>997</v>
      </c>
      <c r="Z148" s="4066">
        <v>37</v>
      </c>
      <c r="AA148" s="478"/>
      <c r="AB148" s="478"/>
      <c r="AC148" s="478"/>
    </row>
    <row r="149" spans="1:29" s="2045" customFormat="1" ht="20.25">
      <c r="A149" s="478"/>
      <c r="B149" s="3896" t="s">
        <v>398</v>
      </c>
      <c r="C149" s="3897" t="s">
        <v>997</v>
      </c>
      <c r="D149" s="4060" t="s">
        <v>398</v>
      </c>
      <c r="E149" s="3899" t="s">
        <v>3592</v>
      </c>
      <c r="F149" s="3897" t="s">
        <v>997</v>
      </c>
      <c r="G149" s="4061" t="s">
        <v>3592</v>
      </c>
      <c r="H149" s="3901">
        <v>12</v>
      </c>
      <c r="I149" s="3897" t="s">
        <v>997</v>
      </c>
      <c r="J149" s="4062">
        <v>12</v>
      </c>
      <c r="K149" s="3901">
        <v>38</v>
      </c>
      <c r="L149" s="3897" t="s">
        <v>997</v>
      </c>
      <c r="M149" s="4063">
        <v>38</v>
      </c>
      <c r="N149" s="478"/>
      <c r="O149" s="3896" t="s">
        <v>398</v>
      </c>
      <c r="P149" s="3897" t="s">
        <v>997</v>
      </c>
      <c r="Q149" s="4064" t="s">
        <v>398</v>
      </c>
      <c r="R149" s="3899" t="s">
        <v>3592</v>
      </c>
      <c r="S149" s="3897" t="s">
        <v>997</v>
      </c>
      <c r="T149" s="4065" t="s">
        <v>3592</v>
      </c>
      <c r="U149" s="3901">
        <v>12</v>
      </c>
      <c r="V149" s="3897" t="s">
        <v>997</v>
      </c>
      <c r="W149" s="4064">
        <v>12</v>
      </c>
      <c r="X149" s="3901">
        <v>38</v>
      </c>
      <c r="Y149" s="3897" t="s">
        <v>997</v>
      </c>
      <c r="Z149" s="4066">
        <v>38</v>
      </c>
      <c r="AA149" s="478"/>
      <c r="AB149" s="478"/>
      <c r="AC149" s="478"/>
    </row>
    <row r="150" spans="1:29" s="2045" customFormat="1" ht="20.25">
      <c r="A150" s="478"/>
      <c r="B150" s="3896" t="s">
        <v>807</v>
      </c>
      <c r="C150" s="3897" t="s">
        <v>997</v>
      </c>
      <c r="D150" s="4060" t="s">
        <v>807</v>
      </c>
      <c r="E150" s="3899" t="s">
        <v>3593</v>
      </c>
      <c r="F150" s="3897" t="s">
        <v>997</v>
      </c>
      <c r="G150" s="4061" t="s">
        <v>3593</v>
      </c>
      <c r="H150" s="3901">
        <v>13</v>
      </c>
      <c r="I150" s="3897" t="s">
        <v>997</v>
      </c>
      <c r="J150" s="4062">
        <v>13</v>
      </c>
      <c r="K150" s="3901">
        <v>39</v>
      </c>
      <c r="L150" s="3897" t="s">
        <v>997</v>
      </c>
      <c r="M150" s="4063">
        <v>39</v>
      </c>
      <c r="N150" s="478"/>
      <c r="O150" s="3896" t="s">
        <v>807</v>
      </c>
      <c r="P150" s="3897" t="s">
        <v>997</v>
      </c>
      <c r="Q150" s="4064" t="s">
        <v>807</v>
      </c>
      <c r="R150" s="3899" t="s">
        <v>3593</v>
      </c>
      <c r="S150" s="3897" t="s">
        <v>997</v>
      </c>
      <c r="T150" s="4065" t="s">
        <v>3593</v>
      </c>
      <c r="U150" s="3901">
        <v>13</v>
      </c>
      <c r="V150" s="3897" t="s">
        <v>997</v>
      </c>
      <c r="W150" s="4064">
        <v>13</v>
      </c>
      <c r="X150" s="3901">
        <v>39</v>
      </c>
      <c r="Y150" s="3897" t="s">
        <v>997</v>
      </c>
      <c r="Z150" s="4066">
        <v>39</v>
      </c>
      <c r="AA150" s="478"/>
      <c r="AB150" s="478"/>
      <c r="AC150" s="478"/>
    </row>
    <row r="151" spans="1:29" s="2045" customFormat="1" ht="20.25">
      <c r="A151" s="478"/>
      <c r="B151" s="3896" t="s">
        <v>808</v>
      </c>
      <c r="C151" s="3897" t="s">
        <v>997</v>
      </c>
      <c r="D151" s="4060" t="s">
        <v>808</v>
      </c>
      <c r="E151" s="3899" t="s">
        <v>3595</v>
      </c>
      <c r="F151" s="3897" t="s">
        <v>997</v>
      </c>
      <c r="G151" s="4061" t="s">
        <v>3595</v>
      </c>
      <c r="H151" s="3901">
        <v>14</v>
      </c>
      <c r="I151" s="3897" t="s">
        <v>997</v>
      </c>
      <c r="J151" s="4062">
        <v>14</v>
      </c>
      <c r="K151" s="3901">
        <v>40</v>
      </c>
      <c r="L151" s="3897" t="s">
        <v>997</v>
      </c>
      <c r="M151" s="4063">
        <v>40</v>
      </c>
      <c r="N151" s="478"/>
      <c r="O151" s="3896" t="s">
        <v>808</v>
      </c>
      <c r="P151" s="3897" t="s">
        <v>997</v>
      </c>
      <c r="Q151" s="4064" t="s">
        <v>808</v>
      </c>
      <c r="R151" s="3899" t="s">
        <v>3595</v>
      </c>
      <c r="S151" s="3897" t="s">
        <v>997</v>
      </c>
      <c r="T151" s="4065" t="s">
        <v>3595</v>
      </c>
      <c r="U151" s="3901">
        <v>14</v>
      </c>
      <c r="V151" s="3897" t="s">
        <v>997</v>
      </c>
      <c r="W151" s="4064">
        <v>14</v>
      </c>
      <c r="X151" s="3901">
        <v>40</v>
      </c>
      <c r="Y151" s="3897" t="s">
        <v>997</v>
      </c>
      <c r="Z151" s="4066">
        <v>40</v>
      </c>
      <c r="AA151" s="478"/>
      <c r="AB151" s="478"/>
      <c r="AC151" s="478"/>
    </row>
    <row r="152" spans="1:29" s="2045" customFormat="1" ht="20.25">
      <c r="A152" s="478"/>
      <c r="B152" s="3896" t="s">
        <v>809</v>
      </c>
      <c r="C152" s="3897" t="s">
        <v>997</v>
      </c>
      <c r="D152" s="4060" t="s">
        <v>809</v>
      </c>
      <c r="E152" s="3899" t="s">
        <v>3608</v>
      </c>
      <c r="F152" s="3897" t="s">
        <v>997</v>
      </c>
      <c r="G152" s="4061" t="s">
        <v>3608</v>
      </c>
      <c r="H152" s="3901">
        <v>15</v>
      </c>
      <c r="I152" s="3897" t="s">
        <v>997</v>
      </c>
      <c r="J152" s="4062">
        <v>15</v>
      </c>
      <c r="K152" s="3901">
        <v>41</v>
      </c>
      <c r="L152" s="3897" t="s">
        <v>997</v>
      </c>
      <c r="M152" s="4063">
        <v>41</v>
      </c>
      <c r="N152" s="478"/>
      <c r="O152" s="3896" t="s">
        <v>809</v>
      </c>
      <c r="P152" s="3897" t="s">
        <v>997</v>
      </c>
      <c r="Q152" s="4064" t="s">
        <v>809</v>
      </c>
      <c r="R152" s="3899" t="s">
        <v>3608</v>
      </c>
      <c r="S152" s="3897" t="s">
        <v>997</v>
      </c>
      <c r="T152" s="4065" t="s">
        <v>3608</v>
      </c>
      <c r="U152" s="3901">
        <v>15</v>
      </c>
      <c r="V152" s="3897" t="s">
        <v>997</v>
      </c>
      <c r="W152" s="4064">
        <v>15</v>
      </c>
      <c r="X152" s="3901">
        <v>41</v>
      </c>
      <c r="Y152" s="3897" t="s">
        <v>997</v>
      </c>
      <c r="Z152" s="4066">
        <v>41</v>
      </c>
      <c r="AA152" s="478"/>
      <c r="AB152" s="478"/>
      <c r="AC152" s="478"/>
    </row>
    <row r="153" spans="1:29" s="2045" customFormat="1" ht="20.25">
      <c r="A153" s="478"/>
      <c r="B153" s="3896" t="s">
        <v>810</v>
      </c>
      <c r="C153" s="3897" t="s">
        <v>997</v>
      </c>
      <c r="D153" s="4060" t="s">
        <v>810</v>
      </c>
      <c r="E153" s="3899" t="s">
        <v>593</v>
      </c>
      <c r="F153" s="3897" t="s">
        <v>997</v>
      </c>
      <c r="G153" s="4061" t="s">
        <v>593</v>
      </c>
      <c r="H153" s="3901">
        <v>16</v>
      </c>
      <c r="I153" s="3897" t="s">
        <v>997</v>
      </c>
      <c r="J153" s="4062">
        <v>16</v>
      </c>
      <c r="K153" s="3901">
        <v>42</v>
      </c>
      <c r="L153" s="3897" t="s">
        <v>997</v>
      </c>
      <c r="M153" s="4063">
        <v>42</v>
      </c>
      <c r="N153" s="478"/>
      <c r="O153" s="3896" t="s">
        <v>810</v>
      </c>
      <c r="P153" s="3897" t="s">
        <v>997</v>
      </c>
      <c r="Q153" s="4064" t="s">
        <v>810</v>
      </c>
      <c r="R153" s="3899" t="s">
        <v>593</v>
      </c>
      <c r="S153" s="3897" t="s">
        <v>997</v>
      </c>
      <c r="T153" s="4065" t="s">
        <v>593</v>
      </c>
      <c r="U153" s="3901">
        <v>16</v>
      </c>
      <c r="V153" s="3897" t="s">
        <v>997</v>
      </c>
      <c r="W153" s="4064">
        <v>16</v>
      </c>
      <c r="X153" s="3901">
        <v>42</v>
      </c>
      <c r="Y153" s="3897" t="s">
        <v>997</v>
      </c>
      <c r="Z153" s="4066">
        <v>42</v>
      </c>
      <c r="AA153" s="478"/>
      <c r="AB153" s="478"/>
      <c r="AC153" s="478"/>
    </row>
    <row r="154" spans="1:29" s="2045" customFormat="1" ht="20.25">
      <c r="A154" s="478"/>
      <c r="B154" s="3896" t="s">
        <v>811</v>
      </c>
      <c r="C154" s="3897" t="s">
        <v>997</v>
      </c>
      <c r="D154" s="4060" t="s">
        <v>811</v>
      </c>
      <c r="E154" s="3899" t="s">
        <v>473</v>
      </c>
      <c r="F154" s="3897" t="s">
        <v>997</v>
      </c>
      <c r="G154" s="4061" t="s">
        <v>473</v>
      </c>
      <c r="H154" s="3901">
        <v>17</v>
      </c>
      <c r="I154" s="3897" t="s">
        <v>997</v>
      </c>
      <c r="J154" s="4062">
        <v>17</v>
      </c>
      <c r="K154" s="3901">
        <v>43</v>
      </c>
      <c r="L154" s="3897" t="s">
        <v>997</v>
      </c>
      <c r="M154" s="4063">
        <v>43</v>
      </c>
      <c r="N154" s="478"/>
      <c r="O154" s="3896" t="s">
        <v>811</v>
      </c>
      <c r="P154" s="3897" t="s">
        <v>997</v>
      </c>
      <c r="Q154" s="4064" t="s">
        <v>811</v>
      </c>
      <c r="R154" s="3899" t="s">
        <v>473</v>
      </c>
      <c r="S154" s="3897" t="s">
        <v>997</v>
      </c>
      <c r="T154" s="4065" t="s">
        <v>473</v>
      </c>
      <c r="U154" s="3901">
        <v>17</v>
      </c>
      <c r="V154" s="3897" t="s">
        <v>997</v>
      </c>
      <c r="W154" s="4064">
        <v>17</v>
      </c>
      <c r="X154" s="3901">
        <v>43</v>
      </c>
      <c r="Y154" s="3897" t="s">
        <v>997</v>
      </c>
      <c r="Z154" s="4066">
        <v>43</v>
      </c>
      <c r="AA154" s="478"/>
      <c r="AB154" s="478"/>
      <c r="AC154" s="478"/>
    </row>
    <row r="155" spans="1:29" s="2045" customFormat="1" ht="20.25">
      <c r="A155" s="478"/>
      <c r="B155" s="3896" t="s">
        <v>812</v>
      </c>
      <c r="C155" s="3897" t="s">
        <v>997</v>
      </c>
      <c r="D155" s="4060" t="s">
        <v>812</v>
      </c>
      <c r="E155" s="3899" t="s">
        <v>3624</v>
      </c>
      <c r="F155" s="3897" t="s">
        <v>997</v>
      </c>
      <c r="G155" s="4061" t="s">
        <v>3624</v>
      </c>
      <c r="H155" s="3901">
        <v>18</v>
      </c>
      <c r="I155" s="3897" t="s">
        <v>997</v>
      </c>
      <c r="J155" s="4062">
        <v>18</v>
      </c>
      <c r="K155" s="3901">
        <v>44</v>
      </c>
      <c r="L155" s="3897" t="s">
        <v>997</v>
      </c>
      <c r="M155" s="4063">
        <v>44</v>
      </c>
      <c r="N155" s="478"/>
      <c r="O155" s="3896" t="s">
        <v>812</v>
      </c>
      <c r="P155" s="3897" t="s">
        <v>997</v>
      </c>
      <c r="Q155" s="4064" t="s">
        <v>812</v>
      </c>
      <c r="R155" s="3899" t="s">
        <v>3624</v>
      </c>
      <c r="S155" s="3897" t="s">
        <v>997</v>
      </c>
      <c r="T155" s="4065" t="s">
        <v>3624</v>
      </c>
      <c r="U155" s="3901">
        <v>18</v>
      </c>
      <c r="V155" s="3897" t="s">
        <v>997</v>
      </c>
      <c r="W155" s="4064">
        <v>18</v>
      </c>
      <c r="X155" s="3901">
        <v>44</v>
      </c>
      <c r="Y155" s="3897" t="s">
        <v>997</v>
      </c>
      <c r="Z155" s="4066">
        <v>44</v>
      </c>
      <c r="AA155" s="478"/>
      <c r="AB155" s="478"/>
      <c r="AC155" s="478"/>
    </row>
    <row r="156" spans="1:29" s="2045" customFormat="1" ht="20.25">
      <c r="A156" s="478"/>
      <c r="B156" s="3896" t="s">
        <v>12</v>
      </c>
      <c r="C156" s="3897" t="s">
        <v>997</v>
      </c>
      <c r="D156" s="4060" t="s">
        <v>12</v>
      </c>
      <c r="E156" s="3899" t="s">
        <v>681</v>
      </c>
      <c r="F156" s="3897" t="s">
        <v>997</v>
      </c>
      <c r="G156" s="4061" t="s">
        <v>681</v>
      </c>
      <c r="H156" s="3901">
        <v>19</v>
      </c>
      <c r="I156" s="3897" t="s">
        <v>997</v>
      </c>
      <c r="J156" s="4062">
        <v>19</v>
      </c>
      <c r="K156" s="3901">
        <v>45</v>
      </c>
      <c r="L156" s="3897" t="s">
        <v>997</v>
      </c>
      <c r="M156" s="4063">
        <v>45</v>
      </c>
      <c r="N156" s="478"/>
      <c r="O156" s="3896" t="s">
        <v>12</v>
      </c>
      <c r="P156" s="3897" t="s">
        <v>997</v>
      </c>
      <c r="Q156" s="4064" t="s">
        <v>12</v>
      </c>
      <c r="R156" s="3899" t="s">
        <v>681</v>
      </c>
      <c r="S156" s="3897" t="s">
        <v>997</v>
      </c>
      <c r="T156" s="4065" t="s">
        <v>681</v>
      </c>
      <c r="U156" s="3901">
        <v>19</v>
      </c>
      <c r="V156" s="3897" t="s">
        <v>997</v>
      </c>
      <c r="W156" s="4064">
        <v>19</v>
      </c>
      <c r="X156" s="3901">
        <v>45</v>
      </c>
      <c r="Y156" s="3897" t="s">
        <v>997</v>
      </c>
      <c r="Z156" s="4066">
        <v>45</v>
      </c>
      <c r="AA156" s="478"/>
      <c r="AB156" s="478"/>
      <c r="AC156" s="478"/>
    </row>
    <row r="157" spans="1:29" s="2045" customFormat="1" ht="20.25">
      <c r="A157" s="478"/>
      <c r="B157" s="3896" t="s">
        <v>813</v>
      </c>
      <c r="C157" s="3897" t="s">
        <v>997</v>
      </c>
      <c r="D157" s="4060" t="s">
        <v>813</v>
      </c>
      <c r="E157" s="3899" t="s">
        <v>602</v>
      </c>
      <c r="F157" s="3897" t="s">
        <v>997</v>
      </c>
      <c r="G157" s="4061" t="s">
        <v>602</v>
      </c>
      <c r="H157" s="3901">
        <v>20</v>
      </c>
      <c r="I157" s="3897" t="s">
        <v>997</v>
      </c>
      <c r="J157" s="4062">
        <v>20</v>
      </c>
      <c r="K157" s="3901">
        <v>46</v>
      </c>
      <c r="L157" s="3897" t="s">
        <v>997</v>
      </c>
      <c r="M157" s="4063">
        <v>46</v>
      </c>
      <c r="N157" s="478"/>
      <c r="O157" s="3896" t="s">
        <v>813</v>
      </c>
      <c r="P157" s="3897" t="s">
        <v>997</v>
      </c>
      <c r="Q157" s="4064" t="s">
        <v>813</v>
      </c>
      <c r="R157" s="3899" t="s">
        <v>602</v>
      </c>
      <c r="S157" s="3897" t="s">
        <v>997</v>
      </c>
      <c r="T157" s="4065" t="s">
        <v>602</v>
      </c>
      <c r="U157" s="3901">
        <v>20</v>
      </c>
      <c r="V157" s="3897" t="s">
        <v>997</v>
      </c>
      <c r="W157" s="4064">
        <v>20</v>
      </c>
      <c r="X157" s="3901">
        <v>46</v>
      </c>
      <c r="Y157" s="3897" t="s">
        <v>997</v>
      </c>
      <c r="Z157" s="4066">
        <v>46</v>
      </c>
      <c r="AA157" s="478"/>
      <c r="AB157" s="478"/>
      <c r="AC157" s="478"/>
    </row>
    <row r="158" spans="1:29" s="2045" customFormat="1" ht="20.25">
      <c r="A158" s="478"/>
      <c r="B158" s="3896" t="s">
        <v>814</v>
      </c>
      <c r="C158" s="3897" t="s">
        <v>997</v>
      </c>
      <c r="D158" s="4060" t="s">
        <v>814</v>
      </c>
      <c r="E158" s="3899" t="s">
        <v>594</v>
      </c>
      <c r="F158" s="3897" t="s">
        <v>997</v>
      </c>
      <c r="G158" s="4061" t="s">
        <v>594</v>
      </c>
      <c r="H158" s="3901">
        <v>21</v>
      </c>
      <c r="I158" s="3897" t="s">
        <v>997</v>
      </c>
      <c r="J158" s="4062">
        <v>21</v>
      </c>
      <c r="K158" s="3901">
        <v>47</v>
      </c>
      <c r="L158" s="3897" t="s">
        <v>997</v>
      </c>
      <c r="M158" s="4063">
        <v>47</v>
      </c>
      <c r="N158" s="478"/>
      <c r="O158" s="3896" t="s">
        <v>814</v>
      </c>
      <c r="P158" s="3897" t="s">
        <v>997</v>
      </c>
      <c r="Q158" s="4064" t="s">
        <v>814</v>
      </c>
      <c r="R158" s="3899" t="s">
        <v>594</v>
      </c>
      <c r="S158" s="3897" t="s">
        <v>997</v>
      </c>
      <c r="T158" s="4065" t="s">
        <v>594</v>
      </c>
      <c r="U158" s="3901">
        <v>21</v>
      </c>
      <c r="V158" s="3897" t="s">
        <v>997</v>
      </c>
      <c r="W158" s="4064">
        <v>21</v>
      </c>
      <c r="X158" s="3901">
        <v>47</v>
      </c>
      <c r="Y158" s="3897" t="s">
        <v>997</v>
      </c>
      <c r="Z158" s="4066">
        <v>47</v>
      </c>
      <c r="AA158" s="478"/>
      <c r="AB158" s="478"/>
      <c r="AC158" s="478"/>
    </row>
    <row r="159" spans="1:29" s="2045" customFormat="1" ht="20.25">
      <c r="A159" s="478"/>
      <c r="B159" s="3896" t="s">
        <v>1834</v>
      </c>
      <c r="C159" s="3897" t="s">
        <v>997</v>
      </c>
      <c r="D159" s="4060" t="s">
        <v>1834</v>
      </c>
      <c r="E159" s="3899" t="s">
        <v>3628</v>
      </c>
      <c r="F159" s="3897" t="s">
        <v>997</v>
      </c>
      <c r="G159" s="4061" t="s">
        <v>3628</v>
      </c>
      <c r="H159" s="3901">
        <v>22</v>
      </c>
      <c r="I159" s="3897" t="s">
        <v>997</v>
      </c>
      <c r="J159" s="4062">
        <v>22</v>
      </c>
      <c r="K159" s="3901">
        <v>48</v>
      </c>
      <c r="L159" s="3897" t="s">
        <v>997</v>
      </c>
      <c r="M159" s="4063">
        <v>48</v>
      </c>
      <c r="N159" s="478"/>
      <c r="O159" s="3896" t="s">
        <v>1834</v>
      </c>
      <c r="P159" s="3897" t="s">
        <v>997</v>
      </c>
      <c r="Q159" s="4064" t="s">
        <v>1834</v>
      </c>
      <c r="R159" s="3899" t="s">
        <v>3628</v>
      </c>
      <c r="S159" s="3897" t="s">
        <v>997</v>
      </c>
      <c r="T159" s="4065" t="s">
        <v>3628</v>
      </c>
      <c r="U159" s="3901">
        <v>22</v>
      </c>
      <c r="V159" s="3897" t="s">
        <v>997</v>
      </c>
      <c r="W159" s="4064">
        <v>22</v>
      </c>
      <c r="X159" s="3901">
        <v>48</v>
      </c>
      <c r="Y159" s="3897" t="s">
        <v>997</v>
      </c>
      <c r="Z159" s="4066">
        <v>48</v>
      </c>
      <c r="AA159" s="478"/>
      <c r="AB159" s="478"/>
      <c r="AC159" s="478"/>
    </row>
    <row r="160" spans="1:29" s="2045" customFormat="1" ht="20.25">
      <c r="A160" s="478"/>
      <c r="B160" s="3896" t="s">
        <v>3629</v>
      </c>
      <c r="C160" s="3897" t="s">
        <v>997</v>
      </c>
      <c r="D160" s="4060" t="s">
        <v>3629</v>
      </c>
      <c r="E160" s="3899" t="s">
        <v>3630</v>
      </c>
      <c r="F160" s="3897" t="s">
        <v>997</v>
      </c>
      <c r="G160" s="4061" t="s">
        <v>3630</v>
      </c>
      <c r="H160" s="3901">
        <v>23</v>
      </c>
      <c r="I160" s="3897" t="s">
        <v>997</v>
      </c>
      <c r="J160" s="4062">
        <v>23</v>
      </c>
      <c r="K160" s="3901">
        <v>49</v>
      </c>
      <c r="L160" s="3897" t="s">
        <v>997</v>
      </c>
      <c r="M160" s="4063">
        <v>49</v>
      </c>
      <c r="N160" s="478"/>
      <c r="O160" s="3896" t="s">
        <v>3629</v>
      </c>
      <c r="P160" s="3897" t="s">
        <v>997</v>
      </c>
      <c r="Q160" s="4064" t="s">
        <v>3629</v>
      </c>
      <c r="R160" s="3899" t="s">
        <v>3630</v>
      </c>
      <c r="S160" s="3897" t="s">
        <v>997</v>
      </c>
      <c r="T160" s="4065" t="s">
        <v>3630</v>
      </c>
      <c r="U160" s="3901">
        <v>23</v>
      </c>
      <c r="V160" s="3897" t="s">
        <v>997</v>
      </c>
      <c r="W160" s="4064">
        <v>23</v>
      </c>
      <c r="X160" s="3901">
        <v>49</v>
      </c>
      <c r="Y160" s="3897" t="s">
        <v>997</v>
      </c>
      <c r="Z160" s="4066">
        <v>49</v>
      </c>
      <c r="AA160" s="478"/>
      <c r="AB160" s="478"/>
      <c r="AC160" s="478"/>
    </row>
    <row r="161" spans="1:29" s="2045" customFormat="1" ht="20.25">
      <c r="A161" s="478"/>
      <c r="B161" s="3896" t="s">
        <v>603</v>
      </c>
      <c r="C161" s="3897" t="s">
        <v>997</v>
      </c>
      <c r="D161" s="4060" t="s">
        <v>603</v>
      </c>
      <c r="E161" s="3899" t="s">
        <v>1326</v>
      </c>
      <c r="F161" s="3897" t="s">
        <v>997</v>
      </c>
      <c r="G161" s="4061" t="s">
        <v>1326</v>
      </c>
      <c r="H161" s="3901">
        <v>24</v>
      </c>
      <c r="I161" s="3897" t="s">
        <v>997</v>
      </c>
      <c r="J161" s="4062">
        <v>24</v>
      </c>
      <c r="K161" s="3901">
        <v>50</v>
      </c>
      <c r="L161" s="3897" t="s">
        <v>997</v>
      </c>
      <c r="M161" s="4063">
        <v>50</v>
      </c>
      <c r="N161" s="478"/>
      <c r="O161" s="3896" t="s">
        <v>603</v>
      </c>
      <c r="P161" s="3897" t="s">
        <v>997</v>
      </c>
      <c r="Q161" s="4064" t="s">
        <v>603</v>
      </c>
      <c r="R161" s="3899" t="s">
        <v>1326</v>
      </c>
      <c r="S161" s="3897" t="s">
        <v>997</v>
      </c>
      <c r="T161" s="4065" t="s">
        <v>1326</v>
      </c>
      <c r="U161" s="3901">
        <v>24</v>
      </c>
      <c r="V161" s="3897" t="s">
        <v>997</v>
      </c>
      <c r="W161" s="4064">
        <v>24</v>
      </c>
      <c r="X161" s="3901">
        <v>50</v>
      </c>
      <c r="Y161" s="3897" t="s">
        <v>997</v>
      </c>
      <c r="Z161" s="4066">
        <v>50</v>
      </c>
      <c r="AA161" s="478"/>
      <c r="AB161" s="478"/>
      <c r="AC161" s="478"/>
    </row>
    <row r="162" spans="1:29" s="2045" customFormat="1" ht="20.25">
      <c r="A162" s="478"/>
      <c r="B162" s="3896" t="s">
        <v>3621</v>
      </c>
      <c r="C162" s="3897" t="s">
        <v>997</v>
      </c>
      <c r="D162" s="4060" t="s">
        <v>3621</v>
      </c>
      <c r="E162" s="3899" t="s">
        <v>3626</v>
      </c>
      <c r="F162" s="3897" t="s">
        <v>997</v>
      </c>
      <c r="G162" s="4061" t="s">
        <v>3626</v>
      </c>
      <c r="H162" s="3901">
        <v>25</v>
      </c>
      <c r="I162" s="3897" t="s">
        <v>997</v>
      </c>
      <c r="J162" s="4062">
        <v>25</v>
      </c>
      <c r="K162" s="3901">
        <v>51</v>
      </c>
      <c r="L162" s="3897" t="s">
        <v>997</v>
      </c>
      <c r="M162" s="4063">
        <v>51</v>
      </c>
      <c r="N162" s="478"/>
      <c r="O162" s="3896" t="s">
        <v>3621</v>
      </c>
      <c r="P162" s="3897" t="s">
        <v>997</v>
      </c>
      <c r="Q162" s="4064" t="s">
        <v>3621</v>
      </c>
      <c r="R162" s="3899" t="s">
        <v>3626</v>
      </c>
      <c r="S162" s="3897" t="s">
        <v>997</v>
      </c>
      <c r="T162" s="4065" t="s">
        <v>3626</v>
      </c>
      <c r="U162" s="3901">
        <v>25</v>
      </c>
      <c r="V162" s="3897" t="s">
        <v>997</v>
      </c>
      <c r="W162" s="4064">
        <v>25</v>
      </c>
      <c r="X162" s="3901">
        <v>51</v>
      </c>
      <c r="Y162" s="3897" t="s">
        <v>997</v>
      </c>
      <c r="Z162" s="4066">
        <v>51</v>
      </c>
      <c r="AA162" s="478"/>
      <c r="AB162" s="478"/>
      <c r="AC162" s="478"/>
    </row>
    <row r="163" spans="1:29" s="2045" customFormat="1" ht="20.25">
      <c r="A163" s="478"/>
      <c r="B163" s="3896" t="s">
        <v>597</v>
      </c>
      <c r="C163" s="3897" t="s">
        <v>997</v>
      </c>
      <c r="D163" s="4060" t="s">
        <v>597</v>
      </c>
      <c r="E163" s="3899" t="s">
        <v>3625</v>
      </c>
      <c r="F163" s="3897" t="s">
        <v>997</v>
      </c>
      <c r="G163" s="4061" t="s">
        <v>3625</v>
      </c>
      <c r="H163" s="3901">
        <v>26</v>
      </c>
      <c r="I163" s="3897" t="s">
        <v>997</v>
      </c>
      <c r="J163" s="4062">
        <v>26</v>
      </c>
      <c r="K163" s="3901">
        <v>52</v>
      </c>
      <c r="L163" s="3897" t="s">
        <v>997</v>
      </c>
      <c r="M163" s="4063">
        <v>52</v>
      </c>
      <c r="N163" s="478"/>
      <c r="O163" s="3896" t="s">
        <v>597</v>
      </c>
      <c r="P163" s="3897" t="s">
        <v>997</v>
      </c>
      <c r="Q163" s="4064" t="s">
        <v>597</v>
      </c>
      <c r="R163" s="3899" t="s">
        <v>3625</v>
      </c>
      <c r="S163" s="3897" t="s">
        <v>997</v>
      </c>
      <c r="T163" s="4065" t="s">
        <v>3625</v>
      </c>
      <c r="U163" s="3901">
        <v>26</v>
      </c>
      <c r="V163" s="3897" t="s">
        <v>997</v>
      </c>
      <c r="W163" s="4064">
        <v>26</v>
      </c>
      <c r="X163" s="3901">
        <v>52</v>
      </c>
      <c r="Y163" s="3897" t="s">
        <v>997</v>
      </c>
      <c r="Z163" s="4066">
        <v>52</v>
      </c>
      <c r="AA163" s="478"/>
      <c r="AB163" s="478"/>
      <c r="AC163" s="478"/>
    </row>
    <row r="164" spans="1:29" s="2045" customFormat="1" ht="20.25">
      <c r="A164" s="478"/>
      <c r="B164" s="3896" t="s">
        <v>682</v>
      </c>
      <c r="C164" s="3897" t="s">
        <v>997</v>
      </c>
      <c r="D164" s="4060" t="s">
        <v>682</v>
      </c>
      <c r="E164" s="3899" t="s">
        <v>2010</v>
      </c>
      <c r="F164" s="3897" t="s">
        <v>997</v>
      </c>
      <c r="G164" s="4061" t="s">
        <v>2010</v>
      </c>
      <c r="H164" s="3901" t="s">
        <v>3623</v>
      </c>
      <c r="I164" s="3897" t="s">
        <v>997</v>
      </c>
      <c r="J164" s="4062" t="s">
        <v>3623</v>
      </c>
      <c r="K164" s="3901" t="s">
        <v>3631</v>
      </c>
      <c r="L164" s="3897" t="s">
        <v>997</v>
      </c>
      <c r="M164" s="4063" t="s">
        <v>3631</v>
      </c>
      <c r="N164" s="478"/>
      <c r="O164" s="3896" t="s">
        <v>682</v>
      </c>
      <c r="P164" s="3897" t="s">
        <v>997</v>
      </c>
      <c r="Q164" s="4064" t="s">
        <v>682</v>
      </c>
      <c r="R164" s="3899" t="s">
        <v>2010</v>
      </c>
      <c r="S164" s="3897" t="s">
        <v>997</v>
      </c>
      <c r="T164" s="4065" t="s">
        <v>2010</v>
      </c>
      <c r="U164" s="3901" t="s">
        <v>3623</v>
      </c>
      <c r="V164" s="3897" t="s">
        <v>997</v>
      </c>
      <c r="W164" s="4064" t="s">
        <v>3623</v>
      </c>
      <c r="X164" s="3901" t="s">
        <v>3631</v>
      </c>
      <c r="Y164" s="3897" t="s">
        <v>997</v>
      </c>
      <c r="Z164" s="4066" t="s">
        <v>3631</v>
      </c>
      <c r="AA164" s="478"/>
      <c r="AB164" s="478"/>
      <c r="AC164" s="478"/>
    </row>
    <row r="165" spans="1:29" s="2045" customFormat="1" ht="20.25">
      <c r="A165" s="478"/>
      <c r="B165" s="3896" t="s">
        <v>3557</v>
      </c>
      <c r="C165" s="3897" t="s">
        <v>997</v>
      </c>
      <c r="D165" s="4060" t="s">
        <v>3557</v>
      </c>
      <c r="E165" s="3899" t="s">
        <v>2008</v>
      </c>
      <c r="F165" s="3897" t="s">
        <v>997</v>
      </c>
      <c r="G165" s="4061" t="s">
        <v>2008</v>
      </c>
      <c r="H165" s="3901" t="s">
        <v>78</v>
      </c>
      <c r="I165" s="3897" t="s">
        <v>997</v>
      </c>
      <c r="J165" s="4062" t="s">
        <v>78</v>
      </c>
      <c r="K165" s="3901" t="s">
        <v>2882</v>
      </c>
      <c r="L165" s="3897" t="s">
        <v>997</v>
      </c>
      <c r="M165" s="4063" t="s">
        <v>2882</v>
      </c>
      <c r="N165" s="478"/>
      <c r="O165" s="3896" t="s">
        <v>3557</v>
      </c>
      <c r="P165" s="3897" t="s">
        <v>997</v>
      </c>
      <c r="Q165" s="4064" t="s">
        <v>3557</v>
      </c>
      <c r="R165" s="3899" t="s">
        <v>2008</v>
      </c>
      <c r="S165" s="3897" t="s">
        <v>997</v>
      </c>
      <c r="T165" s="4065" t="s">
        <v>2008</v>
      </c>
      <c r="U165" s="3901" t="s">
        <v>78</v>
      </c>
      <c r="V165" s="3897" t="s">
        <v>997</v>
      </c>
      <c r="W165" s="4064" t="s">
        <v>78</v>
      </c>
      <c r="X165" s="3901" t="s">
        <v>2882</v>
      </c>
      <c r="Y165" s="3897" t="s">
        <v>997</v>
      </c>
      <c r="Z165" s="4066" t="s">
        <v>2882</v>
      </c>
      <c r="AA165" s="478"/>
      <c r="AB165" s="478"/>
      <c r="AC165" s="478"/>
    </row>
    <row r="166" spans="1:29" s="2045" customFormat="1" ht="20.25">
      <c r="A166" s="478"/>
      <c r="B166" s="3896" t="s">
        <v>3563</v>
      </c>
      <c r="C166" s="3897" t="s">
        <v>997</v>
      </c>
      <c r="D166" s="4060" t="s">
        <v>3563</v>
      </c>
      <c r="E166" s="3899" t="s">
        <v>1331</v>
      </c>
      <c r="F166" s="3897" t="s">
        <v>997</v>
      </c>
      <c r="G166" s="4061" t="s">
        <v>1331</v>
      </c>
      <c r="H166" s="3901" t="s">
        <v>1984</v>
      </c>
      <c r="I166" s="3897" t="s">
        <v>997</v>
      </c>
      <c r="J166" s="4062" t="s">
        <v>1984</v>
      </c>
      <c r="K166" s="3901" t="s">
        <v>1321</v>
      </c>
      <c r="L166" s="3897" t="s">
        <v>997</v>
      </c>
      <c r="M166" s="4063" t="s">
        <v>1321</v>
      </c>
      <c r="N166" s="478"/>
      <c r="O166" s="3896" t="s">
        <v>3563</v>
      </c>
      <c r="P166" s="3897" t="s">
        <v>997</v>
      </c>
      <c r="Q166" s="4064" t="s">
        <v>3563</v>
      </c>
      <c r="R166" s="3899" t="s">
        <v>1331</v>
      </c>
      <c r="S166" s="3897" t="s">
        <v>997</v>
      </c>
      <c r="T166" s="4065" t="s">
        <v>1331</v>
      </c>
      <c r="U166" s="3901" t="s">
        <v>1984</v>
      </c>
      <c r="V166" s="3897" t="s">
        <v>997</v>
      </c>
      <c r="W166" s="4064" t="s">
        <v>1984</v>
      </c>
      <c r="X166" s="3901" t="s">
        <v>1321</v>
      </c>
      <c r="Y166" s="3897" t="s">
        <v>997</v>
      </c>
      <c r="Z166" s="4066" t="s">
        <v>1321</v>
      </c>
      <c r="AA166" s="478"/>
      <c r="AB166" s="478"/>
      <c r="AC166" s="478"/>
    </row>
    <row r="167" spans="1:29" s="2045" customFormat="1" ht="20.25">
      <c r="A167" s="478"/>
      <c r="B167" s="3896" t="s">
        <v>3655</v>
      </c>
      <c r="C167" s="3897" t="s">
        <v>997</v>
      </c>
      <c r="D167" s="4060" t="s">
        <v>3655</v>
      </c>
      <c r="E167" s="3899" t="s">
        <v>1330</v>
      </c>
      <c r="F167" s="3897" t="s">
        <v>997</v>
      </c>
      <c r="G167" s="4061" t="s">
        <v>1330</v>
      </c>
      <c r="H167" s="3901" t="s">
        <v>2048</v>
      </c>
      <c r="I167" s="3897" t="s">
        <v>997</v>
      </c>
      <c r="J167" s="4062" t="s">
        <v>2048</v>
      </c>
      <c r="K167" s="3901" t="s">
        <v>230</v>
      </c>
      <c r="L167" s="3897" t="s">
        <v>997</v>
      </c>
      <c r="M167" s="4063" t="s">
        <v>230</v>
      </c>
      <c r="N167" s="478"/>
      <c r="O167" s="3896" t="s">
        <v>3655</v>
      </c>
      <c r="P167" s="3897" t="s">
        <v>997</v>
      </c>
      <c r="Q167" s="4064" t="s">
        <v>3655</v>
      </c>
      <c r="R167" s="3899" t="s">
        <v>1330</v>
      </c>
      <c r="S167" s="3897" t="s">
        <v>997</v>
      </c>
      <c r="T167" s="4065" t="s">
        <v>1330</v>
      </c>
      <c r="U167" s="3901" t="s">
        <v>2048</v>
      </c>
      <c r="V167" s="3897" t="s">
        <v>997</v>
      </c>
      <c r="W167" s="4064" t="s">
        <v>2048</v>
      </c>
      <c r="X167" s="3901" t="s">
        <v>230</v>
      </c>
      <c r="Y167" s="3897" t="s">
        <v>997</v>
      </c>
      <c r="Z167" s="4066" t="s">
        <v>230</v>
      </c>
      <c r="AA167" s="478"/>
      <c r="AB167" s="478"/>
      <c r="AC167" s="478"/>
    </row>
    <row r="168" spans="1:29" s="2045" customFormat="1" ht="20.25">
      <c r="A168" s="478"/>
      <c r="B168" s="3896" t="s">
        <v>3567</v>
      </c>
      <c r="C168" s="3897" t="s">
        <v>997</v>
      </c>
      <c r="D168" s="4060" t="s">
        <v>3567</v>
      </c>
      <c r="E168" s="3899" t="s">
        <v>3561</v>
      </c>
      <c r="F168" s="3897" t="s">
        <v>997</v>
      </c>
      <c r="G168" s="4061" t="s">
        <v>3561</v>
      </c>
      <c r="H168" s="3901" t="s">
        <v>3656</v>
      </c>
      <c r="I168" s="3897" t="s">
        <v>997</v>
      </c>
      <c r="J168" s="4062" t="s">
        <v>3656</v>
      </c>
      <c r="K168" s="3901" t="s">
        <v>3558</v>
      </c>
      <c r="L168" s="3897" t="s">
        <v>997</v>
      </c>
      <c r="M168" s="4063" t="s">
        <v>3558</v>
      </c>
      <c r="N168" s="478"/>
      <c r="O168" s="3896" t="s">
        <v>3567</v>
      </c>
      <c r="P168" s="3897" t="s">
        <v>997</v>
      </c>
      <c r="Q168" s="4064" t="s">
        <v>3567</v>
      </c>
      <c r="R168" s="3899" t="s">
        <v>3561</v>
      </c>
      <c r="S168" s="3897" t="s">
        <v>997</v>
      </c>
      <c r="T168" s="4065" t="s">
        <v>3561</v>
      </c>
      <c r="U168" s="3901" t="s">
        <v>3656</v>
      </c>
      <c r="V168" s="3897" t="s">
        <v>997</v>
      </c>
      <c r="W168" s="4064" t="s">
        <v>3656</v>
      </c>
      <c r="X168" s="3901" t="s">
        <v>3558</v>
      </c>
      <c r="Y168" s="3897" t="s">
        <v>997</v>
      </c>
      <c r="Z168" s="4066" t="s">
        <v>3558</v>
      </c>
      <c r="AA168" s="478"/>
      <c r="AB168" s="478"/>
      <c r="AC168" s="478"/>
    </row>
    <row r="169" spans="1:29" s="2045" customFormat="1" ht="20.25">
      <c r="A169" s="478"/>
      <c r="B169" s="3896" t="s">
        <v>3569</v>
      </c>
      <c r="C169" s="3897" t="s">
        <v>997</v>
      </c>
      <c r="D169" s="4060" t="s">
        <v>3569</v>
      </c>
      <c r="E169" s="3899" t="s">
        <v>3570</v>
      </c>
      <c r="F169" s="3897" t="s">
        <v>997</v>
      </c>
      <c r="G169" s="4061" t="s">
        <v>3570</v>
      </c>
      <c r="H169" s="3901" t="s">
        <v>3657</v>
      </c>
      <c r="I169" s="3897" t="s">
        <v>997</v>
      </c>
      <c r="J169" s="4062" t="s">
        <v>3657</v>
      </c>
      <c r="K169" s="3901" t="s">
        <v>2007</v>
      </c>
      <c r="L169" s="3897" t="s">
        <v>997</v>
      </c>
      <c r="M169" s="4063" t="s">
        <v>2007</v>
      </c>
      <c r="N169" s="478"/>
      <c r="O169" s="3896" t="s">
        <v>3569</v>
      </c>
      <c r="P169" s="3897" t="s">
        <v>997</v>
      </c>
      <c r="Q169" s="4064" t="s">
        <v>3569</v>
      </c>
      <c r="R169" s="3899" t="s">
        <v>3570</v>
      </c>
      <c r="S169" s="3897" t="s">
        <v>997</v>
      </c>
      <c r="T169" s="4065" t="s">
        <v>3570</v>
      </c>
      <c r="U169" s="3901" t="s">
        <v>3657</v>
      </c>
      <c r="V169" s="3897" t="s">
        <v>997</v>
      </c>
      <c r="W169" s="4064" t="s">
        <v>3657</v>
      </c>
      <c r="X169" s="3901" t="s">
        <v>2007</v>
      </c>
      <c r="Y169" s="3897" t="s">
        <v>997</v>
      </c>
      <c r="Z169" s="4066" t="s">
        <v>2007</v>
      </c>
      <c r="AA169" s="478"/>
      <c r="AB169" s="478"/>
      <c r="AC169" s="478"/>
    </row>
    <row r="170" spans="1:29" s="2045" customFormat="1" ht="20.25">
      <c r="A170" s="478"/>
      <c r="B170" s="3896" t="s">
        <v>3659</v>
      </c>
      <c r="C170" s="3897" t="s">
        <v>997</v>
      </c>
      <c r="D170" s="4060" t="s">
        <v>3659</v>
      </c>
      <c r="E170" s="3899" t="s">
        <v>3560</v>
      </c>
      <c r="F170" s="3897" t="s">
        <v>997</v>
      </c>
      <c r="G170" s="4061" t="s">
        <v>3560</v>
      </c>
      <c r="H170" s="3901" t="s">
        <v>3566</v>
      </c>
      <c r="I170" s="3897" t="s">
        <v>997</v>
      </c>
      <c r="J170" s="4062" t="s">
        <v>3566</v>
      </c>
      <c r="K170" s="3901" t="s">
        <v>3660</v>
      </c>
      <c r="L170" s="3897" t="s">
        <v>997</v>
      </c>
      <c r="M170" s="4063" t="s">
        <v>3660</v>
      </c>
      <c r="N170" s="478"/>
      <c r="O170" s="3896" t="s">
        <v>3659</v>
      </c>
      <c r="P170" s="3897" t="s">
        <v>997</v>
      </c>
      <c r="Q170" s="4064" t="s">
        <v>3659</v>
      </c>
      <c r="R170" s="3899" t="s">
        <v>3560</v>
      </c>
      <c r="S170" s="3897" t="s">
        <v>997</v>
      </c>
      <c r="T170" s="4065" t="s">
        <v>3560</v>
      </c>
      <c r="U170" s="3901" t="s">
        <v>3566</v>
      </c>
      <c r="V170" s="3897" t="s">
        <v>997</v>
      </c>
      <c r="W170" s="4064" t="s">
        <v>3566</v>
      </c>
      <c r="X170" s="3901" t="s">
        <v>3660</v>
      </c>
      <c r="Y170" s="3897" t="s">
        <v>997</v>
      </c>
      <c r="Z170" s="4066" t="s">
        <v>3660</v>
      </c>
      <c r="AA170" s="478"/>
      <c r="AB170" s="478"/>
      <c r="AC170" s="478"/>
    </row>
    <row r="171" spans="1:29" s="2045" customFormat="1" ht="20.25">
      <c r="A171" s="478"/>
      <c r="B171" s="3896" t="s">
        <v>3661</v>
      </c>
      <c r="C171" s="3897" t="s">
        <v>997</v>
      </c>
      <c r="D171" s="4060" t="s">
        <v>3661</v>
      </c>
      <c r="E171" s="3899" t="s">
        <v>3571</v>
      </c>
      <c r="F171" s="3897" t="s">
        <v>997</v>
      </c>
      <c r="G171" s="4061" t="s">
        <v>3571</v>
      </c>
      <c r="H171" s="3901" t="s">
        <v>2156</v>
      </c>
      <c r="I171" s="3897" t="s">
        <v>997</v>
      </c>
      <c r="J171" s="4062" t="s">
        <v>2156</v>
      </c>
      <c r="K171" s="3901" t="s">
        <v>3662</v>
      </c>
      <c r="L171" s="3897" t="s">
        <v>997</v>
      </c>
      <c r="M171" s="4063" t="s">
        <v>3662</v>
      </c>
      <c r="N171" s="478"/>
      <c r="O171" s="3896" t="s">
        <v>3661</v>
      </c>
      <c r="P171" s="3897" t="s">
        <v>997</v>
      </c>
      <c r="Q171" s="4064" t="s">
        <v>3661</v>
      </c>
      <c r="R171" s="3899" t="s">
        <v>3571</v>
      </c>
      <c r="S171" s="3897" t="s">
        <v>997</v>
      </c>
      <c r="T171" s="4065" t="s">
        <v>3571</v>
      </c>
      <c r="U171" s="3901" t="s">
        <v>2156</v>
      </c>
      <c r="V171" s="3897" t="s">
        <v>997</v>
      </c>
      <c r="W171" s="4064" t="s">
        <v>2156</v>
      </c>
      <c r="X171" s="3901" t="s">
        <v>3662</v>
      </c>
      <c r="Y171" s="3897" t="s">
        <v>997</v>
      </c>
      <c r="Z171" s="4066" t="s">
        <v>3662</v>
      </c>
      <c r="AA171" s="478"/>
      <c r="AB171" s="478"/>
      <c r="AC171" s="478"/>
    </row>
    <row r="172" spans="1:29" s="2045" customFormat="1" ht="20.25">
      <c r="A172" s="478"/>
      <c r="B172" s="3896"/>
      <c r="C172" s="3897" t="s">
        <v>997</v>
      </c>
      <c r="D172" s="4060"/>
      <c r="E172" s="3899" t="s">
        <v>3562</v>
      </c>
      <c r="F172" s="3897" t="s">
        <v>997</v>
      </c>
      <c r="G172" s="4061" t="s">
        <v>3562</v>
      </c>
      <c r="H172" s="3901" t="s">
        <v>3565</v>
      </c>
      <c r="I172" s="3897" t="s">
        <v>997</v>
      </c>
      <c r="J172" s="4062" t="s">
        <v>3565</v>
      </c>
      <c r="K172" s="3901"/>
      <c r="L172" s="3897" t="s">
        <v>997</v>
      </c>
      <c r="M172" s="4063"/>
      <c r="N172" s="478"/>
      <c r="O172" s="3896"/>
      <c r="P172" s="3897" t="s">
        <v>997</v>
      </c>
      <c r="Q172" s="4064"/>
      <c r="R172" s="3899" t="s">
        <v>3562</v>
      </c>
      <c r="S172" s="3897" t="s">
        <v>997</v>
      </c>
      <c r="T172" s="4065" t="s">
        <v>3562</v>
      </c>
      <c r="U172" s="3901" t="s">
        <v>3565</v>
      </c>
      <c r="V172" s="3897" t="s">
        <v>997</v>
      </c>
      <c r="W172" s="4064" t="s">
        <v>3565</v>
      </c>
      <c r="X172" s="3901"/>
      <c r="Y172" s="3897" t="s">
        <v>997</v>
      </c>
      <c r="Z172" s="4066"/>
      <c r="AA172" s="478"/>
      <c r="AB172" s="478"/>
      <c r="AC172" s="478"/>
    </row>
    <row r="173" spans="1:29" s="2045" customFormat="1" ht="15">
      <c r="A173" s="4027"/>
      <c r="B173" s="4028"/>
      <c r="C173" s="4029"/>
      <c r="D173" s="4029"/>
      <c r="E173" s="4029"/>
      <c r="F173" s="4029"/>
      <c r="G173" s="4029"/>
      <c r="H173" s="4029"/>
      <c r="I173" s="4029"/>
      <c r="J173" s="4029"/>
      <c r="K173" s="4029"/>
      <c r="L173" s="4029"/>
      <c r="M173" s="4030"/>
      <c r="N173" s="4027"/>
      <c r="O173" s="4050"/>
      <c r="P173" s="4051"/>
      <c r="Q173" s="4051"/>
      <c r="R173" s="4051"/>
      <c r="S173" s="4051"/>
      <c r="T173" s="4051"/>
      <c r="U173" s="4051"/>
      <c r="V173" s="4051"/>
      <c r="W173" s="4051"/>
      <c r="X173" s="4051"/>
      <c r="Y173" s="4051"/>
      <c r="Z173" s="4054"/>
      <c r="AA173" s="4027"/>
      <c r="AB173" s="4027"/>
      <c r="AC173" s="4027"/>
    </row>
    <row r="174" spans="1:29" s="2045" customFormat="1" ht="15">
      <c r="A174" s="642"/>
      <c r="B174" s="642"/>
      <c r="C174" s="642"/>
      <c r="D174" s="642"/>
      <c r="E174" s="642"/>
      <c r="F174" s="642"/>
      <c r="G174" s="642"/>
      <c r="H174" s="642"/>
      <c r="I174" s="642"/>
      <c r="J174" s="642"/>
      <c r="K174" s="642"/>
      <c r="L174" s="642"/>
      <c r="M174" s="642"/>
      <c r="N174" s="4027"/>
      <c r="O174" s="642"/>
      <c r="P174" s="642"/>
      <c r="Q174" s="642"/>
      <c r="R174" s="642"/>
      <c r="S174" s="642"/>
      <c r="T174" s="642"/>
      <c r="U174" s="642"/>
      <c r="V174" s="642"/>
      <c r="W174" s="642"/>
      <c r="X174" s="642"/>
      <c r="Y174" s="642"/>
      <c r="Z174" s="642"/>
      <c r="AA174" s="4053"/>
      <c r="AB174" s="642"/>
      <c r="AC174" s="642"/>
    </row>
  </sheetData>
  <mergeCells count="55">
    <mergeCell ref="C95:D95"/>
    <mergeCell ref="F95:G95"/>
    <mergeCell ref="I95:J95"/>
    <mergeCell ref="L95:M95"/>
    <mergeCell ref="P95:Q95"/>
    <mergeCell ref="C137:D137"/>
    <mergeCell ref="F137:G137"/>
    <mergeCell ref="I137:J137"/>
    <mergeCell ref="L137:M137"/>
    <mergeCell ref="P137:Q137"/>
    <mergeCell ref="BD69:BD70"/>
    <mergeCell ref="AG70:AU70"/>
    <mergeCell ref="BD72:BD73"/>
    <mergeCell ref="Y137:Z137"/>
    <mergeCell ref="S95:T95"/>
    <mergeCell ref="V95:W95"/>
    <mergeCell ref="Y95:Z95"/>
    <mergeCell ref="S137:T137"/>
    <mergeCell ref="V137:W137"/>
    <mergeCell ref="BD56:BD57"/>
    <mergeCell ref="BD60:BD61"/>
    <mergeCell ref="AE63:AU64"/>
    <mergeCell ref="BD63:BD64"/>
    <mergeCell ref="AE66:AQ68"/>
    <mergeCell ref="BD66:BD67"/>
    <mergeCell ref="BD44:BD45"/>
    <mergeCell ref="BD47:BD48"/>
    <mergeCell ref="BD50:BD51"/>
    <mergeCell ref="C53:D53"/>
    <mergeCell ref="F53:G53"/>
    <mergeCell ref="I53:J53"/>
    <mergeCell ref="L53:M53"/>
    <mergeCell ref="P53:Q53"/>
    <mergeCell ref="S53:T53"/>
    <mergeCell ref="V53:W53"/>
    <mergeCell ref="Y53:Z53"/>
    <mergeCell ref="BD53:BD54"/>
    <mergeCell ref="BD40:BD41"/>
    <mergeCell ref="V11:W11"/>
    <mergeCell ref="Y11:Z11"/>
    <mergeCell ref="BD12:BD13"/>
    <mergeCell ref="BD15:BD16"/>
    <mergeCell ref="BD18:BD19"/>
    <mergeCell ref="BD21:BD22"/>
    <mergeCell ref="BD24:BD25"/>
    <mergeCell ref="BD28:BD29"/>
    <mergeCell ref="BD31:BD32"/>
    <mergeCell ref="BD34:BD35"/>
    <mergeCell ref="BD37:BD38"/>
    <mergeCell ref="S11:T11"/>
    <mergeCell ref="C11:D11"/>
    <mergeCell ref="F11:G11"/>
    <mergeCell ref="I11:J11"/>
    <mergeCell ref="L11:M11"/>
    <mergeCell ref="P11:Q1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I339"/>
  <sheetViews>
    <sheetView zoomScaleNormal="100" workbookViewId="0">
      <selection sqref="A1:U1"/>
    </sheetView>
  </sheetViews>
  <sheetFormatPr baseColWidth="10" defaultRowHeight="15"/>
  <cols>
    <col min="1" max="1" width="4.25" style="2134" customWidth="1"/>
    <col min="2" max="2" width="5.25" style="4093" customWidth="1"/>
    <col min="3" max="3" width="14.125" style="4098" customWidth="1"/>
    <col min="4" max="4" width="15.875" style="4099" customWidth="1"/>
    <col min="5" max="5" width="5.375" style="2134" customWidth="1"/>
    <col min="6" max="6" width="4.25" style="2134" customWidth="1"/>
    <col min="7" max="7" width="5.25" style="4093" customWidth="1"/>
    <col min="8" max="8" width="11" style="2134"/>
    <col min="9" max="9" width="15.875" style="4099" customWidth="1"/>
    <col min="10" max="10" width="5.375" style="2134" customWidth="1"/>
    <col min="11" max="11" width="4.25" style="2134" customWidth="1"/>
    <col min="12" max="12" width="6.5" style="4093" customWidth="1"/>
    <col min="13" max="13" width="11" style="2134"/>
    <col min="14" max="14" width="15.875" style="4099" customWidth="1"/>
    <col min="15" max="15" width="5.375" style="2134" customWidth="1"/>
    <col min="16" max="16" width="7.5" style="2134" customWidth="1"/>
    <col min="17" max="17" width="5.25" style="4093" customWidth="1"/>
    <col min="18" max="18" width="11" style="2134"/>
    <col min="19" max="19" width="15.875" style="4099" customWidth="1"/>
    <col min="20" max="20" width="11" style="2134"/>
    <col min="21" max="21" width="7.375" style="2134" customWidth="1"/>
    <col min="22" max="16384" width="11" style="2134"/>
  </cols>
  <sheetData>
    <row r="1" spans="1:30" ht="44.25" customHeight="1">
      <c r="A1" s="7136" t="s">
        <v>3699</v>
      </c>
      <c r="B1" s="7136"/>
      <c r="C1" s="7136"/>
      <c r="D1" s="7136"/>
      <c r="E1" s="7136"/>
      <c r="F1" s="7136"/>
      <c r="G1" s="7136"/>
      <c r="H1" s="7136"/>
      <c r="I1" s="7136"/>
      <c r="J1" s="7136"/>
      <c r="K1" s="7136"/>
      <c r="L1" s="7136"/>
      <c r="M1" s="7136"/>
      <c r="N1" s="7136"/>
      <c r="O1" s="7136"/>
      <c r="P1" s="7136"/>
      <c r="Q1" s="7136"/>
      <c r="R1" s="7136"/>
      <c r="S1" s="7136"/>
      <c r="T1" s="7136"/>
      <c r="U1" s="7136"/>
      <c r="V1" s="4067" t="s">
        <v>2991</v>
      </c>
      <c r="W1" s="4068"/>
      <c r="X1" s="4068"/>
      <c r="Y1" s="4068"/>
      <c r="Z1" s="4068"/>
      <c r="AA1" s="4068"/>
      <c r="AB1" s="4069" t="str">
        <f ca="1">"Page "&amp;_xlfn.SHEET()&amp;" sur "&amp;_xlfn.SHEETS()</f>
        <v>Page 35 sur 37</v>
      </c>
      <c r="AC1" s="4070"/>
      <c r="AD1" s="4070"/>
    </row>
    <row r="2" spans="1:30" ht="15.75" customHeight="1">
      <c r="A2" s="2139"/>
      <c r="B2" s="4071"/>
      <c r="C2" s="4072"/>
      <c r="D2" s="4073"/>
      <c r="E2" s="2139"/>
      <c r="F2" s="2139"/>
      <c r="G2" s="4071"/>
      <c r="H2" s="2139"/>
      <c r="I2" s="4073"/>
      <c r="J2" s="2139"/>
      <c r="K2" s="2139"/>
      <c r="L2" s="4071"/>
      <c r="M2" s="2139"/>
      <c r="N2" s="4073"/>
      <c r="O2" s="2139"/>
      <c r="P2" s="2139"/>
      <c r="Q2" s="4071"/>
      <c r="R2" s="2139"/>
      <c r="S2" s="4073"/>
      <c r="T2" s="2139"/>
      <c r="U2" s="2139"/>
      <c r="V2" s="2139"/>
      <c r="W2" s="2139"/>
      <c r="X2" s="2139"/>
      <c r="Y2" s="2139"/>
      <c r="Z2" s="2139"/>
      <c r="AA2" s="2139"/>
      <c r="AB2" s="2139"/>
      <c r="AC2" s="2139"/>
      <c r="AD2" s="2139"/>
    </row>
    <row r="3" spans="1:30">
      <c r="A3" s="2139"/>
      <c r="B3" s="4071"/>
      <c r="C3" s="4074" t="s">
        <v>3700</v>
      </c>
      <c r="D3" s="4073"/>
      <c r="E3" s="2139"/>
      <c r="F3" s="2139"/>
      <c r="G3" s="4071"/>
      <c r="H3" s="2139"/>
      <c r="I3" s="4073"/>
      <c r="J3" s="2139"/>
      <c r="K3" s="2139"/>
      <c r="L3" s="4071"/>
      <c r="M3" s="2139"/>
      <c r="N3" s="4073"/>
      <c r="O3" s="4075"/>
      <c r="P3" s="2139"/>
      <c r="Q3" s="4071"/>
      <c r="R3" s="2139"/>
      <c r="S3" s="4073"/>
      <c r="T3" s="2139"/>
      <c r="U3" s="2139"/>
      <c r="V3" s="2139"/>
      <c r="W3" s="2139"/>
      <c r="X3" s="2139"/>
      <c r="Y3" s="2139"/>
      <c r="Z3" s="2139"/>
      <c r="AA3" s="2139"/>
      <c r="AB3" s="2139"/>
      <c r="AC3" s="2139"/>
      <c r="AD3" s="2139"/>
    </row>
    <row r="4" spans="1:30" ht="21">
      <c r="A4" s="2139"/>
      <c r="B4" s="4071"/>
      <c r="C4" s="4076" t="s">
        <v>3701</v>
      </c>
      <c r="D4" s="4077" t="s">
        <v>3702</v>
      </c>
      <c r="E4" s="2139"/>
      <c r="F4" s="2139"/>
      <c r="G4" s="4071"/>
      <c r="H4" s="2139"/>
      <c r="I4" s="4073"/>
      <c r="J4" s="2139"/>
      <c r="K4" s="2139"/>
      <c r="L4" s="4071"/>
      <c r="M4" s="2139"/>
      <c r="N4" s="4076" t="s">
        <v>3701</v>
      </c>
      <c r="O4" s="4078" t="s">
        <v>3703</v>
      </c>
      <c r="P4" s="4079"/>
      <c r="Q4" s="4071"/>
      <c r="R4" s="2139"/>
      <c r="S4" s="4080"/>
      <c r="T4" s="4076" t="s">
        <v>3701</v>
      </c>
      <c r="U4" s="4078" t="s">
        <v>3704</v>
      </c>
      <c r="V4" s="4079"/>
      <c r="W4" s="2139"/>
      <c r="X4" s="2139"/>
      <c r="Y4" s="2139"/>
      <c r="Z4" s="4076" t="s">
        <v>3701</v>
      </c>
      <c r="AA4" s="4078" t="s">
        <v>3705</v>
      </c>
      <c r="AB4" s="4079"/>
      <c r="AC4" s="2139"/>
      <c r="AD4" s="2139"/>
    </row>
    <row r="5" spans="1:30" ht="23.25">
      <c r="A5" s="2139"/>
      <c r="B5" s="4071"/>
      <c r="C5" s="4081"/>
      <c r="D5" s="4077"/>
      <c r="E5" s="2139"/>
      <c r="F5" s="2139"/>
      <c r="G5" s="4071"/>
      <c r="H5" s="2139"/>
      <c r="I5" s="4073"/>
      <c r="J5" s="2139"/>
      <c r="K5" s="2139"/>
      <c r="L5" s="4071"/>
      <c r="M5" s="2139"/>
      <c r="N5" s="4082"/>
      <c r="O5" s="4075"/>
      <c r="P5" s="2139"/>
      <c r="Q5" s="4071"/>
      <c r="R5" s="2139"/>
      <c r="S5" s="4080"/>
      <c r="T5" s="4083"/>
      <c r="U5" s="2139"/>
      <c r="V5" s="2139"/>
      <c r="W5" s="2139"/>
      <c r="X5" s="2139"/>
      <c r="Y5" s="2139"/>
      <c r="Z5" s="2139"/>
      <c r="AA5" s="2139"/>
      <c r="AB5" s="2139"/>
      <c r="AC5" s="2139"/>
      <c r="AD5" s="2139"/>
    </row>
    <row r="6" spans="1:30" ht="21">
      <c r="A6" s="2139"/>
      <c r="B6" s="4071"/>
      <c r="C6" s="4076" t="s">
        <v>3701</v>
      </c>
      <c r="D6" s="4084" t="s">
        <v>3706</v>
      </c>
      <c r="E6" s="2139"/>
      <c r="F6" s="2139"/>
      <c r="G6" s="4071"/>
      <c r="H6" s="2139"/>
      <c r="I6" s="4073"/>
      <c r="J6" s="2139"/>
      <c r="K6" s="2139"/>
      <c r="L6" s="4071"/>
      <c r="M6" s="2139"/>
      <c r="N6" s="4076" t="s">
        <v>3701</v>
      </c>
      <c r="O6" s="4078" t="s">
        <v>3707</v>
      </c>
      <c r="P6" s="4079"/>
      <c r="Q6" s="4071"/>
      <c r="R6" s="2139"/>
      <c r="S6" s="4080"/>
      <c r="T6" s="4076" t="s">
        <v>3701</v>
      </c>
      <c r="U6" s="4078" t="s">
        <v>3708</v>
      </c>
      <c r="V6" s="4079"/>
      <c r="W6" s="2139"/>
      <c r="X6" s="2139"/>
      <c r="Y6" s="2139"/>
      <c r="Z6" s="4076" t="s">
        <v>3701</v>
      </c>
      <c r="AA6" s="4078" t="s">
        <v>3709</v>
      </c>
      <c r="AB6" s="4079"/>
      <c r="AC6" s="2139"/>
      <c r="AD6" s="2139"/>
    </row>
    <row r="7" spans="1:30" ht="23.25">
      <c r="A7" s="2139"/>
      <c r="B7" s="4071"/>
      <c r="C7" s="4081"/>
      <c r="D7" s="4077"/>
      <c r="E7" s="2139"/>
      <c r="F7" s="2139"/>
      <c r="G7" s="4071"/>
      <c r="H7" s="2139"/>
      <c r="I7" s="4073"/>
      <c r="J7" s="2139"/>
      <c r="K7" s="2139"/>
      <c r="L7" s="4071"/>
      <c r="M7" s="2139"/>
      <c r="N7" s="4082"/>
      <c r="O7" s="2139"/>
      <c r="P7" s="2139"/>
      <c r="Q7" s="4071"/>
      <c r="R7" s="2139"/>
      <c r="S7" s="4080"/>
      <c r="T7" s="2139"/>
      <c r="U7" s="2139"/>
      <c r="V7" s="2139"/>
      <c r="W7" s="2139"/>
      <c r="X7" s="2139"/>
      <c r="Y7" s="2139"/>
      <c r="Z7" s="2139"/>
      <c r="AA7" s="2139"/>
      <c r="AB7" s="2139"/>
      <c r="AC7" s="2139"/>
      <c r="AD7" s="2139"/>
    </row>
    <row r="8" spans="1:30" ht="21">
      <c r="A8" s="2139"/>
      <c r="B8" s="4071"/>
      <c r="C8" s="4076" t="s">
        <v>3701</v>
      </c>
      <c r="D8" s="4078" t="s">
        <v>3710</v>
      </c>
      <c r="E8" s="2139"/>
      <c r="F8" s="2139"/>
      <c r="G8" s="4071"/>
      <c r="H8" s="2139"/>
      <c r="I8" s="4073"/>
      <c r="J8" s="2139"/>
      <c r="K8" s="2139"/>
      <c r="L8" s="4071"/>
      <c r="M8" s="2139"/>
      <c r="N8" s="4076" t="s">
        <v>3701</v>
      </c>
      <c r="O8" s="4078" t="s">
        <v>3711</v>
      </c>
      <c r="P8" s="4079"/>
      <c r="Q8" s="4071"/>
      <c r="R8" s="2139"/>
      <c r="S8" s="4080"/>
      <c r="T8" s="4076" t="s">
        <v>3701</v>
      </c>
      <c r="U8" s="4078" t="s">
        <v>3712</v>
      </c>
      <c r="V8" s="4079"/>
      <c r="W8" s="2139"/>
      <c r="X8" s="2139"/>
      <c r="Y8" s="2139"/>
      <c r="Z8" s="4076" t="s">
        <v>3701</v>
      </c>
      <c r="AA8" s="4078" t="s">
        <v>3713</v>
      </c>
      <c r="AB8" s="4079"/>
      <c r="AC8" s="2139"/>
      <c r="AD8" s="2139"/>
    </row>
    <row r="9" spans="1:30" ht="19.5" customHeight="1">
      <c r="A9" s="2139"/>
      <c r="B9" s="4071"/>
      <c r="C9" s="4072"/>
      <c r="D9" s="4073"/>
      <c r="E9" s="2139"/>
      <c r="F9" s="2139"/>
      <c r="G9" s="4071"/>
      <c r="H9" s="2139"/>
      <c r="I9" s="4073"/>
      <c r="J9" s="2139"/>
      <c r="K9" s="2139"/>
      <c r="L9" s="4071"/>
      <c r="M9" s="2139"/>
      <c r="N9" s="4073"/>
      <c r="O9" s="2139"/>
      <c r="P9" s="2139"/>
      <c r="Q9" s="4071"/>
      <c r="R9" s="2139"/>
      <c r="S9" s="4073"/>
      <c r="T9" s="2139"/>
      <c r="U9" s="2139"/>
      <c r="V9" s="2139"/>
      <c r="W9" s="2139"/>
      <c r="X9" s="2139"/>
      <c r="Y9" s="2139"/>
      <c r="Z9" s="2139"/>
      <c r="AA9" s="2139"/>
      <c r="AB9" s="2139"/>
      <c r="AC9" s="2139"/>
      <c r="AD9" s="2139"/>
    </row>
    <row r="10" spans="1:30" ht="39" customHeight="1">
      <c r="A10" s="2139"/>
      <c r="B10" s="4071"/>
      <c r="C10" s="4085" t="s">
        <v>3714</v>
      </c>
      <c r="D10" s="4086" t="s">
        <v>3715</v>
      </c>
      <c r="E10" s="4087"/>
      <c r="F10" s="4087"/>
      <c r="G10" s="4088"/>
      <c r="H10" s="4087"/>
      <c r="I10" s="4089"/>
      <c r="J10" s="4087"/>
      <c r="K10" s="4087"/>
      <c r="L10" s="4088"/>
      <c r="M10" s="4087"/>
      <c r="N10" s="4089"/>
      <c r="O10" s="4087"/>
      <c r="P10" s="4087"/>
      <c r="Q10" s="4088"/>
      <c r="R10" s="4087"/>
      <c r="S10" s="4089"/>
      <c r="T10" s="4087"/>
      <c r="U10" s="4087"/>
      <c r="V10" s="4087"/>
      <c r="W10" s="4087"/>
      <c r="X10" s="4087"/>
      <c r="Y10" s="4087"/>
      <c r="Z10" s="4087"/>
      <c r="AA10" s="2139"/>
      <c r="AB10" s="2139"/>
      <c r="AC10" s="2139"/>
      <c r="AD10" s="2139"/>
    </row>
    <row r="11" spans="1:30" ht="19.5" customHeight="1">
      <c r="A11" s="2139"/>
      <c r="B11" s="4071"/>
      <c r="C11" s="4072"/>
      <c r="D11" s="4073"/>
      <c r="E11" s="2139"/>
      <c r="F11" s="2139"/>
      <c r="G11" s="4071"/>
      <c r="H11" s="2139"/>
      <c r="I11" s="4073"/>
      <c r="J11" s="2139"/>
      <c r="K11" s="2139"/>
      <c r="L11" s="4071"/>
      <c r="M11" s="2139"/>
      <c r="N11" s="4073"/>
      <c r="O11" s="2139"/>
      <c r="P11" s="2139"/>
      <c r="Q11" s="4071"/>
      <c r="R11" s="2139"/>
      <c r="S11" s="4073"/>
      <c r="T11" s="2139"/>
      <c r="U11" s="2139"/>
      <c r="V11" s="2139"/>
      <c r="W11" s="2139"/>
      <c r="X11" s="2139"/>
      <c r="Y11" s="2139"/>
      <c r="Z11" s="2139"/>
      <c r="AA11" s="2139"/>
      <c r="AB11" s="2139"/>
      <c r="AC11" s="2139"/>
      <c r="AD11" s="2139"/>
    </row>
    <row r="12" spans="1:30" ht="38.25" customHeight="1">
      <c r="A12" s="2139"/>
      <c r="B12" s="4071"/>
      <c r="C12" s="4085" t="s">
        <v>3714</v>
      </c>
      <c r="D12" s="4086" t="s">
        <v>3716</v>
      </c>
      <c r="E12" s="4087"/>
      <c r="F12" s="4087"/>
      <c r="G12" s="4088"/>
      <c r="H12" s="4087"/>
      <c r="I12" s="4089"/>
      <c r="J12" s="4087"/>
      <c r="K12" s="4087"/>
      <c r="L12" s="4088"/>
      <c r="M12" s="4087"/>
      <c r="N12" s="4089"/>
      <c r="O12" s="4087"/>
      <c r="P12" s="4087"/>
      <c r="Q12" s="4088"/>
      <c r="R12" s="4087"/>
      <c r="S12" s="4089"/>
      <c r="T12" s="4087"/>
      <c r="U12" s="4087"/>
      <c r="V12" s="4087"/>
      <c r="W12" s="4087"/>
      <c r="X12" s="4087"/>
      <c r="Y12" s="4087"/>
      <c r="Z12" s="4087"/>
      <c r="AA12" s="4087"/>
      <c r="AB12" s="4087"/>
      <c r="AC12" s="4087"/>
      <c r="AD12" s="4087"/>
    </row>
    <row r="13" spans="1:30" ht="19.5" customHeight="1">
      <c r="A13" s="2139"/>
      <c r="B13" s="4071"/>
      <c r="C13" s="4072"/>
      <c r="D13" s="4073"/>
      <c r="E13" s="2139"/>
      <c r="F13" s="2139"/>
      <c r="G13" s="4071"/>
      <c r="H13" s="2139"/>
      <c r="I13" s="4073"/>
      <c r="J13" s="2139"/>
      <c r="K13" s="2139"/>
      <c r="L13" s="4071"/>
      <c r="M13" s="2139"/>
      <c r="N13" s="4073"/>
      <c r="O13" s="2139"/>
      <c r="P13" s="2139"/>
      <c r="Q13" s="4071"/>
      <c r="R13" s="2139"/>
      <c r="S13" s="4073"/>
      <c r="T13" s="2139"/>
      <c r="U13" s="2139"/>
      <c r="V13" s="2139"/>
      <c r="W13" s="2139"/>
      <c r="X13" s="2139"/>
      <c r="Y13" s="2139"/>
      <c r="Z13" s="2139"/>
      <c r="AA13" s="2139"/>
      <c r="AB13" s="2139"/>
      <c r="AC13" s="2139"/>
      <c r="AD13" s="2139"/>
    </row>
    <row r="14" spans="1:30">
      <c r="A14" s="2139"/>
      <c r="B14" s="2139"/>
      <c r="C14" s="2134"/>
      <c r="D14" s="4090" t="s">
        <v>3717</v>
      </c>
      <c r="E14" s="4091" t="s">
        <v>3718</v>
      </c>
      <c r="F14" s="4092"/>
      <c r="G14" s="2134"/>
      <c r="H14" s="4091" t="s">
        <v>3719</v>
      </c>
      <c r="I14" s="4091" t="s">
        <v>3720</v>
      </c>
      <c r="J14" s="4091" t="s">
        <v>3721</v>
      </c>
      <c r="M14" s="4094" t="s">
        <v>3722</v>
      </c>
      <c r="N14" s="4094" t="s">
        <v>3723</v>
      </c>
      <c r="O14" s="4092"/>
      <c r="P14" s="4094" t="s">
        <v>3724</v>
      </c>
      <c r="Q14" s="4092"/>
      <c r="S14" s="4092"/>
      <c r="T14" s="4092"/>
      <c r="U14" s="4092"/>
      <c r="V14" s="4092"/>
      <c r="W14" s="4092"/>
      <c r="X14" s="4095" t="s">
        <v>3725</v>
      </c>
      <c r="Y14" s="4092"/>
      <c r="AB14" s="4096" t="s">
        <v>3726</v>
      </c>
    </row>
    <row r="15" spans="1:30" ht="19.5" customHeight="1">
      <c r="A15" s="2139"/>
      <c r="B15" s="4071"/>
      <c r="C15" s="4072"/>
      <c r="D15" s="4073"/>
      <c r="E15" s="2139"/>
      <c r="F15" s="2139"/>
      <c r="G15" s="4071"/>
      <c r="H15" s="2139"/>
      <c r="I15" s="4073"/>
      <c r="J15" s="2139"/>
      <c r="K15" s="2139"/>
      <c r="L15" s="4071"/>
      <c r="M15" s="2139"/>
      <c r="N15" s="4073"/>
      <c r="O15" s="2139"/>
      <c r="P15" s="2139"/>
      <c r="Q15" s="4071"/>
      <c r="R15" s="2139"/>
      <c r="S15" s="4073"/>
      <c r="T15" s="2139"/>
      <c r="U15" s="2139"/>
      <c r="V15" s="2139"/>
      <c r="W15" s="2139"/>
      <c r="X15" s="2139"/>
      <c r="Y15" s="2139"/>
      <c r="Z15" s="2139"/>
      <c r="AA15" s="2139"/>
      <c r="AB15" s="2139"/>
      <c r="AC15" s="2139"/>
      <c r="AD15" s="2139"/>
    </row>
    <row r="16" spans="1:30" ht="25.5">
      <c r="A16" s="4097">
        <v>1</v>
      </c>
      <c r="B16" s="4093" t="s">
        <v>3727</v>
      </c>
      <c r="C16" s="4098" t="s">
        <v>3728</v>
      </c>
      <c r="D16" s="4099" t="s">
        <v>3729</v>
      </c>
      <c r="E16" s="4100"/>
      <c r="F16" s="4097">
        <v>325</v>
      </c>
      <c r="G16" s="4093" t="s">
        <v>3730</v>
      </c>
      <c r="H16" s="4098" t="s">
        <v>3731</v>
      </c>
      <c r="I16" s="4099" t="s">
        <v>3732</v>
      </c>
      <c r="J16" s="4100"/>
      <c r="K16" s="4097">
        <v>649</v>
      </c>
      <c r="L16" s="4093" t="s">
        <v>3733</v>
      </c>
      <c r="M16" s="4098" t="s">
        <v>3734</v>
      </c>
      <c r="N16" s="4099" t="s">
        <v>3735</v>
      </c>
      <c r="O16" s="4100"/>
      <c r="P16" s="4097">
        <v>973</v>
      </c>
      <c r="Q16" s="4093" t="s">
        <v>3736</v>
      </c>
      <c r="R16" s="4098" t="s">
        <v>3737</v>
      </c>
      <c r="S16" s="4099" t="s">
        <v>3738</v>
      </c>
      <c r="T16" s="2139"/>
      <c r="U16" s="4101" t="s">
        <v>2757</v>
      </c>
      <c r="W16" s="4100"/>
      <c r="X16" s="4102"/>
      <c r="Y16" s="4102"/>
      <c r="Z16" s="4102"/>
      <c r="AA16" s="4102"/>
      <c r="AB16" s="4102"/>
      <c r="AC16" s="4102"/>
      <c r="AD16" s="4102"/>
    </row>
    <row r="17" spans="1:35" ht="21">
      <c r="A17" s="4097">
        <v>2</v>
      </c>
      <c r="B17" s="4093" t="s">
        <v>3739</v>
      </c>
      <c r="C17" s="4098" t="s">
        <v>3740</v>
      </c>
      <c r="D17" s="4099" t="s">
        <v>3741</v>
      </c>
      <c r="E17" s="4100"/>
      <c r="F17" s="4097">
        <v>326</v>
      </c>
      <c r="G17" s="4093" t="s">
        <v>3742</v>
      </c>
      <c r="H17" s="4098" t="s">
        <v>3743</v>
      </c>
      <c r="I17" s="4099" t="s">
        <v>3744</v>
      </c>
      <c r="J17" s="4100"/>
      <c r="K17" s="4097">
        <v>650</v>
      </c>
      <c r="L17" s="4093" t="s">
        <v>3745</v>
      </c>
      <c r="M17" s="4098" t="s">
        <v>3746</v>
      </c>
      <c r="N17" s="4099" t="s">
        <v>3747</v>
      </c>
      <c r="O17" s="4100"/>
      <c r="P17" s="4097">
        <v>974</v>
      </c>
      <c r="Q17" s="4093" t="s">
        <v>3748</v>
      </c>
      <c r="R17" s="4098" t="s">
        <v>3749</v>
      </c>
      <c r="S17" s="4099" t="s">
        <v>3750</v>
      </c>
      <c r="T17" s="2139"/>
      <c r="U17" s="4076" t="s">
        <v>3701</v>
      </c>
      <c r="V17" s="4103" t="s">
        <v>3751</v>
      </c>
      <c r="W17" s="4104"/>
      <c r="X17" s="4105"/>
      <c r="Y17" s="4102"/>
      <c r="Z17" s="4102"/>
      <c r="AA17" s="4102"/>
      <c r="AB17" s="4102"/>
      <c r="AC17" s="4102"/>
      <c r="AD17" s="4102"/>
      <c r="AH17" s="4106"/>
    </row>
    <row r="18" spans="1:35" ht="21">
      <c r="A18" s="4097">
        <v>3</v>
      </c>
      <c r="B18" s="4093" t="s">
        <v>3752</v>
      </c>
      <c r="C18" s="4098" t="s">
        <v>3753</v>
      </c>
      <c r="D18" s="4099" t="s">
        <v>3754</v>
      </c>
      <c r="E18" s="4100"/>
      <c r="F18" s="4097">
        <v>327</v>
      </c>
      <c r="G18" s="4093" t="s">
        <v>3755</v>
      </c>
      <c r="H18" s="4098" t="s">
        <v>3756</v>
      </c>
      <c r="I18" s="4099" t="s">
        <v>3757</v>
      </c>
      <c r="J18" s="4100"/>
      <c r="K18" s="4097">
        <v>651</v>
      </c>
      <c r="L18" s="4093" t="s">
        <v>3758</v>
      </c>
      <c r="M18" s="4098" t="s">
        <v>3759</v>
      </c>
      <c r="N18" s="4099" t="s">
        <v>3760</v>
      </c>
      <c r="O18" s="4100"/>
      <c r="P18" s="4097">
        <v>975</v>
      </c>
      <c r="Q18" s="4093" t="s">
        <v>3761</v>
      </c>
      <c r="R18" s="4098" t="s">
        <v>3762</v>
      </c>
      <c r="S18" s="4099" t="s">
        <v>3763</v>
      </c>
      <c r="T18" s="2139"/>
      <c r="U18" s="4101" t="s">
        <v>3700</v>
      </c>
      <c r="V18" s="4101"/>
      <c r="W18" s="4100"/>
      <c r="X18" s="4105"/>
      <c r="Y18" s="4102"/>
      <c r="Z18" s="4102"/>
      <c r="AA18" s="4102"/>
      <c r="AB18" s="4102"/>
      <c r="AC18" s="4102"/>
      <c r="AD18" s="4102"/>
      <c r="AH18" s="4106"/>
    </row>
    <row r="19" spans="1:35" ht="21">
      <c r="A19" s="4097">
        <v>4</v>
      </c>
      <c r="B19" s="4093" t="s">
        <v>3764</v>
      </c>
      <c r="C19" s="4098" t="s">
        <v>3765</v>
      </c>
      <c r="D19" s="4099" t="s">
        <v>3766</v>
      </c>
      <c r="E19" s="4100"/>
      <c r="F19" s="4097">
        <v>328</v>
      </c>
      <c r="G19" s="4093" t="s">
        <v>3767</v>
      </c>
      <c r="H19" s="4098" t="s">
        <v>3768</v>
      </c>
      <c r="I19" s="4099" t="s">
        <v>3769</v>
      </c>
      <c r="J19" s="4100"/>
      <c r="K19" s="4097">
        <v>652</v>
      </c>
      <c r="L19" s="4093" t="s">
        <v>3770</v>
      </c>
      <c r="M19" s="4098" t="s">
        <v>3771</v>
      </c>
      <c r="N19" s="4099" t="s">
        <v>3772</v>
      </c>
      <c r="O19" s="4100"/>
      <c r="P19" s="4097">
        <v>976</v>
      </c>
      <c r="Q19" s="4093" t="s">
        <v>3773</v>
      </c>
      <c r="R19" s="4098" t="s">
        <v>3774</v>
      </c>
      <c r="S19" s="4099" t="s">
        <v>3775</v>
      </c>
      <c r="T19" s="2139"/>
      <c r="U19" s="4076" t="s">
        <v>3701</v>
      </c>
      <c r="V19" s="4103" t="s">
        <v>3702</v>
      </c>
      <c r="W19" s="4104"/>
      <c r="X19" s="4105"/>
      <c r="Y19" s="4102"/>
      <c r="Z19" s="4102"/>
      <c r="AA19" s="4102"/>
      <c r="AB19" s="4102"/>
      <c r="AC19" s="4102"/>
      <c r="AD19" s="4102"/>
      <c r="AH19" s="4106"/>
      <c r="AI19" s="4106"/>
    </row>
    <row r="20" spans="1:35" ht="25.5">
      <c r="A20" s="4097">
        <v>5</v>
      </c>
      <c r="B20" s="4093" t="s">
        <v>3776</v>
      </c>
      <c r="C20" s="4098" t="s">
        <v>3777</v>
      </c>
      <c r="D20" s="4099" t="s">
        <v>3778</v>
      </c>
      <c r="E20" s="4100"/>
      <c r="F20" s="4097">
        <v>329</v>
      </c>
      <c r="G20" s="4093" t="s">
        <v>3779</v>
      </c>
      <c r="H20" s="4098" t="s">
        <v>3780</v>
      </c>
      <c r="I20" s="4099" t="s">
        <v>3781</v>
      </c>
      <c r="J20" s="4100"/>
      <c r="K20" s="4097">
        <v>653</v>
      </c>
      <c r="L20" s="4093" t="s">
        <v>3782</v>
      </c>
      <c r="M20" s="4098" t="s">
        <v>3783</v>
      </c>
      <c r="N20" s="4099" t="s">
        <v>3784</v>
      </c>
      <c r="O20" s="4100"/>
      <c r="P20" s="4097">
        <v>977</v>
      </c>
      <c r="Q20" s="4093" t="s">
        <v>3785</v>
      </c>
      <c r="R20" s="4098" t="s">
        <v>3786</v>
      </c>
      <c r="S20" s="4099" t="s">
        <v>3787</v>
      </c>
      <c r="T20" s="2139"/>
      <c r="U20" s="4107"/>
      <c r="V20" s="4101" t="s">
        <v>3788</v>
      </c>
      <c r="W20" s="4100"/>
      <c r="X20" s="4105"/>
      <c r="Y20" s="4102"/>
      <c r="Z20" s="4102"/>
      <c r="AA20" s="4102"/>
      <c r="AB20" s="4102"/>
      <c r="AC20" s="4102"/>
      <c r="AD20" s="4102"/>
    </row>
    <row r="21" spans="1:35" ht="25.5">
      <c r="A21" s="4097">
        <v>6</v>
      </c>
      <c r="B21" s="4093">
        <v>2795</v>
      </c>
      <c r="C21" s="4098" t="s">
        <v>3789</v>
      </c>
      <c r="D21" s="4099" t="s">
        <v>3790</v>
      </c>
      <c r="E21" s="4100"/>
      <c r="F21" s="4097">
        <v>330</v>
      </c>
      <c r="G21" s="4093" t="s">
        <v>3791</v>
      </c>
      <c r="H21" s="4098" t="s">
        <v>3792</v>
      </c>
      <c r="I21" s="4099" t="s">
        <v>3793</v>
      </c>
      <c r="J21" s="4100"/>
      <c r="K21" s="4097">
        <v>654</v>
      </c>
      <c r="L21" s="4093" t="s">
        <v>3794</v>
      </c>
      <c r="M21" s="4098" t="s">
        <v>3795</v>
      </c>
      <c r="N21" s="4099" t="s">
        <v>3796</v>
      </c>
      <c r="O21" s="4100"/>
      <c r="P21" s="4097">
        <v>978</v>
      </c>
      <c r="Q21" s="4093" t="s">
        <v>3797</v>
      </c>
      <c r="R21" s="4098" t="s">
        <v>3798</v>
      </c>
      <c r="S21" s="4099" t="s">
        <v>3799</v>
      </c>
      <c r="T21" s="2139"/>
      <c r="U21" s="4100"/>
      <c r="V21" s="4100"/>
      <c r="W21" s="4100"/>
      <c r="X21" s="4100"/>
      <c r="Y21" s="4100"/>
      <c r="Z21" s="4100"/>
      <c r="AA21" s="4100"/>
      <c r="AB21" s="4100"/>
      <c r="AC21" s="4100"/>
      <c r="AD21" s="4100"/>
    </row>
    <row r="22" spans="1:35" ht="25.5">
      <c r="A22" s="4097">
        <v>7</v>
      </c>
      <c r="B22" s="4093">
        <v>2796</v>
      </c>
      <c r="C22" s="4098" t="s">
        <v>3800</v>
      </c>
      <c r="D22" s="4099" t="s">
        <v>3801</v>
      </c>
      <c r="E22" s="4100"/>
      <c r="F22" s="4097">
        <v>331</v>
      </c>
      <c r="G22" s="4093" t="s">
        <v>3802</v>
      </c>
      <c r="H22" s="4098" t="s">
        <v>3803</v>
      </c>
      <c r="I22" s="4099" t="s">
        <v>3804</v>
      </c>
      <c r="J22" s="4100"/>
      <c r="K22" s="4097">
        <v>655</v>
      </c>
      <c r="L22" s="4093" t="s">
        <v>3805</v>
      </c>
      <c r="M22" s="4098" t="s">
        <v>3806</v>
      </c>
      <c r="N22" s="4099" t="s">
        <v>3807</v>
      </c>
      <c r="O22" s="4100"/>
      <c r="P22" s="4097">
        <v>979</v>
      </c>
      <c r="Q22" s="4093" t="s">
        <v>3808</v>
      </c>
      <c r="R22" s="4098" t="s">
        <v>3809</v>
      </c>
      <c r="S22" s="4099" t="s">
        <v>3810</v>
      </c>
      <c r="T22" s="2139"/>
      <c r="U22" s="4100"/>
      <c r="V22" s="4100"/>
      <c r="W22" s="4100"/>
      <c r="X22" s="4104"/>
      <c r="Y22" s="4104"/>
      <c r="Z22" s="4104"/>
      <c r="AA22" s="4104"/>
      <c r="AB22" s="4104"/>
      <c r="AC22" s="4104"/>
      <c r="AD22" s="4100"/>
    </row>
    <row r="23" spans="1:35" ht="21">
      <c r="A23" s="4097">
        <v>8</v>
      </c>
      <c r="B23" s="4093">
        <v>2797</v>
      </c>
      <c r="C23" s="4098" t="s">
        <v>3811</v>
      </c>
      <c r="D23" s="4099" t="s">
        <v>3812</v>
      </c>
      <c r="E23" s="4100"/>
      <c r="F23" s="4097">
        <v>332</v>
      </c>
      <c r="G23" s="4093" t="s">
        <v>3813</v>
      </c>
      <c r="H23" s="4098" t="s">
        <v>3814</v>
      </c>
      <c r="I23" s="4099" t="s">
        <v>3815</v>
      </c>
      <c r="J23" s="4100"/>
      <c r="K23" s="4097">
        <v>656</v>
      </c>
      <c r="L23" s="4093" t="s">
        <v>3816</v>
      </c>
      <c r="M23" s="4098" t="s">
        <v>3817</v>
      </c>
      <c r="N23" s="4099" t="s">
        <v>3818</v>
      </c>
      <c r="O23" s="4100"/>
      <c r="P23" s="4097">
        <v>980</v>
      </c>
      <c r="Q23" s="4093" t="s">
        <v>3819</v>
      </c>
      <c r="R23" s="4098" t="s">
        <v>3820</v>
      </c>
      <c r="S23" s="4099" t="s">
        <v>3821</v>
      </c>
      <c r="T23" s="2139"/>
      <c r="U23" s="4104" t="s">
        <v>3822</v>
      </c>
      <c r="V23" s="4104"/>
      <c r="W23" s="4104"/>
      <c r="X23" s="4104"/>
      <c r="Y23" s="4100"/>
      <c r="Z23" s="4100"/>
      <c r="AA23" s="4100"/>
      <c r="AB23" s="4100"/>
      <c r="AC23" s="4100"/>
      <c r="AD23" s="4100"/>
      <c r="AE23" s="2139"/>
    </row>
    <row r="24" spans="1:35" ht="25.5">
      <c r="A24" s="4097">
        <v>9</v>
      </c>
      <c r="B24" s="4093" t="s">
        <v>3823</v>
      </c>
      <c r="C24" s="4098" t="s">
        <v>3824</v>
      </c>
      <c r="D24" s="4099" t="s">
        <v>3825</v>
      </c>
      <c r="E24" s="4100"/>
      <c r="F24" s="4097">
        <v>333</v>
      </c>
      <c r="G24" s="4093" t="s">
        <v>3826</v>
      </c>
      <c r="H24" s="4098" t="s">
        <v>3827</v>
      </c>
      <c r="I24" s="4099" t="s">
        <v>3828</v>
      </c>
      <c r="J24" s="4100"/>
      <c r="K24" s="4097">
        <v>657</v>
      </c>
      <c r="L24" s="4093" t="s">
        <v>3829</v>
      </c>
      <c r="M24" s="4098" t="s">
        <v>3830</v>
      </c>
      <c r="N24" s="4099" t="s">
        <v>3831</v>
      </c>
      <c r="O24" s="4100"/>
      <c r="P24" s="4097">
        <v>981</v>
      </c>
      <c r="Q24" s="4093" t="s">
        <v>3832</v>
      </c>
      <c r="R24" s="4098" t="s">
        <v>3833</v>
      </c>
      <c r="S24" s="4099" t="s">
        <v>3834</v>
      </c>
      <c r="T24" s="2139"/>
      <c r="U24" s="4104" t="s">
        <v>3835</v>
      </c>
      <c r="V24" s="4104"/>
      <c r="W24" s="4104"/>
      <c r="X24" s="4104"/>
      <c r="Y24" s="4100"/>
      <c r="Z24" s="4100"/>
      <c r="AA24" s="4100"/>
      <c r="AB24" s="4100"/>
      <c r="AC24" s="4100"/>
      <c r="AD24" s="4100"/>
    </row>
    <row r="25" spans="1:35" ht="21">
      <c r="A25" s="4097">
        <v>10</v>
      </c>
      <c r="B25" s="4093" t="s">
        <v>3836</v>
      </c>
      <c r="C25" s="4098" t="s">
        <v>3837</v>
      </c>
      <c r="E25" s="4100"/>
      <c r="F25" s="4097">
        <v>334</v>
      </c>
      <c r="G25" s="4093" t="s">
        <v>3838</v>
      </c>
      <c r="H25" s="4098" t="s">
        <v>3839</v>
      </c>
      <c r="I25" s="4099" t="s">
        <v>3840</v>
      </c>
      <c r="J25" s="4100"/>
      <c r="K25" s="4097">
        <v>658</v>
      </c>
      <c r="L25" s="4093" t="s">
        <v>3841</v>
      </c>
      <c r="M25" s="4098" t="s">
        <v>3842</v>
      </c>
      <c r="N25" s="4099" t="s">
        <v>3843</v>
      </c>
      <c r="O25" s="4100"/>
      <c r="P25" s="4097">
        <v>982</v>
      </c>
      <c r="Q25" s="4093" t="s">
        <v>3844</v>
      </c>
      <c r="R25" s="4098" t="s">
        <v>3845</v>
      </c>
      <c r="S25" s="4099" t="s">
        <v>3846</v>
      </c>
      <c r="T25" s="2139"/>
      <c r="U25" s="4104"/>
      <c r="V25" s="4104" t="s">
        <v>3847</v>
      </c>
      <c r="W25" s="4104"/>
      <c r="X25" s="4104"/>
      <c r="Y25" s="4100"/>
      <c r="Z25" s="4100"/>
      <c r="AA25" s="4100"/>
      <c r="AB25" s="4100"/>
      <c r="AC25" s="4100"/>
      <c r="AD25" s="4100"/>
    </row>
    <row r="26" spans="1:35" ht="21">
      <c r="A26" s="4097">
        <v>11</v>
      </c>
      <c r="B26" s="4093" t="s">
        <v>3848</v>
      </c>
      <c r="C26" s="4098" t="s">
        <v>3849</v>
      </c>
      <c r="E26" s="4100"/>
      <c r="F26" s="4097">
        <v>335</v>
      </c>
      <c r="G26" s="4093" t="s">
        <v>3850</v>
      </c>
      <c r="H26" s="4098" t="s">
        <v>3851</v>
      </c>
      <c r="I26" s="4099" t="s">
        <v>3852</v>
      </c>
      <c r="J26" s="4100"/>
      <c r="K26" s="4097">
        <v>659</v>
      </c>
      <c r="L26" s="4093" t="s">
        <v>3853</v>
      </c>
      <c r="M26" s="4098" t="s">
        <v>3854</v>
      </c>
      <c r="N26" s="4099" t="s">
        <v>3855</v>
      </c>
      <c r="O26" s="4100"/>
      <c r="P26" s="4097">
        <v>983</v>
      </c>
      <c r="Q26" s="4093" t="s">
        <v>3856</v>
      </c>
      <c r="R26" s="4098" t="s">
        <v>3857</v>
      </c>
      <c r="S26" s="4099" t="s">
        <v>3858</v>
      </c>
      <c r="T26" s="2139"/>
      <c r="U26" s="4104"/>
      <c r="V26" s="4104" t="s">
        <v>3859</v>
      </c>
      <c r="W26" s="4104"/>
      <c r="X26" s="4104"/>
      <c r="Y26" s="4100"/>
      <c r="Z26" s="4100"/>
      <c r="AA26" s="4100"/>
      <c r="AB26" s="4100"/>
      <c r="AC26" s="4100"/>
      <c r="AD26" s="4100"/>
    </row>
    <row r="27" spans="1:35" ht="18.75">
      <c r="A27" s="4097">
        <v>12</v>
      </c>
      <c r="B27" s="4093">
        <v>3030</v>
      </c>
      <c r="C27" s="4098" t="s">
        <v>3860</v>
      </c>
      <c r="E27" s="4100"/>
      <c r="F27" s="4097">
        <v>336</v>
      </c>
      <c r="G27" s="4093" t="s">
        <v>3861</v>
      </c>
      <c r="H27" s="4098" t="s">
        <v>3862</v>
      </c>
      <c r="I27" s="4099" t="s">
        <v>3863</v>
      </c>
      <c r="J27" s="4100"/>
      <c r="K27" s="4097">
        <v>660</v>
      </c>
      <c r="L27" s="4093" t="s">
        <v>3864</v>
      </c>
      <c r="M27" s="4098" t="s">
        <v>3865</v>
      </c>
      <c r="N27" s="4099" t="s">
        <v>3866</v>
      </c>
      <c r="O27" s="4100"/>
      <c r="P27" s="4097">
        <v>984</v>
      </c>
      <c r="Q27" s="4093" t="s">
        <v>3867</v>
      </c>
      <c r="R27" s="4098" t="s">
        <v>3868</v>
      </c>
      <c r="S27" s="4099" t="s">
        <v>3869</v>
      </c>
      <c r="T27" s="2139"/>
      <c r="U27" s="4107"/>
      <c r="V27" s="4100"/>
      <c r="W27" s="4100"/>
      <c r="X27" s="4100"/>
      <c r="Y27" s="4100"/>
      <c r="Z27" s="4100"/>
      <c r="AA27" s="4100"/>
      <c r="AB27" s="4100"/>
      <c r="AC27" s="4100"/>
      <c r="AD27" s="4100"/>
    </row>
    <row r="28" spans="1:35">
      <c r="A28" s="4097">
        <v>13</v>
      </c>
      <c r="B28" s="4093" t="s">
        <v>3870</v>
      </c>
      <c r="C28" s="4098" t="s">
        <v>3871</v>
      </c>
      <c r="E28" s="4100"/>
      <c r="F28" s="4097">
        <v>337</v>
      </c>
      <c r="G28" s="4093" t="s">
        <v>3872</v>
      </c>
      <c r="H28" s="4098" t="s">
        <v>3873</v>
      </c>
      <c r="I28" s="4099" t="s">
        <v>3874</v>
      </c>
      <c r="J28" s="4100"/>
      <c r="K28" s="4097">
        <v>661</v>
      </c>
      <c r="L28" s="4093" t="s">
        <v>3875</v>
      </c>
      <c r="M28" s="4098" t="s">
        <v>3876</v>
      </c>
      <c r="N28" s="4099" t="s">
        <v>3877</v>
      </c>
      <c r="O28" s="4100"/>
      <c r="P28" s="4097">
        <v>985</v>
      </c>
      <c r="Q28" s="4093" t="s">
        <v>3878</v>
      </c>
      <c r="R28" s="4098" t="s">
        <v>3879</v>
      </c>
      <c r="S28" s="4099" t="s">
        <v>3880</v>
      </c>
      <c r="T28" s="2139"/>
      <c r="U28" s="2139"/>
      <c r="V28" s="2139"/>
      <c r="W28" s="2139"/>
      <c r="X28" s="2139"/>
      <c r="Y28" s="2139"/>
      <c r="Z28" s="2139"/>
      <c r="AA28" s="2139"/>
      <c r="AB28" s="2139"/>
      <c r="AC28" s="2139"/>
      <c r="AD28" s="2139"/>
      <c r="AE28" s="2139"/>
      <c r="AF28" s="2139"/>
      <c r="AG28" s="2139"/>
    </row>
    <row r="29" spans="1:35">
      <c r="A29" s="4097">
        <v>14</v>
      </c>
      <c r="B29" s="4093" t="s">
        <v>3881</v>
      </c>
      <c r="C29" s="4098" t="s">
        <v>3882</v>
      </c>
      <c r="E29" s="4100"/>
      <c r="F29" s="4097">
        <v>338</v>
      </c>
      <c r="G29" s="4093" t="s">
        <v>3883</v>
      </c>
      <c r="H29" s="4098" t="s">
        <v>3884</v>
      </c>
      <c r="I29" s="4099" t="s">
        <v>3885</v>
      </c>
      <c r="J29" s="4100"/>
      <c r="K29" s="4097">
        <v>662</v>
      </c>
      <c r="L29" s="4093" t="s">
        <v>3886</v>
      </c>
      <c r="M29" s="4098" t="s">
        <v>3887</v>
      </c>
      <c r="N29" s="4099" t="s">
        <v>3888</v>
      </c>
      <c r="O29" s="4100"/>
      <c r="P29" s="4097">
        <v>986</v>
      </c>
      <c r="Q29" s="4093" t="s">
        <v>3889</v>
      </c>
      <c r="R29" s="4098" t="s">
        <v>3890</v>
      </c>
      <c r="S29" s="4099" t="s">
        <v>3891</v>
      </c>
      <c r="T29" s="2139"/>
      <c r="U29" s="2139"/>
      <c r="V29" s="2139"/>
      <c r="W29" s="2139"/>
      <c r="X29" s="2139"/>
      <c r="Y29" s="2139"/>
      <c r="Z29" s="2139"/>
      <c r="AA29" s="2139"/>
      <c r="AB29" s="2139"/>
      <c r="AC29" s="2139"/>
      <c r="AD29" s="2139"/>
    </row>
    <row r="30" spans="1:35">
      <c r="A30" s="4097">
        <v>15</v>
      </c>
      <c r="B30" s="4093">
        <v>2049</v>
      </c>
      <c r="C30" s="4098" t="s">
        <v>3892</v>
      </c>
      <c r="E30" s="4100"/>
      <c r="F30" s="4097">
        <v>339</v>
      </c>
      <c r="G30" s="4093" t="s">
        <v>3893</v>
      </c>
      <c r="H30" s="4098" t="s">
        <v>3894</v>
      </c>
      <c r="I30" s="4099" t="s">
        <v>3895</v>
      </c>
      <c r="J30" s="4100"/>
      <c r="K30" s="4097">
        <v>663</v>
      </c>
      <c r="L30" s="4093" t="s">
        <v>3896</v>
      </c>
      <c r="M30" s="4098" t="s">
        <v>3897</v>
      </c>
      <c r="N30" s="4099" t="s">
        <v>3898</v>
      </c>
      <c r="O30" s="4100"/>
      <c r="P30" s="4097">
        <v>987</v>
      </c>
      <c r="Q30" s="4093" t="s">
        <v>3899</v>
      </c>
      <c r="R30" s="4098" t="s">
        <v>3900</v>
      </c>
      <c r="S30" s="4099" t="s">
        <v>3901</v>
      </c>
      <c r="T30" s="2139"/>
      <c r="U30" s="2139"/>
      <c r="V30" s="2139"/>
      <c r="W30" s="2139"/>
      <c r="X30" s="2139"/>
      <c r="Y30" s="2139"/>
      <c r="Z30" s="2139"/>
      <c r="AA30" s="2139"/>
      <c r="AB30" s="2139"/>
      <c r="AC30" s="2139"/>
      <c r="AD30" s="2139"/>
    </row>
    <row r="31" spans="1:35" ht="25.5">
      <c r="A31" s="4097">
        <v>16</v>
      </c>
      <c r="B31" s="4093" t="s">
        <v>3902</v>
      </c>
      <c r="C31" s="4098" t="s">
        <v>3903</v>
      </c>
      <c r="E31" s="4100"/>
      <c r="F31" s="4097">
        <v>340</v>
      </c>
      <c r="G31" s="4093" t="s">
        <v>3904</v>
      </c>
      <c r="H31" s="4098" t="s">
        <v>3905</v>
      </c>
      <c r="I31" s="4099" t="s">
        <v>3906</v>
      </c>
      <c r="J31" s="4100"/>
      <c r="K31" s="4097">
        <v>664</v>
      </c>
      <c r="L31" s="4093" t="s">
        <v>3907</v>
      </c>
      <c r="M31" s="4098" t="s">
        <v>3908</v>
      </c>
      <c r="N31" s="4099" t="s">
        <v>3909</v>
      </c>
      <c r="O31" s="4100"/>
      <c r="P31" s="4097">
        <v>988</v>
      </c>
      <c r="Q31" s="4093" t="s">
        <v>3910</v>
      </c>
      <c r="R31" s="4098" t="s">
        <v>3911</v>
      </c>
      <c r="S31" s="4099" t="s">
        <v>3912</v>
      </c>
      <c r="T31" s="2139"/>
      <c r="U31" s="2139"/>
      <c r="V31" s="2139"/>
      <c r="W31" s="2139"/>
      <c r="X31" s="2139"/>
      <c r="Y31" s="2139"/>
      <c r="Z31" s="2139"/>
      <c r="AA31" s="2139"/>
      <c r="AB31" s="2139"/>
      <c r="AC31" s="2139"/>
      <c r="AD31" s="2139"/>
    </row>
    <row r="32" spans="1:35">
      <c r="A32" s="4097">
        <v>17</v>
      </c>
      <c r="B32" s="4093" t="s">
        <v>3913</v>
      </c>
      <c r="C32" s="4098" t="s">
        <v>3914</v>
      </c>
      <c r="E32" s="4100"/>
      <c r="F32" s="4097">
        <v>341</v>
      </c>
      <c r="G32" s="4093" t="s">
        <v>3915</v>
      </c>
      <c r="H32" s="4098" t="s">
        <v>3916</v>
      </c>
      <c r="I32" s="4099" t="s">
        <v>3917</v>
      </c>
      <c r="J32" s="4100"/>
      <c r="K32" s="4097">
        <v>665</v>
      </c>
      <c r="L32" s="4093" t="s">
        <v>3918</v>
      </c>
      <c r="M32" s="4098" t="s">
        <v>3919</v>
      </c>
      <c r="N32" s="4099" t="s">
        <v>3920</v>
      </c>
      <c r="O32" s="4100"/>
      <c r="P32" s="4097">
        <v>989</v>
      </c>
      <c r="Q32" s="4093" t="s">
        <v>3921</v>
      </c>
      <c r="R32" s="4098" t="s">
        <v>3922</v>
      </c>
      <c r="S32" s="4099" t="s">
        <v>3923</v>
      </c>
      <c r="T32" s="2139"/>
      <c r="U32" s="2139"/>
      <c r="V32" s="2139"/>
      <c r="W32" s="2139"/>
      <c r="X32" s="2139"/>
      <c r="Y32" s="2139"/>
      <c r="Z32" s="2139"/>
      <c r="AA32" s="2139"/>
      <c r="AB32" s="2139"/>
      <c r="AC32" s="2139"/>
      <c r="AD32" s="2139"/>
    </row>
    <row r="33" spans="1:30">
      <c r="A33" s="4097">
        <v>18</v>
      </c>
      <c r="B33" s="4093" t="s">
        <v>3924</v>
      </c>
      <c r="C33" s="4098" t="s">
        <v>3925</v>
      </c>
      <c r="E33" s="4100"/>
      <c r="F33" s="4097">
        <v>342</v>
      </c>
      <c r="G33" s="4093" t="s">
        <v>3926</v>
      </c>
      <c r="H33" s="4098" t="s">
        <v>3927</v>
      </c>
      <c r="I33" s="4099" t="s">
        <v>3928</v>
      </c>
      <c r="J33" s="4100"/>
      <c r="K33" s="4097">
        <v>666</v>
      </c>
      <c r="L33" s="4093" t="s">
        <v>3929</v>
      </c>
      <c r="M33" s="4098" t="s">
        <v>3930</v>
      </c>
      <c r="N33" s="4099" t="s">
        <v>3931</v>
      </c>
      <c r="O33" s="4100"/>
      <c r="P33" s="4097">
        <v>990</v>
      </c>
      <c r="Q33" s="4093" t="s">
        <v>3932</v>
      </c>
      <c r="R33" s="4098" t="s">
        <v>3933</v>
      </c>
      <c r="S33" s="4099" t="s">
        <v>3934</v>
      </c>
      <c r="T33" s="2139"/>
      <c r="U33" s="2139"/>
      <c r="V33" s="2139"/>
      <c r="W33" s="2139"/>
      <c r="X33" s="2139"/>
      <c r="Y33" s="2139"/>
      <c r="Z33" s="2139"/>
      <c r="AA33" s="2139"/>
      <c r="AB33" s="2139"/>
      <c r="AC33" s="2139"/>
      <c r="AD33" s="2139"/>
    </row>
    <row r="34" spans="1:30">
      <c r="A34" s="4097">
        <v>19</v>
      </c>
      <c r="B34" s="4093" t="s">
        <v>3935</v>
      </c>
      <c r="C34" s="4098" t="s">
        <v>3936</v>
      </c>
      <c r="E34" s="4100"/>
      <c r="F34" s="4097">
        <v>343</v>
      </c>
      <c r="G34" s="4093" t="s">
        <v>3937</v>
      </c>
      <c r="H34" s="4098" t="s">
        <v>3938</v>
      </c>
      <c r="I34" s="4099" t="s">
        <v>3939</v>
      </c>
      <c r="J34" s="4100"/>
      <c r="K34" s="4097">
        <v>667</v>
      </c>
      <c r="L34" s="4093" t="s">
        <v>3940</v>
      </c>
      <c r="M34" s="4098" t="s">
        <v>3941</v>
      </c>
      <c r="N34" s="4099" t="s">
        <v>3942</v>
      </c>
      <c r="O34" s="4100"/>
      <c r="P34" s="4097">
        <v>991</v>
      </c>
      <c r="Q34" s="4093" t="s">
        <v>3943</v>
      </c>
      <c r="R34" s="4098" t="s">
        <v>3944</v>
      </c>
      <c r="S34" s="4099" t="s">
        <v>3945</v>
      </c>
      <c r="T34" s="2139"/>
      <c r="U34" s="2139"/>
      <c r="V34" s="2139"/>
      <c r="W34" s="2139"/>
      <c r="X34" s="2139"/>
      <c r="Y34" s="2139"/>
      <c r="Z34" s="2139"/>
      <c r="AA34" s="2139"/>
      <c r="AB34" s="2139"/>
      <c r="AC34" s="2139"/>
      <c r="AD34" s="2139"/>
    </row>
    <row r="35" spans="1:30" ht="38.25">
      <c r="A35" s="4097">
        <v>20</v>
      </c>
      <c r="B35" s="4093" t="s">
        <v>3946</v>
      </c>
      <c r="C35" s="4098" t="s">
        <v>3947</v>
      </c>
      <c r="E35" s="4100"/>
      <c r="F35" s="4097">
        <v>344</v>
      </c>
      <c r="G35" s="4093" t="s">
        <v>3948</v>
      </c>
      <c r="H35" s="4098" t="s">
        <v>3949</v>
      </c>
      <c r="I35" s="4099" t="s">
        <v>3950</v>
      </c>
      <c r="J35" s="4100"/>
      <c r="K35" s="4097">
        <v>668</v>
      </c>
      <c r="L35" s="4093" t="s">
        <v>3951</v>
      </c>
      <c r="M35" s="4098" t="s">
        <v>3952</v>
      </c>
      <c r="N35" s="4099" t="s">
        <v>3953</v>
      </c>
      <c r="O35" s="4100"/>
      <c r="P35" s="4097">
        <v>992</v>
      </c>
      <c r="Q35" s="4093" t="s">
        <v>3954</v>
      </c>
      <c r="R35" s="4098" t="s">
        <v>3955</v>
      </c>
      <c r="S35" s="4099" t="s">
        <v>3956</v>
      </c>
      <c r="T35" s="2139"/>
      <c r="U35" s="2139"/>
      <c r="V35" s="2139"/>
      <c r="W35" s="2139"/>
      <c r="X35" s="2139"/>
      <c r="Y35" s="2139"/>
      <c r="Z35" s="2139"/>
      <c r="AA35" s="2139"/>
      <c r="AB35" s="2139"/>
      <c r="AC35" s="2139"/>
      <c r="AD35" s="2139"/>
    </row>
    <row r="36" spans="1:30">
      <c r="A36" s="4097">
        <v>21</v>
      </c>
      <c r="B36" s="4093" t="s">
        <v>3957</v>
      </c>
      <c r="C36" s="4098" t="s">
        <v>3958</v>
      </c>
      <c r="E36" s="4100"/>
      <c r="F36" s="4097">
        <v>345</v>
      </c>
      <c r="G36" s="4093" t="s">
        <v>3959</v>
      </c>
      <c r="H36" s="4098" t="s">
        <v>3960</v>
      </c>
      <c r="I36" s="4099" t="s">
        <v>3961</v>
      </c>
      <c r="J36" s="4100"/>
      <c r="K36" s="4097">
        <v>669</v>
      </c>
      <c r="L36" s="4093" t="s">
        <v>3962</v>
      </c>
      <c r="M36" s="4098" t="s">
        <v>3963</v>
      </c>
      <c r="N36" s="4099" t="s">
        <v>3964</v>
      </c>
      <c r="O36" s="4100"/>
      <c r="P36" s="4097">
        <v>993</v>
      </c>
      <c r="Q36" s="4093" t="s">
        <v>3965</v>
      </c>
      <c r="R36" s="4098" t="s">
        <v>3966</v>
      </c>
      <c r="S36" s="4099" t="s">
        <v>3967</v>
      </c>
      <c r="T36" s="2139"/>
      <c r="U36" s="2139"/>
      <c r="V36" s="2139"/>
      <c r="W36" s="2139"/>
      <c r="X36" s="2139"/>
      <c r="Y36" s="2139"/>
      <c r="Z36" s="2139"/>
      <c r="AA36" s="2139"/>
      <c r="AB36" s="2139"/>
      <c r="AC36" s="2139"/>
      <c r="AD36" s="2139"/>
    </row>
    <row r="37" spans="1:30" ht="25.5">
      <c r="A37" s="4097">
        <v>22</v>
      </c>
      <c r="B37" s="4093" t="s">
        <v>3968</v>
      </c>
      <c r="C37" s="4098" t="s">
        <v>3969</v>
      </c>
      <c r="E37" s="4100"/>
      <c r="F37" s="4097">
        <v>346</v>
      </c>
      <c r="G37" s="4093" t="s">
        <v>3970</v>
      </c>
      <c r="H37" s="4098" t="s">
        <v>3971</v>
      </c>
      <c r="I37" s="4099" t="s">
        <v>3972</v>
      </c>
      <c r="J37" s="4100"/>
      <c r="K37" s="4097">
        <v>670</v>
      </c>
      <c r="L37" s="4093" t="s">
        <v>3973</v>
      </c>
      <c r="M37" s="4098" t="s">
        <v>3974</v>
      </c>
      <c r="N37" s="4099" t="s">
        <v>3975</v>
      </c>
      <c r="O37" s="4100"/>
      <c r="P37" s="4097">
        <v>994</v>
      </c>
      <c r="Q37" s="4093" t="s">
        <v>3976</v>
      </c>
      <c r="R37" s="4098" t="s">
        <v>3977</v>
      </c>
      <c r="S37" s="4099" t="s">
        <v>3978</v>
      </c>
      <c r="T37" s="2139"/>
      <c r="U37" s="2139"/>
      <c r="V37" s="2139"/>
      <c r="W37" s="2139"/>
      <c r="X37" s="2139"/>
      <c r="Y37" s="2139"/>
      <c r="Z37" s="2139"/>
      <c r="AA37" s="2139"/>
      <c r="AB37" s="2139"/>
      <c r="AC37" s="2139"/>
      <c r="AD37" s="2139"/>
    </row>
    <row r="38" spans="1:30" ht="25.5">
      <c r="A38" s="4097">
        <v>23</v>
      </c>
      <c r="B38" s="4093" t="s">
        <v>3979</v>
      </c>
      <c r="C38" s="4098" t="s">
        <v>3980</v>
      </c>
      <c r="E38" s="4100"/>
      <c r="F38" s="4097">
        <v>347</v>
      </c>
      <c r="G38" s="4093" t="s">
        <v>3981</v>
      </c>
      <c r="H38" s="4098" t="s">
        <v>3982</v>
      </c>
      <c r="I38" s="4099" t="s">
        <v>3983</v>
      </c>
      <c r="J38" s="4100"/>
      <c r="K38" s="4097">
        <v>671</v>
      </c>
      <c r="L38" s="4093" t="s">
        <v>3984</v>
      </c>
      <c r="M38" s="4098" t="s">
        <v>3985</v>
      </c>
      <c r="N38" s="4099" t="s">
        <v>3986</v>
      </c>
      <c r="O38" s="4100"/>
      <c r="P38" s="4097">
        <v>995</v>
      </c>
      <c r="Q38" s="4093" t="s">
        <v>3987</v>
      </c>
      <c r="R38" s="4098" t="s">
        <v>3988</v>
      </c>
      <c r="S38" s="4099" t="s">
        <v>3989</v>
      </c>
      <c r="T38" s="2139"/>
      <c r="U38" s="2139"/>
      <c r="V38" s="2139"/>
      <c r="W38" s="2139"/>
      <c r="X38" s="2139"/>
      <c r="Y38" s="2139"/>
      <c r="Z38" s="2139"/>
      <c r="AA38" s="2139"/>
      <c r="AB38" s="2139"/>
      <c r="AC38" s="2139"/>
      <c r="AD38" s="2139"/>
    </row>
    <row r="39" spans="1:30">
      <c r="A39" s="4097">
        <v>24</v>
      </c>
      <c r="B39" s="4093" t="s">
        <v>3990</v>
      </c>
      <c r="C39" s="4098" t="s">
        <v>3991</v>
      </c>
      <c r="D39" s="4099" t="s">
        <v>3992</v>
      </c>
      <c r="E39" s="4100"/>
      <c r="F39" s="4097">
        <v>348</v>
      </c>
      <c r="G39" s="4093" t="s">
        <v>3993</v>
      </c>
      <c r="H39" s="4098" t="s">
        <v>3994</v>
      </c>
      <c r="I39" s="4099" t="s">
        <v>3995</v>
      </c>
      <c r="J39" s="4100"/>
      <c r="K39" s="4097">
        <v>672</v>
      </c>
      <c r="L39" s="4093" t="s">
        <v>3996</v>
      </c>
      <c r="M39" s="4098" t="s">
        <v>3997</v>
      </c>
      <c r="N39" s="4099" t="s">
        <v>3998</v>
      </c>
      <c r="O39" s="4100"/>
      <c r="P39" s="4097">
        <v>996</v>
      </c>
      <c r="Q39" s="4093" t="s">
        <v>3999</v>
      </c>
      <c r="R39" s="4098" t="s">
        <v>4000</v>
      </c>
      <c r="T39" s="2139"/>
      <c r="U39" s="2139"/>
      <c r="V39" s="2139"/>
      <c r="W39" s="2139"/>
      <c r="X39" s="2139"/>
      <c r="Y39" s="2139"/>
      <c r="Z39" s="2139"/>
      <c r="AA39" s="2139"/>
      <c r="AB39" s="2139"/>
      <c r="AC39" s="2139"/>
      <c r="AD39" s="2139"/>
    </row>
    <row r="40" spans="1:30" ht="25.5">
      <c r="A40" s="4097">
        <v>25</v>
      </c>
      <c r="B40" s="4093" t="s">
        <v>4001</v>
      </c>
      <c r="C40" s="4098" t="s">
        <v>4002</v>
      </c>
      <c r="D40" s="4099" t="s">
        <v>4003</v>
      </c>
      <c r="E40" s="4100"/>
      <c r="F40" s="4097">
        <v>349</v>
      </c>
      <c r="G40" s="4093" t="s">
        <v>4004</v>
      </c>
      <c r="H40" s="4098" t="s">
        <v>4005</v>
      </c>
      <c r="I40" s="4099" t="s">
        <v>4006</v>
      </c>
      <c r="J40" s="4100"/>
      <c r="K40" s="4097">
        <v>673</v>
      </c>
      <c r="L40" s="4093" t="s">
        <v>4007</v>
      </c>
      <c r="M40" s="4098" t="s">
        <v>4008</v>
      </c>
      <c r="N40" s="4099" t="s">
        <v>4009</v>
      </c>
      <c r="O40" s="4100"/>
      <c r="P40" s="4097">
        <v>997</v>
      </c>
      <c r="Q40" s="4093" t="s">
        <v>4010</v>
      </c>
      <c r="R40" s="4098" t="s">
        <v>4011</v>
      </c>
      <c r="T40" s="2139"/>
      <c r="U40" s="2139"/>
      <c r="V40" s="2139"/>
      <c r="W40" s="2139"/>
      <c r="X40" s="2139"/>
      <c r="Y40" s="2139"/>
      <c r="Z40" s="2139"/>
      <c r="AA40" s="2139"/>
      <c r="AB40" s="2139"/>
      <c r="AC40" s="2139"/>
      <c r="AD40" s="2139"/>
    </row>
    <row r="41" spans="1:30">
      <c r="A41" s="4097">
        <v>26</v>
      </c>
      <c r="B41" s="4093" t="s">
        <v>4012</v>
      </c>
      <c r="C41" s="4098" t="s">
        <v>4013</v>
      </c>
      <c r="D41" s="4099" t="s">
        <v>4003</v>
      </c>
      <c r="E41" s="4100"/>
      <c r="F41" s="4097">
        <v>350</v>
      </c>
      <c r="G41" s="4093" t="s">
        <v>4014</v>
      </c>
      <c r="H41" s="4098" t="s">
        <v>4015</v>
      </c>
      <c r="I41" s="4099" t="s">
        <v>4016</v>
      </c>
      <c r="J41" s="4100"/>
      <c r="K41" s="4097">
        <v>674</v>
      </c>
      <c r="L41" s="4093" t="s">
        <v>4017</v>
      </c>
      <c r="M41" s="4098" t="s">
        <v>4018</v>
      </c>
      <c r="N41" s="4099" t="s">
        <v>4019</v>
      </c>
      <c r="O41" s="4100"/>
      <c r="P41" s="4097">
        <v>998</v>
      </c>
      <c r="Q41" s="4093" t="s">
        <v>4020</v>
      </c>
      <c r="R41" s="4098" t="s">
        <v>4021</v>
      </c>
      <c r="T41" s="2139"/>
      <c r="U41" s="2139"/>
      <c r="V41" s="2139"/>
      <c r="W41" s="2139"/>
      <c r="X41" s="2139"/>
      <c r="Y41" s="2139"/>
      <c r="Z41" s="2139"/>
      <c r="AA41" s="2139"/>
      <c r="AB41" s="2139"/>
      <c r="AC41" s="2139"/>
      <c r="AD41" s="2139"/>
    </row>
    <row r="42" spans="1:30" ht="25.5">
      <c r="A42" s="4097">
        <v>27</v>
      </c>
      <c r="B42" s="4093" t="s">
        <v>4022</v>
      </c>
      <c r="C42" s="4098" t="s">
        <v>4023</v>
      </c>
      <c r="D42" s="4099" t="s">
        <v>4024</v>
      </c>
      <c r="E42" s="4100"/>
      <c r="F42" s="4097">
        <v>351</v>
      </c>
      <c r="G42" s="4093" t="s">
        <v>4025</v>
      </c>
      <c r="H42" s="4098" t="s">
        <v>4026</v>
      </c>
      <c r="I42" s="4099" t="s">
        <v>4027</v>
      </c>
      <c r="J42" s="4100"/>
      <c r="K42" s="4097">
        <v>675</v>
      </c>
      <c r="L42" s="4093" t="s">
        <v>4028</v>
      </c>
      <c r="M42" s="4098" t="s">
        <v>4029</v>
      </c>
      <c r="N42" s="4099" t="s">
        <v>4030</v>
      </c>
      <c r="O42" s="4100"/>
      <c r="P42" s="4097">
        <v>999</v>
      </c>
      <c r="Q42" s="4093" t="s">
        <v>4031</v>
      </c>
      <c r="R42" s="4098" t="s">
        <v>4032</v>
      </c>
      <c r="S42" s="4099" t="s">
        <v>4033</v>
      </c>
      <c r="T42" s="2139"/>
      <c r="U42" s="2139"/>
      <c r="V42" s="2139"/>
      <c r="W42" s="2139"/>
      <c r="X42" s="2139"/>
      <c r="Y42" s="2139"/>
      <c r="Z42" s="2139"/>
      <c r="AA42" s="2139"/>
      <c r="AB42" s="2139"/>
      <c r="AC42" s="2139"/>
      <c r="AD42" s="2139"/>
    </row>
    <row r="43" spans="1:30" ht="38.25">
      <c r="A43" s="4097">
        <v>28</v>
      </c>
      <c r="B43" s="4093" t="s">
        <v>4034</v>
      </c>
      <c r="C43" s="4098" t="s">
        <v>4035</v>
      </c>
      <c r="D43" s="4099" t="s">
        <v>4036</v>
      </c>
      <c r="E43" s="4100"/>
      <c r="F43" s="4097">
        <v>352</v>
      </c>
      <c r="G43" s="4093" t="s">
        <v>4037</v>
      </c>
      <c r="H43" s="4098" t="s">
        <v>4038</v>
      </c>
      <c r="I43" s="4099" t="s">
        <v>4039</v>
      </c>
      <c r="J43" s="4100"/>
      <c r="K43" s="4097">
        <v>676</v>
      </c>
      <c r="L43" s="4093" t="s">
        <v>4040</v>
      </c>
      <c r="M43" s="4098" t="s">
        <v>4041</v>
      </c>
      <c r="N43" s="4099" t="s">
        <v>4042</v>
      </c>
      <c r="O43" s="4100"/>
      <c r="P43" s="4097">
        <v>1000</v>
      </c>
      <c r="Q43" s="4093" t="s">
        <v>4043</v>
      </c>
      <c r="R43" s="4098" t="s">
        <v>4044</v>
      </c>
      <c r="S43" s="4099" t="s">
        <v>4045</v>
      </c>
      <c r="T43" s="2139"/>
      <c r="U43" s="2139"/>
      <c r="V43" s="2139"/>
      <c r="W43" s="2139"/>
      <c r="X43" s="2139"/>
      <c r="Y43" s="2139"/>
      <c r="Z43" s="2139"/>
      <c r="AA43" s="2139"/>
      <c r="AB43" s="2139"/>
      <c r="AC43" s="2139"/>
      <c r="AD43" s="2139"/>
    </row>
    <row r="44" spans="1:30" ht="38.25">
      <c r="A44" s="4097">
        <v>29</v>
      </c>
      <c r="B44" s="4093" t="s">
        <v>4046</v>
      </c>
      <c r="C44" s="4098" t="s">
        <v>4047</v>
      </c>
      <c r="D44" s="4099" t="s">
        <v>4048</v>
      </c>
      <c r="E44" s="4100"/>
      <c r="F44" s="4097">
        <v>353</v>
      </c>
      <c r="G44" s="4093" t="s">
        <v>4049</v>
      </c>
      <c r="H44" s="4098" t="s">
        <v>4050</v>
      </c>
      <c r="I44" s="4099" t="s">
        <v>4051</v>
      </c>
      <c r="J44" s="4100"/>
      <c r="K44" s="4097">
        <v>677</v>
      </c>
      <c r="L44" s="4093" t="s">
        <v>4052</v>
      </c>
      <c r="M44" s="4098" t="s">
        <v>4053</v>
      </c>
      <c r="N44" s="4099" t="s">
        <v>4054</v>
      </c>
      <c r="O44" s="4100"/>
      <c r="P44" s="4097">
        <v>1001</v>
      </c>
      <c r="Q44" s="4093" t="s">
        <v>4055</v>
      </c>
      <c r="R44" s="4098" t="s">
        <v>4056</v>
      </c>
      <c r="S44" s="4099" t="s">
        <v>4057</v>
      </c>
      <c r="T44" s="2139"/>
      <c r="U44" s="2139"/>
      <c r="V44" s="2139"/>
      <c r="W44" s="2139"/>
      <c r="X44" s="2139"/>
      <c r="Y44" s="2139"/>
      <c r="Z44" s="2139"/>
      <c r="AA44" s="2139"/>
      <c r="AB44" s="2139"/>
      <c r="AC44" s="2139"/>
      <c r="AD44" s="2139"/>
    </row>
    <row r="45" spans="1:30" ht="38.25">
      <c r="A45" s="4097">
        <v>30</v>
      </c>
      <c r="B45" s="4093">
        <v>2328</v>
      </c>
      <c r="C45" s="4098" t="s">
        <v>4058</v>
      </c>
      <c r="D45" s="4099" t="s">
        <v>4059</v>
      </c>
      <c r="E45" s="4100"/>
      <c r="F45" s="4097">
        <v>354</v>
      </c>
      <c r="G45" s="4093" t="s">
        <v>4060</v>
      </c>
      <c r="H45" s="4098" t="s">
        <v>4061</v>
      </c>
      <c r="I45" s="4099" t="s">
        <v>4062</v>
      </c>
      <c r="J45" s="4100"/>
      <c r="K45" s="4097">
        <v>678</v>
      </c>
      <c r="L45" s="4093" t="s">
        <v>4063</v>
      </c>
      <c r="M45" s="4098" t="s">
        <v>4064</v>
      </c>
      <c r="N45" s="4099" t="s">
        <v>4065</v>
      </c>
      <c r="O45" s="4100"/>
      <c r="P45" s="4097">
        <v>1002</v>
      </c>
      <c r="Q45" s="4093" t="s">
        <v>4066</v>
      </c>
      <c r="R45" s="4098" t="s">
        <v>4067</v>
      </c>
      <c r="S45" s="4099" t="s">
        <v>4068</v>
      </c>
      <c r="T45" s="2139"/>
      <c r="U45" s="2139"/>
      <c r="V45" s="2139"/>
      <c r="W45" s="2139"/>
      <c r="X45" s="2139"/>
      <c r="Y45" s="2139"/>
      <c r="Z45" s="2139"/>
      <c r="AA45" s="2139"/>
      <c r="AB45" s="2139"/>
      <c r="AC45" s="2139"/>
      <c r="AD45" s="2139"/>
    </row>
    <row r="46" spans="1:30" ht="38.25">
      <c r="A46" s="4097">
        <v>31</v>
      </c>
      <c r="B46" s="4093">
        <v>2935</v>
      </c>
      <c r="C46" s="4098" t="s">
        <v>4069</v>
      </c>
      <c r="D46" s="4099" t="s">
        <v>4070</v>
      </c>
      <c r="E46" s="4100"/>
      <c r="F46" s="4097">
        <v>355</v>
      </c>
      <c r="G46" s="4093" t="s">
        <v>4071</v>
      </c>
      <c r="H46" s="4098" t="s">
        <v>4072</v>
      </c>
      <c r="I46" s="4099" t="s">
        <v>4073</v>
      </c>
      <c r="J46" s="4100"/>
      <c r="K46" s="4097">
        <v>679</v>
      </c>
      <c r="L46" s="4093" t="s">
        <v>4074</v>
      </c>
      <c r="M46" s="4098" t="s">
        <v>4075</v>
      </c>
      <c r="N46" s="4099" t="s">
        <v>4076</v>
      </c>
      <c r="O46" s="4100"/>
      <c r="P46" s="4097">
        <v>1003</v>
      </c>
      <c r="Q46" s="4093" t="s">
        <v>4077</v>
      </c>
      <c r="R46" s="4098" t="s">
        <v>4078</v>
      </c>
      <c r="S46" s="4099" t="s">
        <v>4079</v>
      </c>
      <c r="T46" s="2139"/>
      <c r="U46" s="2139"/>
      <c r="V46" s="2139"/>
      <c r="W46" s="2139"/>
      <c r="X46" s="2139"/>
      <c r="Y46" s="2139"/>
      <c r="Z46" s="2139"/>
      <c r="AA46" s="2139"/>
      <c r="AB46" s="2139"/>
      <c r="AC46" s="2139"/>
      <c r="AD46" s="2139"/>
    </row>
    <row r="47" spans="1:30" ht="25.5">
      <c r="A47" s="4097">
        <v>32</v>
      </c>
      <c r="B47" s="4093">
        <v>2934</v>
      </c>
      <c r="C47" s="4098" t="s">
        <v>4080</v>
      </c>
      <c r="D47" s="4099" t="s">
        <v>4081</v>
      </c>
      <c r="E47" s="4100"/>
      <c r="F47" s="4097">
        <v>356</v>
      </c>
      <c r="G47" s="4093" t="s">
        <v>4082</v>
      </c>
      <c r="H47" s="4098" t="s">
        <v>4083</v>
      </c>
      <c r="I47" s="4099" t="s">
        <v>4084</v>
      </c>
      <c r="J47" s="4100"/>
      <c r="K47" s="4097">
        <v>680</v>
      </c>
      <c r="L47" s="4093" t="s">
        <v>4085</v>
      </c>
      <c r="M47" s="4098" t="s">
        <v>4086</v>
      </c>
      <c r="N47" s="4099" t="s">
        <v>4087</v>
      </c>
      <c r="O47" s="4100"/>
      <c r="P47" s="4097">
        <v>1004</v>
      </c>
      <c r="Q47" s="4093" t="s">
        <v>4088</v>
      </c>
      <c r="R47" s="4098" t="s">
        <v>4089</v>
      </c>
      <c r="S47" s="4099" t="s">
        <v>4090</v>
      </c>
      <c r="T47" s="2139"/>
      <c r="U47" s="2139"/>
      <c r="V47" s="2139"/>
      <c r="W47" s="2139"/>
      <c r="X47" s="2139"/>
      <c r="Y47" s="2139"/>
      <c r="Z47" s="2139"/>
      <c r="AA47" s="2139"/>
      <c r="AB47" s="2139"/>
      <c r="AC47" s="2139"/>
      <c r="AD47" s="2139"/>
    </row>
    <row r="48" spans="1:30" ht="25.5">
      <c r="A48" s="4097">
        <v>33</v>
      </c>
      <c r="B48" s="4093" t="s">
        <v>4091</v>
      </c>
      <c r="C48" s="4098" t="s">
        <v>4092</v>
      </c>
      <c r="D48" s="4099" t="s">
        <v>4093</v>
      </c>
      <c r="E48" s="4100"/>
      <c r="F48" s="4097">
        <v>357</v>
      </c>
      <c r="G48" s="4093" t="s">
        <v>4094</v>
      </c>
      <c r="H48" s="4098" t="s">
        <v>4095</v>
      </c>
      <c r="I48" s="4099" t="s">
        <v>4096</v>
      </c>
      <c r="J48" s="4100"/>
      <c r="K48" s="4097">
        <v>681</v>
      </c>
      <c r="L48" s="4093" t="s">
        <v>4097</v>
      </c>
      <c r="M48" s="4098" t="s">
        <v>4098</v>
      </c>
      <c r="N48" s="4099" t="s">
        <v>4099</v>
      </c>
      <c r="O48" s="4100"/>
      <c r="P48" s="4097">
        <v>1005</v>
      </c>
      <c r="Q48" s="4093" t="s">
        <v>4100</v>
      </c>
      <c r="R48" s="4098" t="s">
        <v>4101</v>
      </c>
      <c r="S48" s="4099" t="s">
        <v>4102</v>
      </c>
      <c r="T48" s="2139"/>
      <c r="U48" s="2139"/>
      <c r="V48" s="2139"/>
      <c r="W48" s="2139"/>
      <c r="X48" s="2139"/>
      <c r="Y48" s="2139"/>
      <c r="Z48" s="2139"/>
      <c r="AA48" s="2139"/>
      <c r="AB48" s="2139"/>
      <c r="AC48" s="2139"/>
      <c r="AD48" s="2139"/>
    </row>
    <row r="49" spans="1:30">
      <c r="A49" s="4097">
        <v>34</v>
      </c>
      <c r="B49" s="4093" t="s">
        <v>4103</v>
      </c>
      <c r="C49" s="4098" t="s">
        <v>4104</v>
      </c>
      <c r="D49" s="4099" t="s">
        <v>4105</v>
      </c>
      <c r="E49" s="4100"/>
      <c r="F49" s="4097">
        <v>358</v>
      </c>
      <c r="G49" s="4093" t="s">
        <v>4106</v>
      </c>
      <c r="H49" s="4098" t="s">
        <v>4107</v>
      </c>
      <c r="I49" s="4099" t="s">
        <v>4108</v>
      </c>
      <c r="J49" s="4100"/>
      <c r="K49" s="4097">
        <v>682</v>
      </c>
      <c r="L49" s="4093" t="s">
        <v>4109</v>
      </c>
      <c r="M49" s="4098" t="s">
        <v>4110</v>
      </c>
      <c r="N49" s="4099" t="s">
        <v>4111</v>
      </c>
      <c r="O49" s="4100"/>
      <c r="P49" s="4097">
        <v>1006</v>
      </c>
      <c r="Q49" s="4093" t="s">
        <v>4112</v>
      </c>
      <c r="R49" s="4098" t="s">
        <v>4113</v>
      </c>
      <c r="S49" s="4099" t="s">
        <v>4114</v>
      </c>
      <c r="T49" s="2139"/>
      <c r="U49" s="2139"/>
      <c r="V49" s="2139"/>
      <c r="W49" s="2139"/>
      <c r="X49" s="2139"/>
      <c r="Y49" s="2139"/>
      <c r="Z49" s="2139"/>
      <c r="AA49" s="2139"/>
      <c r="AB49" s="2139"/>
      <c r="AC49" s="2139"/>
      <c r="AD49" s="2139"/>
    </row>
    <row r="50" spans="1:30">
      <c r="A50" s="4097">
        <v>35</v>
      </c>
      <c r="B50" s="4093" t="s">
        <v>4115</v>
      </c>
      <c r="C50" s="4098" t="s">
        <v>4116</v>
      </c>
      <c r="D50" s="4099" t="s">
        <v>4117</v>
      </c>
      <c r="E50" s="4100"/>
      <c r="F50" s="4097">
        <v>359</v>
      </c>
      <c r="G50" s="4093" t="s">
        <v>4118</v>
      </c>
      <c r="H50" s="4098" t="s">
        <v>4119</v>
      </c>
      <c r="I50" s="4099" t="s">
        <v>4120</v>
      </c>
      <c r="J50" s="4100"/>
      <c r="K50" s="4097">
        <v>683</v>
      </c>
      <c r="L50" s="4093" t="s">
        <v>4121</v>
      </c>
      <c r="M50" s="4098" t="s">
        <v>4122</v>
      </c>
      <c r="N50" s="4099" t="s">
        <v>4123</v>
      </c>
      <c r="O50" s="4100"/>
      <c r="P50" s="4097">
        <v>1007</v>
      </c>
      <c r="Q50" s="4093" t="s">
        <v>4124</v>
      </c>
      <c r="R50" s="4098" t="s">
        <v>4125</v>
      </c>
      <c r="S50" s="4099" t="s">
        <v>4126</v>
      </c>
      <c r="T50" s="2139"/>
      <c r="U50" s="2139"/>
      <c r="V50" s="2139"/>
      <c r="W50" s="2139"/>
      <c r="X50" s="2139"/>
      <c r="Y50" s="2139"/>
      <c r="Z50" s="2139"/>
      <c r="AA50" s="2139"/>
      <c r="AB50" s="2139"/>
      <c r="AC50" s="2139"/>
      <c r="AD50" s="2139"/>
    </row>
    <row r="51" spans="1:30" ht="25.5">
      <c r="A51" s="4097">
        <v>36</v>
      </c>
      <c r="B51" s="4093" t="s">
        <v>4127</v>
      </c>
      <c r="C51" s="4098" t="s">
        <v>4128</v>
      </c>
      <c r="D51" s="4099" t="s">
        <v>4129</v>
      </c>
      <c r="E51" s="4100"/>
      <c r="F51" s="4097">
        <v>360</v>
      </c>
      <c r="G51" s="4093" t="s">
        <v>4130</v>
      </c>
      <c r="H51" s="4098" t="s">
        <v>4131</v>
      </c>
      <c r="I51" s="4099" t="s">
        <v>4132</v>
      </c>
      <c r="J51" s="4100"/>
      <c r="K51" s="4097">
        <v>684</v>
      </c>
      <c r="L51" s="4093" t="s">
        <v>4133</v>
      </c>
      <c r="M51" s="4098" t="s">
        <v>4134</v>
      </c>
      <c r="N51" s="4099" t="s">
        <v>4135</v>
      </c>
      <c r="O51" s="4100"/>
      <c r="P51" s="4097">
        <v>1008</v>
      </c>
      <c r="Q51" s="4093" t="s">
        <v>4136</v>
      </c>
      <c r="R51" s="4098" t="s">
        <v>4137</v>
      </c>
      <c r="S51" s="4099" t="s">
        <v>4138</v>
      </c>
      <c r="T51" s="2139"/>
      <c r="U51" s="2139"/>
      <c r="V51" s="2139"/>
      <c r="W51" s="2139"/>
      <c r="X51" s="2139"/>
      <c r="Y51" s="2139"/>
      <c r="Z51" s="2139"/>
      <c r="AA51" s="2139"/>
      <c r="AB51" s="2139"/>
      <c r="AC51" s="2139"/>
      <c r="AD51" s="2139"/>
    </row>
    <row r="52" spans="1:30">
      <c r="A52" s="4097">
        <v>37</v>
      </c>
      <c r="B52" s="4093" t="s">
        <v>4139</v>
      </c>
      <c r="C52" s="4098" t="s">
        <v>4140</v>
      </c>
      <c r="D52" s="4099" t="s">
        <v>4141</v>
      </c>
      <c r="E52" s="4100"/>
      <c r="F52" s="4097">
        <v>361</v>
      </c>
      <c r="G52" s="4093" t="s">
        <v>4142</v>
      </c>
      <c r="H52" s="4098" t="s">
        <v>4143</v>
      </c>
      <c r="I52" s="4099" t="s">
        <v>4144</v>
      </c>
      <c r="J52" s="4100"/>
      <c r="K52" s="4097">
        <v>685</v>
      </c>
      <c r="L52" s="4093" t="s">
        <v>4145</v>
      </c>
      <c r="M52" s="4098" t="s">
        <v>4146</v>
      </c>
      <c r="N52" s="4099" t="s">
        <v>4147</v>
      </c>
      <c r="O52" s="4100"/>
      <c r="P52" s="4097">
        <v>1009</v>
      </c>
      <c r="Q52" s="4093" t="s">
        <v>4148</v>
      </c>
      <c r="R52" s="4098" t="s">
        <v>4149</v>
      </c>
      <c r="S52" s="4099" t="s">
        <v>4150</v>
      </c>
      <c r="T52" s="2139"/>
      <c r="U52" s="2139"/>
      <c r="V52" s="2139"/>
      <c r="W52" s="2139"/>
      <c r="X52" s="2139"/>
      <c r="Y52" s="2139"/>
      <c r="Z52" s="2139"/>
      <c r="AA52" s="2139"/>
      <c r="AB52" s="2139"/>
      <c r="AC52" s="2139"/>
      <c r="AD52" s="2139"/>
    </row>
    <row r="53" spans="1:30" ht="25.5">
      <c r="A53" s="4097">
        <v>38</v>
      </c>
      <c r="B53" s="4093" t="s">
        <v>4151</v>
      </c>
      <c r="C53" s="4098" t="s">
        <v>4152</v>
      </c>
      <c r="D53" s="4099" t="s">
        <v>4153</v>
      </c>
      <c r="E53" s="4100"/>
      <c r="F53" s="4097">
        <v>362</v>
      </c>
      <c r="G53" s="4093" t="s">
        <v>4154</v>
      </c>
      <c r="H53" s="4098" t="s">
        <v>4155</v>
      </c>
      <c r="I53" s="4099" t="s">
        <v>4156</v>
      </c>
      <c r="J53" s="4100"/>
      <c r="K53" s="4097">
        <v>686</v>
      </c>
      <c r="L53" s="4093" t="s">
        <v>4157</v>
      </c>
      <c r="M53" s="4098" t="s">
        <v>4158</v>
      </c>
      <c r="N53" s="4099" t="s">
        <v>4159</v>
      </c>
      <c r="O53" s="4100"/>
      <c r="P53" s="4097">
        <v>1010</v>
      </c>
      <c r="Q53" s="4093" t="s">
        <v>4160</v>
      </c>
      <c r="R53" s="4098" t="s">
        <v>4161</v>
      </c>
      <c r="S53" s="4099" t="s">
        <v>4162</v>
      </c>
      <c r="T53" s="2139"/>
      <c r="U53" s="2139"/>
      <c r="V53" s="2139"/>
      <c r="W53" s="2139"/>
      <c r="X53" s="2139"/>
      <c r="Y53" s="2139"/>
      <c r="Z53" s="2139"/>
      <c r="AA53" s="2139"/>
      <c r="AB53" s="2139"/>
      <c r="AC53" s="2139"/>
      <c r="AD53" s="2139"/>
    </row>
    <row r="54" spans="1:30" ht="25.5">
      <c r="A54" s="4097">
        <v>39</v>
      </c>
      <c r="B54" s="4093" t="s">
        <v>4163</v>
      </c>
      <c r="C54" s="4098" t="s">
        <v>4164</v>
      </c>
      <c r="D54" s="4099" t="s">
        <v>4165</v>
      </c>
      <c r="E54" s="4100"/>
      <c r="F54" s="4097">
        <v>363</v>
      </c>
      <c r="G54" s="4093" t="s">
        <v>4166</v>
      </c>
      <c r="H54" s="4098" t="s">
        <v>4167</v>
      </c>
      <c r="I54" s="4099" t="s">
        <v>4168</v>
      </c>
      <c r="J54" s="4100"/>
      <c r="K54" s="4097">
        <v>687</v>
      </c>
      <c r="L54" s="4093" t="s">
        <v>4169</v>
      </c>
      <c r="M54" s="4098" t="s">
        <v>4170</v>
      </c>
      <c r="N54" s="4099" t="s">
        <v>4171</v>
      </c>
      <c r="O54" s="4100"/>
      <c r="P54" s="4097">
        <v>1011</v>
      </c>
      <c r="Q54" s="4093" t="s">
        <v>4172</v>
      </c>
      <c r="R54" s="4098" t="s">
        <v>4173</v>
      </c>
      <c r="S54" s="4099" t="s">
        <v>4174</v>
      </c>
      <c r="T54" s="2139"/>
      <c r="U54" s="2139"/>
      <c r="V54" s="2139"/>
      <c r="W54" s="2139"/>
      <c r="X54" s="2139"/>
      <c r="Y54" s="2139"/>
      <c r="Z54" s="2139"/>
      <c r="AA54" s="2139"/>
      <c r="AB54" s="2139"/>
      <c r="AC54" s="2139"/>
      <c r="AD54" s="2139"/>
    </row>
    <row r="55" spans="1:30" ht="25.5">
      <c r="A55" s="4097">
        <v>40</v>
      </c>
      <c r="B55" s="4093" t="s">
        <v>4175</v>
      </c>
      <c r="C55" s="4098" t="s">
        <v>4176</v>
      </c>
      <c r="D55" s="4099" t="s">
        <v>4177</v>
      </c>
      <c r="E55" s="4100"/>
      <c r="F55" s="4097">
        <v>364</v>
      </c>
      <c r="G55" s="4093" t="s">
        <v>4178</v>
      </c>
      <c r="H55" s="4098" t="s">
        <v>4179</v>
      </c>
      <c r="I55" s="4099" t="s">
        <v>4180</v>
      </c>
      <c r="J55" s="4100"/>
      <c r="K55" s="4097">
        <v>688</v>
      </c>
      <c r="L55" s="4093" t="s">
        <v>4181</v>
      </c>
      <c r="M55" s="4098" t="s">
        <v>4182</v>
      </c>
      <c r="N55" s="4099" t="s">
        <v>4183</v>
      </c>
      <c r="O55" s="4100"/>
      <c r="P55" s="4097">
        <v>1012</v>
      </c>
      <c r="Q55" s="4093" t="s">
        <v>4184</v>
      </c>
      <c r="R55" s="4098" t="s">
        <v>4185</v>
      </c>
      <c r="S55" s="4099" t="s">
        <v>4186</v>
      </c>
      <c r="T55" s="2139"/>
      <c r="U55" s="2139"/>
      <c r="V55" s="2139"/>
      <c r="W55" s="2139"/>
      <c r="X55" s="2139"/>
      <c r="Y55" s="2139"/>
      <c r="Z55" s="2139"/>
      <c r="AA55" s="2139"/>
      <c r="AB55" s="2139"/>
      <c r="AC55" s="2139"/>
      <c r="AD55" s="2139"/>
    </row>
    <row r="56" spans="1:30">
      <c r="A56" s="4097">
        <v>41</v>
      </c>
      <c r="B56" s="4093">
        <v>2197</v>
      </c>
      <c r="C56" s="4098" t="s">
        <v>4187</v>
      </c>
      <c r="D56" s="4099" t="s">
        <v>4188</v>
      </c>
      <c r="E56" s="4100"/>
      <c r="F56" s="4097">
        <v>365</v>
      </c>
      <c r="G56" s="4093" t="s">
        <v>4189</v>
      </c>
      <c r="H56" s="4098" t="s">
        <v>4190</v>
      </c>
      <c r="I56" s="4099" t="s">
        <v>4191</v>
      </c>
      <c r="J56" s="4100"/>
      <c r="K56" s="4097">
        <v>689</v>
      </c>
      <c r="L56" s="4093" t="s">
        <v>4192</v>
      </c>
      <c r="M56" s="4098" t="s">
        <v>4193</v>
      </c>
      <c r="N56" s="4099" t="s">
        <v>4120</v>
      </c>
      <c r="O56" s="4100"/>
      <c r="P56" s="4097">
        <v>1013</v>
      </c>
      <c r="Q56" s="4093" t="s">
        <v>4194</v>
      </c>
      <c r="R56" s="4098" t="s">
        <v>4195</v>
      </c>
      <c r="S56" s="4099" t="s">
        <v>4196</v>
      </c>
      <c r="T56" s="2139"/>
      <c r="U56" s="2139"/>
      <c r="V56" s="2139"/>
      <c r="W56" s="2139"/>
      <c r="X56" s="2139"/>
      <c r="Y56" s="2139"/>
      <c r="Z56" s="2139"/>
      <c r="AA56" s="2139"/>
      <c r="AB56" s="2139"/>
      <c r="AC56" s="2139"/>
      <c r="AD56" s="2139"/>
    </row>
    <row r="57" spans="1:30" ht="25.5">
      <c r="A57" s="4097">
        <v>42</v>
      </c>
      <c r="B57" s="4093" t="s">
        <v>4197</v>
      </c>
      <c r="C57" s="4098" t="s">
        <v>4198</v>
      </c>
      <c r="D57" s="4099" t="s">
        <v>4199</v>
      </c>
      <c r="E57" s="4100"/>
      <c r="F57" s="4097">
        <v>366</v>
      </c>
      <c r="G57" s="4093" t="s">
        <v>4200</v>
      </c>
      <c r="H57" s="4098" t="s">
        <v>4201</v>
      </c>
      <c r="I57" s="4099" t="s">
        <v>4202</v>
      </c>
      <c r="J57" s="4100"/>
      <c r="K57" s="4097">
        <v>690</v>
      </c>
      <c r="L57" s="4093" t="s">
        <v>4203</v>
      </c>
      <c r="M57" s="4098" t="s">
        <v>4204</v>
      </c>
      <c r="N57" s="4099" t="s">
        <v>4205</v>
      </c>
      <c r="O57" s="4100"/>
      <c r="P57" s="4097">
        <v>1014</v>
      </c>
      <c r="Q57" s="4093" t="s">
        <v>4206</v>
      </c>
      <c r="R57" s="4098" t="s">
        <v>4207</v>
      </c>
      <c r="S57" s="4099" t="s">
        <v>4208</v>
      </c>
      <c r="T57" s="2139"/>
      <c r="U57" s="2139"/>
      <c r="V57" s="2139"/>
      <c r="W57" s="2139"/>
      <c r="X57" s="2139"/>
      <c r="Y57" s="2139"/>
      <c r="Z57" s="2139"/>
      <c r="AA57" s="2139"/>
      <c r="AB57" s="2139"/>
      <c r="AC57" s="2139"/>
      <c r="AD57" s="2139"/>
    </row>
    <row r="58" spans="1:30">
      <c r="A58" s="4097">
        <v>43</v>
      </c>
      <c r="B58" s="4093" t="s">
        <v>4209</v>
      </c>
      <c r="C58" s="4098" t="s">
        <v>4210</v>
      </c>
      <c r="D58" s="4099" t="s">
        <v>4211</v>
      </c>
      <c r="E58" s="4100"/>
      <c r="F58" s="4097">
        <v>367</v>
      </c>
      <c r="G58" s="4093" t="s">
        <v>4212</v>
      </c>
      <c r="H58" s="4098" t="s">
        <v>4213</v>
      </c>
      <c r="I58" s="4099" t="s">
        <v>4214</v>
      </c>
      <c r="J58" s="4100"/>
      <c r="K58" s="4097">
        <v>691</v>
      </c>
      <c r="L58" s="4093" t="s">
        <v>4215</v>
      </c>
      <c r="M58" s="4098" t="s">
        <v>4216</v>
      </c>
      <c r="N58" s="4099" t="s">
        <v>4217</v>
      </c>
      <c r="O58" s="4100"/>
      <c r="P58" s="4097">
        <v>1015</v>
      </c>
      <c r="Q58" s="4093" t="s">
        <v>4218</v>
      </c>
      <c r="R58" s="4098" t="s">
        <v>4219</v>
      </c>
      <c r="S58" s="4099" t="s">
        <v>4220</v>
      </c>
      <c r="T58" s="2139"/>
      <c r="U58" s="2139"/>
      <c r="V58" s="2139"/>
      <c r="W58" s="2139"/>
      <c r="X58" s="2139"/>
      <c r="Y58" s="2139"/>
      <c r="Z58" s="2139"/>
      <c r="AA58" s="2139"/>
      <c r="AB58" s="2139"/>
      <c r="AC58" s="2139"/>
      <c r="AD58" s="2139"/>
    </row>
    <row r="59" spans="1:30" ht="25.5">
      <c r="A59" s="4097">
        <v>44</v>
      </c>
      <c r="B59" s="4093">
        <v>2198</v>
      </c>
      <c r="C59" s="4098" t="s">
        <v>4221</v>
      </c>
      <c r="D59" s="4099" t="s">
        <v>4222</v>
      </c>
      <c r="E59" s="4100"/>
      <c r="F59" s="4097">
        <v>368</v>
      </c>
      <c r="G59" s="4093" t="s">
        <v>4223</v>
      </c>
      <c r="H59" s="4098" t="s">
        <v>4224</v>
      </c>
      <c r="I59" s="4099" t="s">
        <v>4225</v>
      </c>
      <c r="J59" s="4100"/>
      <c r="K59" s="4097">
        <v>692</v>
      </c>
      <c r="L59" s="4093" t="s">
        <v>4226</v>
      </c>
      <c r="M59" s="4098" t="s">
        <v>4227</v>
      </c>
      <c r="N59" s="4099" t="s">
        <v>4228</v>
      </c>
      <c r="O59" s="4100"/>
      <c r="P59" s="4097">
        <v>1016</v>
      </c>
      <c r="Q59" s="4093" t="s">
        <v>4229</v>
      </c>
      <c r="R59" s="4098" t="s">
        <v>4230</v>
      </c>
      <c r="S59" s="4099" t="s">
        <v>4231</v>
      </c>
      <c r="T59" s="2139"/>
      <c r="U59" s="2139"/>
      <c r="V59" s="2139"/>
      <c r="W59" s="2139"/>
      <c r="X59" s="2139"/>
      <c r="Y59" s="2139"/>
      <c r="Z59" s="2139"/>
      <c r="AA59" s="2139"/>
      <c r="AB59" s="2139"/>
      <c r="AC59" s="2139"/>
      <c r="AD59" s="2139"/>
    </row>
    <row r="60" spans="1:30">
      <c r="A60" s="4097">
        <v>45</v>
      </c>
      <c r="B60" s="4093">
        <v>2199</v>
      </c>
      <c r="C60" s="4098" t="s">
        <v>4232</v>
      </c>
      <c r="D60" s="4099" t="s">
        <v>4233</v>
      </c>
      <c r="E60" s="4100"/>
      <c r="F60" s="4097">
        <v>369</v>
      </c>
      <c r="G60" s="4093" t="s">
        <v>4234</v>
      </c>
      <c r="H60" s="4098" t="s">
        <v>4235</v>
      </c>
      <c r="I60" s="4099" t="s">
        <v>4236</v>
      </c>
      <c r="J60" s="4100"/>
      <c r="K60" s="4097">
        <v>693</v>
      </c>
      <c r="L60" s="4093" t="s">
        <v>4237</v>
      </c>
      <c r="M60" s="4098" t="s">
        <v>4238</v>
      </c>
      <c r="N60" s="4099" t="s">
        <v>4239</v>
      </c>
      <c r="O60" s="4100"/>
      <c r="P60" s="4097">
        <v>1017</v>
      </c>
      <c r="Q60" s="4093" t="s">
        <v>4240</v>
      </c>
      <c r="R60" s="4098" t="s">
        <v>4241</v>
      </c>
      <c r="S60" s="4099" t="s">
        <v>4242</v>
      </c>
      <c r="T60" s="2139"/>
      <c r="U60" s="2139"/>
      <c r="V60" s="2139"/>
      <c r="W60" s="2139"/>
      <c r="X60" s="2139"/>
      <c r="Y60" s="2139"/>
      <c r="Z60" s="2139"/>
      <c r="AA60" s="2139"/>
      <c r="AB60" s="2139"/>
      <c r="AC60" s="2139"/>
      <c r="AD60" s="2139"/>
    </row>
    <row r="61" spans="1:30" ht="25.5">
      <c r="A61" s="4097">
        <v>46</v>
      </c>
      <c r="B61" s="4093" t="s">
        <v>4243</v>
      </c>
      <c r="C61" s="4098" t="s">
        <v>4244</v>
      </c>
      <c r="D61" s="4099" t="s">
        <v>4245</v>
      </c>
      <c r="E61" s="4100"/>
      <c r="F61" s="4097">
        <v>370</v>
      </c>
      <c r="G61" s="4093" t="s">
        <v>4246</v>
      </c>
      <c r="H61" s="4098" t="s">
        <v>4247</v>
      </c>
      <c r="I61" s="4099" t="s">
        <v>4248</v>
      </c>
      <c r="J61" s="4100"/>
      <c r="K61" s="4097">
        <v>694</v>
      </c>
      <c r="L61" s="4093" t="s">
        <v>4249</v>
      </c>
      <c r="M61" s="4098" t="s">
        <v>4250</v>
      </c>
      <c r="N61" s="4099" t="s">
        <v>4251</v>
      </c>
      <c r="O61" s="4100"/>
      <c r="P61" s="4097">
        <v>1018</v>
      </c>
      <c r="Q61" s="4093" t="s">
        <v>4252</v>
      </c>
      <c r="R61" s="4098" t="s">
        <v>4253</v>
      </c>
      <c r="S61" s="4099" t="s">
        <v>4254</v>
      </c>
      <c r="T61" s="2139"/>
      <c r="U61" s="2139"/>
      <c r="V61" s="2139"/>
      <c r="W61" s="2139"/>
      <c r="X61" s="2139"/>
      <c r="Y61" s="2139"/>
      <c r="Z61" s="2139"/>
      <c r="AA61" s="2139"/>
      <c r="AB61" s="2139"/>
      <c r="AC61" s="2139"/>
      <c r="AD61" s="2139"/>
    </row>
    <row r="62" spans="1:30">
      <c r="A62" s="4097">
        <v>47</v>
      </c>
      <c r="B62" s="4093">
        <v>2196</v>
      </c>
      <c r="C62" s="4098" t="s">
        <v>4255</v>
      </c>
      <c r="D62" s="4099" t="s">
        <v>4256</v>
      </c>
      <c r="E62" s="4100"/>
      <c r="F62" s="4097">
        <v>371</v>
      </c>
      <c r="G62" s="4093" t="s">
        <v>4257</v>
      </c>
      <c r="H62" s="4098" t="s">
        <v>4258</v>
      </c>
      <c r="I62" s="4099" t="s">
        <v>4259</v>
      </c>
      <c r="J62" s="4100"/>
      <c r="K62" s="4097">
        <v>695</v>
      </c>
      <c r="L62" s="4093" t="s">
        <v>4260</v>
      </c>
      <c r="M62" s="4098" t="s">
        <v>4261</v>
      </c>
      <c r="N62" s="4099" t="s">
        <v>4262</v>
      </c>
      <c r="O62" s="4100"/>
      <c r="P62" s="4097">
        <v>1019</v>
      </c>
      <c r="Q62" s="4093" t="s">
        <v>4263</v>
      </c>
      <c r="R62" s="4098" t="s">
        <v>4264</v>
      </c>
      <c r="S62" s="4099" t="s">
        <v>4265</v>
      </c>
      <c r="T62" s="2139"/>
      <c r="U62" s="2139"/>
      <c r="V62" s="2139"/>
      <c r="W62" s="2139"/>
      <c r="X62" s="2139"/>
      <c r="Y62" s="2139"/>
      <c r="Z62" s="2139"/>
      <c r="AA62" s="2139"/>
      <c r="AB62" s="2139"/>
      <c r="AC62" s="2139"/>
      <c r="AD62" s="2139"/>
    </row>
    <row r="63" spans="1:30">
      <c r="A63" s="4097">
        <v>48</v>
      </c>
      <c r="B63" s="4093">
        <v>2194</v>
      </c>
      <c r="C63" s="4098" t="s">
        <v>4266</v>
      </c>
      <c r="D63" s="4099" t="s">
        <v>4267</v>
      </c>
      <c r="E63" s="4100"/>
      <c r="F63" s="4097">
        <v>372</v>
      </c>
      <c r="G63" s="4093" t="s">
        <v>4268</v>
      </c>
      <c r="H63" s="4098" t="s">
        <v>4269</v>
      </c>
      <c r="I63" s="4099" t="s">
        <v>4270</v>
      </c>
      <c r="J63" s="4100"/>
      <c r="K63" s="4097">
        <v>696</v>
      </c>
      <c r="L63" s="4093" t="s">
        <v>4271</v>
      </c>
      <c r="M63" s="4098" t="s">
        <v>4272</v>
      </c>
      <c r="N63" s="4099" t="s">
        <v>4273</v>
      </c>
      <c r="O63" s="4100"/>
      <c r="P63" s="4097">
        <v>1020</v>
      </c>
      <c r="Q63" s="4093" t="s">
        <v>4274</v>
      </c>
      <c r="R63" s="4098" t="s">
        <v>4275</v>
      </c>
      <c r="S63" s="4099" t="s">
        <v>4276</v>
      </c>
      <c r="T63" s="2139"/>
      <c r="U63" s="2139"/>
      <c r="V63" s="2139"/>
      <c r="W63" s="2139"/>
      <c r="X63" s="2139"/>
      <c r="Y63" s="2139"/>
      <c r="Z63" s="2139"/>
      <c r="AA63" s="2139"/>
      <c r="AB63" s="2139"/>
      <c r="AC63" s="2139"/>
      <c r="AD63" s="2139"/>
    </row>
    <row r="64" spans="1:30" ht="25.5">
      <c r="A64" s="4097">
        <v>49</v>
      </c>
      <c r="B64" s="4093">
        <v>2195</v>
      </c>
      <c r="C64" s="4098" t="s">
        <v>4277</v>
      </c>
      <c r="D64" s="4099" t="s">
        <v>4278</v>
      </c>
      <c r="E64" s="4100"/>
      <c r="F64" s="4097">
        <v>373</v>
      </c>
      <c r="G64" s="4093" t="s">
        <v>4279</v>
      </c>
      <c r="H64" s="4098" t="s">
        <v>4280</v>
      </c>
      <c r="I64" s="4099" t="s">
        <v>4281</v>
      </c>
      <c r="J64" s="4100"/>
      <c r="K64" s="4097">
        <v>697</v>
      </c>
      <c r="L64" s="4093" t="s">
        <v>4282</v>
      </c>
      <c r="M64" s="4098" t="s">
        <v>4283</v>
      </c>
      <c r="N64" s="4099" t="s">
        <v>4284</v>
      </c>
      <c r="O64" s="4100"/>
      <c r="P64" s="4097">
        <v>1021</v>
      </c>
      <c r="Q64" s="4093" t="s">
        <v>4285</v>
      </c>
      <c r="R64" s="4098" t="s">
        <v>4286</v>
      </c>
      <c r="S64" s="4099" t="s">
        <v>4287</v>
      </c>
      <c r="T64" s="2139"/>
      <c r="U64" s="2139"/>
      <c r="V64" s="2139"/>
      <c r="W64" s="2139"/>
      <c r="X64" s="2139"/>
      <c r="Y64" s="2139"/>
      <c r="Z64" s="2139"/>
      <c r="AA64" s="2139"/>
      <c r="AB64" s="2139"/>
      <c r="AC64" s="2139"/>
      <c r="AD64" s="2139"/>
    </row>
    <row r="65" spans="1:30" ht="25.5">
      <c r="A65" s="4097">
        <v>50</v>
      </c>
      <c r="B65" s="4093" t="s">
        <v>4288</v>
      </c>
      <c r="C65" s="4098" t="s">
        <v>3573</v>
      </c>
      <c r="D65" s="4099" t="s">
        <v>4289</v>
      </c>
      <c r="E65" s="4100"/>
      <c r="F65" s="4097">
        <v>374</v>
      </c>
      <c r="G65" s="4093" t="s">
        <v>4290</v>
      </c>
      <c r="H65" s="4098" t="s">
        <v>4291</v>
      </c>
      <c r="I65" s="4099" t="s">
        <v>4292</v>
      </c>
      <c r="J65" s="4100"/>
      <c r="K65" s="4097">
        <v>698</v>
      </c>
      <c r="L65" s="4093" t="s">
        <v>4293</v>
      </c>
      <c r="M65" s="4098" t="s">
        <v>4294</v>
      </c>
      <c r="N65" s="4099" t="s">
        <v>4295</v>
      </c>
      <c r="O65" s="4100"/>
      <c r="P65" s="4097">
        <v>1022</v>
      </c>
      <c r="Q65" s="4093" t="s">
        <v>4296</v>
      </c>
      <c r="R65" s="4098" t="s">
        <v>4297</v>
      </c>
      <c r="S65" s="4099" t="s">
        <v>4298</v>
      </c>
      <c r="T65" s="2139"/>
      <c r="U65" s="2139"/>
      <c r="V65" s="2139"/>
      <c r="W65" s="2139"/>
      <c r="X65" s="2139"/>
      <c r="Y65" s="2139"/>
      <c r="Z65" s="2139"/>
      <c r="AA65" s="2139"/>
      <c r="AB65" s="2139"/>
      <c r="AC65" s="2139"/>
      <c r="AD65" s="2139"/>
    </row>
    <row r="66" spans="1:30" ht="25.5">
      <c r="A66" s="4097">
        <v>51</v>
      </c>
      <c r="B66" s="4093" t="s">
        <v>4299</v>
      </c>
      <c r="C66" s="4098" t="s">
        <v>3576</v>
      </c>
      <c r="D66" s="4099" t="s">
        <v>4300</v>
      </c>
      <c r="E66" s="4100"/>
      <c r="F66" s="4097">
        <v>375</v>
      </c>
      <c r="G66" s="4093" t="s">
        <v>4301</v>
      </c>
      <c r="H66" s="4098" t="s">
        <v>4302</v>
      </c>
      <c r="I66" s="4099" t="s">
        <v>4303</v>
      </c>
      <c r="J66" s="4100"/>
      <c r="K66" s="4097">
        <v>699</v>
      </c>
      <c r="L66" s="4093" t="s">
        <v>4304</v>
      </c>
      <c r="M66" s="4098" t="s">
        <v>4305</v>
      </c>
      <c r="N66" s="4099" t="s">
        <v>4306</v>
      </c>
      <c r="O66" s="4100"/>
      <c r="P66" s="4097">
        <v>1023</v>
      </c>
      <c r="Q66" s="4093" t="s">
        <v>4307</v>
      </c>
      <c r="R66" s="4098" t="s">
        <v>4308</v>
      </c>
      <c r="S66" s="4099" t="s">
        <v>4309</v>
      </c>
      <c r="T66" s="2139"/>
      <c r="U66" s="2139"/>
      <c r="V66" s="2139"/>
      <c r="W66" s="2139"/>
      <c r="X66" s="2139"/>
      <c r="Y66" s="2139"/>
      <c r="Z66" s="2139"/>
      <c r="AA66" s="2139"/>
      <c r="AB66" s="2139"/>
      <c r="AC66" s="2139"/>
      <c r="AD66" s="2139"/>
    </row>
    <row r="67" spans="1:30" ht="51">
      <c r="A67" s="4097">
        <v>52</v>
      </c>
      <c r="B67" s="4093">
        <v>2600</v>
      </c>
      <c r="C67" s="4098" t="s">
        <v>4310</v>
      </c>
      <c r="D67" s="4099" t="s">
        <v>4311</v>
      </c>
      <c r="E67" s="4100"/>
      <c r="F67" s="4097">
        <v>376</v>
      </c>
      <c r="G67" s="4093" t="s">
        <v>4312</v>
      </c>
      <c r="H67" s="4098" t="s">
        <v>4313</v>
      </c>
      <c r="I67" s="4099" t="s">
        <v>4314</v>
      </c>
      <c r="J67" s="4100"/>
      <c r="K67" s="4097">
        <v>700</v>
      </c>
      <c r="L67" s="4093" t="s">
        <v>4315</v>
      </c>
      <c r="M67" s="4098" t="s">
        <v>4316</v>
      </c>
      <c r="N67" s="4099" t="s">
        <v>4317</v>
      </c>
      <c r="O67" s="4100"/>
      <c r="P67" s="4097">
        <v>1024</v>
      </c>
      <c r="Q67" s="4093" t="s">
        <v>4318</v>
      </c>
      <c r="R67" s="4098" t="s">
        <v>4319</v>
      </c>
      <c r="S67" s="4099" t="s">
        <v>4320</v>
      </c>
      <c r="T67" s="2139"/>
      <c r="U67" s="2139"/>
      <c r="V67" s="2139"/>
      <c r="W67" s="2139"/>
      <c r="X67" s="2139"/>
      <c r="Y67" s="2139"/>
      <c r="Z67" s="2139"/>
      <c r="AA67" s="2139"/>
      <c r="AB67" s="2139"/>
      <c r="AC67" s="2139"/>
      <c r="AD67" s="2139"/>
    </row>
    <row r="68" spans="1:30" ht="51">
      <c r="A68" s="4097">
        <v>53</v>
      </c>
      <c r="B68" s="4093">
        <v>2601</v>
      </c>
      <c r="C68" s="4098" t="s">
        <v>4321</v>
      </c>
      <c r="D68" s="4099" t="s">
        <v>4322</v>
      </c>
      <c r="E68" s="4100"/>
      <c r="F68" s="4097">
        <v>377</v>
      </c>
      <c r="G68" s="4093" t="s">
        <v>4323</v>
      </c>
      <c r="H68" s="4098" t="s">
        <v>4324</v>
      </c>
      <c r="I68" s="4099" t="s">
        <v>4325</v>
      </c>
      <c r="J68" s="4100"/>
      <c r="K68" s="4097">
        <v>701</v>
      </c>
      <c r="L68" s="4093" t="s">
        <v>4326</v>
      </c>
      <c r="M68" s="4098" t="s">
        <v>4327</v>
      </c>
      <c r="N68" s="4099" t="s">
        <v>4328</v>
      </c>
      <c r="O68" s="4100"/>
      <c r="P68" s="4097">
        <v>1025</v>
      </c>
      <c r="Q68" s="4093" t="s">
        <v>4329</v>
      </c>
      <c r="R68" s="4098" t="s">
        <v>4330</v>
      </c>
      <c r="S68" s="4099" t="s">
        <v>4331</v>
      </c>
      <c r="T68" s="2139"/>
      <c r="U68" s="2139"/>
      <c r="V68" s="2139"/>
      <c r="W68" s="2139"/>
      <c r="X68" s="2139"/>
      <c r="Y68" s="2139"/>
      <c r="Z68" s="2139"/>
      <c r="AA68" s="2139"/>
      <c r="AB68" s="2139"/>
      <c r="AC68" s="2139"/>
      <c r="AD68" s="2139"/>
    </row>
    <row r="69" spans="1:30">
      <c r="A69" s="4097">
        <v>54</v>
      </c>
      <c r="B69" s="4093">
        <v>2602</v>
      </c>
      <c r="C69" s="4098" t="s">
        <v>4332</v>
      </c>
      <c r="D69" s="4099" t="s">
        <v>4333</v>
      </c>
      <c r="E69" s="4100"/>
      <c r="F69" s="4097">
        <v>378</v>
      </c>
      <c r="G69" s="4093" t="s">
        <v>4334</v>
      </c>
      <c r="H69" s="4098" t="s">
        <v>4335</v>
      </c>
      <c r="I69" s="4099" t="s">
        <v>4336</v>
      </c>
      <c r="J69" s="4100"/>
      <c r="K69" s="4097">
        <v>702</v>
      </c>
      <c r="L69" s="4093" t="s">
        <v>4337</v>
      </c>
      <c r="M69" s="4098" t="s">
        <v>4338</v>
      </c>
      <c r="N69" s="4099" t="s">
        <v>4339</v>
      </c>
      <c r="O69" s="4100"/>
      <c r="P69" s="4097">
        <v>1026</v>
      </c>
      <c r="Q69" s="4093" t="s">
        <v>4340</v>
      </c>
      <c r="R69" s="4098" t="s">
        <v>4341</v>
      </c>
      <c r="S69" s="4099" t="s">
        <v>4342</v>
      </c>
      <c r="T69" s="2139"/>
      <c r="U69" s="2139"/>
      <c r="V69" s="2139"/>
      <c r="W69" s="2139"/>
      <c r="X69" s="2139"/>
      <c r="Y69" s="2139"/>
      <c r="Z69" s="2139"/>
      <c r="AA69" s="2139"/>
      <c r="AB69" s="2139"/>
      <c r="AC69" s="2139"/>
      <c r="AD69" s="2139"/>
    </row>
    <row r="70" spans="1:30">
      <c r="A70" s="4097">
        <v>55</v>
      </c>
      <c r="B70" s="4093">
        <v>2603</v>
      </c>
      <c r="C70" s="4098" t="s">
        <v>4343</v>
      </c>
      <c r="D70" s="4099" t="s">
        <v>4344</v>
      </c>
      <c r="E70" s="4100"/>
      <c r="F70" s="4097">
        <v>379</v>
      </c>
      <c r="G70" s="4093" t="s">
        <v>4345</v>
      </c>
      <c r="H70" s="4098" t="s">
        <v>4346</v>
      </c>
      <c r="I70" s="4099" t="s">
        <v>4347</v>
      </c>
      <c r="J70" s="4100"/>
      <c r="K70" s="4097">
        <v>703</v>
      </c>
      <c r="L70" s="4093" t="s">
        <v>4348</v>
      </c>
      <c r="M70" s="4098" t="s">
        <v>4349</v>
      </c>
      <c r="N70" s="4099" t="s">
        <v>4350</v>
      </c>
      <c r="O70" s="4100"/>
      <c r="P70" s="4097">
        <v>1027</v>
      </c>
      <c r="Q70" s="4093" t="s">
        <v>4351</v>
      </c>
      <c r="R70" s="4098" t="s">
        <v>4352</v>
      </c>
      <c r="S70" s="4099" t="s">
        <v>4353</v>
      </c>
      <c r="T70" s="2139"/>
      <c r="U70" s="2139"/>
      <c r="V70" s="2139"/>
      <c r="W70" s="2139"/>
      <c r="X70" s="2139"/>
      <c r="Y70" s="2139"/>
      <c r="Z70" s="2139"/>
      <c r="AA70" s="2139"/>
      <c r="AB70" s="2139"/>
      <c r="AC70" s="2139"/>
      <c r="AD70" s="2139"/>
    </row>
    <row r="71" spans="1:30">
      <c r="A71" s="4097">
        <v>56</v>
      </c>
      <c r="B71" s="4093">
        <v>2604</v>
      </c>
      <c r="C71" s="4098" t="s">
        <v>4354</v>
      </c>
      <c r="D71" s="4099" t="s">
        <v>4355</v>
      </c>
      <c r="E71" s="4100"/>
      <c r="F71" s="4097">
        <v>380</v>
      </c>
      <c r="G71" s="4093" t="s">
        <v>4356</v>
      </c>
      <c r="H71" s="4098" t="s">
        <v>4357</v>
      </c>
      <c r="I71" s="4099" t="s">
        <v>4358</v>
      </c>
      <c r="J71" s="4100"/>
      <c r="K71" s="4097">
        <v>704</v>
      </c>
      <c r="L71" s="4093" t="s">
        <v>4359</v>
      </c>
      <c r="M71" s="4098" t="s">
        <v>4360</v>
      </c>
      <c r="N71" s="4099" t="s">
        <v>4361</v>
      </c>
      <c r="O71" s="4100"/>
      <c r="P71" s="4097">
        <v>1028</v>
      </c>
      <c r="Q71" s="4093" t="s">
        <v>4362</v>
      </c>
      <c r="R71" s="4098" t="s">
        <v>4363</v>
      </c>
      <c r="S71" s="4099" t="s">
        <v>4364</v>
      </c>
      <c r="T71" s="2139"/>
      <c r="U71" s="2139"/>
      <c r="V71" s="2139"/>
      <c r="W71" s="2139"/>
      <c r="X71" s="2139"/>
      <c r="Y71" s="2139"/>
      <c r="Z71" s="2139"/>
      <c r="AA71" s="2139"/>
      <c r="AB71" s="2139"/>
      <c r="AC71" s="2139"/>
      <c r="AD71" s="2139"/>
    </row>
    <row r="72" spans="1:30">
      <c r="A72" s="4097">
        <v>57</v>
      </c>
      <c r="B72" s="4093" t="s">
        <v>4365</v>
      </c>
      <c r="C72" s="4098" t="s">
        <v>4366</v>
      </c>
      <c r="D72" s="4099" t="s">
        <v>4367</v>
      </c>
      <c r="E72" s="4100"/>
      <c r="F72" s="4097">
        <v>381</v>
      </c>
      <c r="G72" s="4093" t="s">
        <v>4368</v>
      </c>
      <c r="H72" s="4098" t="s">
        <v>4369</v>
      </c>
      <c r="I72" s="4099" t="s">
        <v>4370</v>
      </c>
      <c r="J72" s="4100"/>
      <c r="K72" s="4097">
        <v>705</v>
      </c>
      <c r="L72" s="4093" t="s">
        <v>4371</v>
      </c>
      <c r="M72" s="4098" t="s">
        <v>4372</v>
      </c>
      <c r="N72" s="4099" t="s">
        <v>4373</v>
      </c>
      <c r="O72" s="4100"/>
      <c r="P72" s="4097">
        <v>1029</v>
      </c>
      <c r="Q72" s="4093" t="s">
        <v>4374</v>
      </c>
      <c r="R72" s="4098" t="s">
        <v>4375</v>
      </c>
      <c r="S72" s="4099" t="s">
        <v>4376</v>
      </c>
      <c r="T72" s="2139"/>
      <c r="U72" s="2139"/>
      <c r="V72" s="2139"/>
      <c r="W72" s="2139"/>
      <c r="X72" s="2139"/>
      <c r="Y72" s="2139"/>
      <c r="Z72" s="2139"/>
      <c r="AA72" s="2139"/>
      <c r="AB72" s="2139"/>
      <c r="AC72" s="2139"/>
      <c r="AD72" s="2139"/>
    </row>
    <row r="73" spans="1:30" ht="25.5">
      <c r="A73" s="4097">
        <v>58</v>
      </c>
      <c r="B73" s="4093">
        <v>2611</v>
      </c>
      <c r="C73" s="4098" t="s">
        <v>4377</v>
      </c>
      <c r="D73" s="4099" t="s">
        <v>4378</v>
      </c>
      <c r="E73" s="4100"/>
      <c r="F73" s="4097">
        <v>382</v>
      </c>
      <c r="G73" s="4093" t="s">
        <v>4379</v>
      </c>
      <c r="H73" s="4098" t="s">
        <v>4380</v>
      </c>
      <c r="I73" s="4099" t="s">
        <v>4381</v>
      </c>
      <c r="J73" s="4100"/>
      <c r="K73" s="4097">
        <v>706</v>
      </c>
      <c r="L73" s="4093" t="s">
        <v>4382</v>
      </c>
      <c r="M73" s="4098" t="s">
        <v>4383</v>
      </c>
      <c r="N73" s="4099" t="s">
        <v>4384</v>
      </c>
      <c r="O73" s="4100"/>
      <c r="P73" s="4097">
        <v>1030</v>
      </c>
      <c r="Q73" s="4093" t="s">
        <v>4385</v>
      </c>
      <c r="R73" s="4098" t="s">
        <v>4386</v>
      </c>
      <c r="S73" s="4099" t="s">
        <v>4387</v>
      </c>
      <c r="T73" s="2139"/>
      <c r="U73" s="2139"/>
      <c r="V73" s="2139"/>
      <c r="W73" s="2139"/>
      <c r="X73" s="2139"/>
      <c r="Y73" s="2139"/>
      <c r="Z73" s="2139"/>
      <c r="AA73" s="2139"/>
      <c r="AB73" s="2139"/>
      <c r="AC73" s="2139"/>
      <c r="AD73" s="2139"/>
    </row>
    <row r="74" spans="1:30" ht="25.5">
      <c r="A74" s="4097">
        <v>59</v>
      </c>
      <c r="B74" s="4093">
        <v>2620</v>
      </c>
      <c r="C74" s="4098" t="s">
        <v>4388</v>
      </c>
      <c r="D74" s="4099" t="s">
        <v>4389</v>
      </c>
      <c r="E74" s="4100"/>
      <c r="F74" s="4097">
        <v>383</v>
      </c>
      <c r="G74" s="4093" t="s">
        <v>4390</v>
      </c>
      <c r="H74" s="4098" t="s">
        <v>4391</v>
      </c>
      <c r="I74" s="4099" t="s">
        <v>4392</v>
      </c>
      <c r="J74" s="4100"/>
      <c r="K74" s="4097">
        <v>707</v>
      </c>
      <c r="L74" s="4093" t="s">
        <v>4393</v>
      </c>
      <c r="M74" s="4098" t="s">
        <v>4394</v>
      </c>
      <c r="N74" s="4099" t="s">
        <v>4395</v>
      </c>
      <c r="O74" s="4100"/>
      <c r="P74" s="4097">
        <v>1031</v>
      </c>
      <c r="Q74" s="4093" t="s">
        <v>4396</v>
      </c>
      <c r="R74" s="4098" t="s">
        <v>4397</v>
      </c>
      <c r="T74" s="2139"/>
      <c r="U74" s="2139"/>
      <c r="V74" s="2139"/>
      <c r="W74" s="2139"/>
      <c r="X74" s="2139"/>
      <c r="Y74" s="2139"/>
      <c r="Z74" s="2139"/>
      <c r="AA74" s="2139"/>
      <c r="AB74" s="2139"/>
      <c r="AC74" s="2139"/>
      <c r="AD74" s="2139"/>
    </row>
    <row r="75" spans="1:30">
      <c r="A75" s="4097">
        <v>60</v>
      </c>
      <c r="B75" s="4093">
        <v>2622</v>
      </c>
      <c r="C75" s="4098" t="s">
        <v>4398</v>
      </c>
      <c r="D75" s="4099" t="s">
        <v>4399</v>
      </c>
      <c r="E75" s="4100"/>
      <c r="F75" s="4097">
        <v>384</v>
      </c>
      <c r="G75" s="4093" t="s">
        <v>4400</v>
      </c>
      <c r="H75" s="4098" t="s">
        <v>4401</v>
      </c>
      <c r="I75" s="4099" t="s">
        <v>4402</v>
      </c>
      <c r="J75" s="4100"/>
      <c r="K75" s="4097">
        <v>708</v>
      </c>
      <c r="L75" s="4093" t="s">
        <v>4403</v>
      </c>
      <c r="M75" s="4098" t="s">
        <v>4404</v>
      </c>
      <c r="N75" s="4099" t="s">
        <v>4405</v>
      </c>
      <c r="O75" s="4100"/>
      <c r="P75" s="4097">
        <v>1032</v>
      </c>
      <c r="Q75" s="4093" t="s">
        <v>4406</v>
      </c>
      <c r="R75" s="4098" t="s">
        <v>4407</v>
      </c>
      <c r="S75" s="4099" t="s">
        <v>4408</v>
      </c>
      <c r="T75" s="2139"/>
      <c r="U75" s="2139"/>
      <c r="V75" s="2139"/>
      <c r="W75" s="2139"/>
      <c r="X75" s="2139"/>
      <c r="Y75" s="2139"/>
      <c r="Z75" s="2139"/>
      <c r="AA75" s="2139"/>
      <c r="AB75" s="2139"/>
      <c r="AC75" s="2139"/>
      <c r="AD75" s="2139"/>
    </row>
    <row r="76" spans="1:30">
      <c r="A76" s="4097">
        <v>61</v>
      </c>
      <c r="B76" s="4093">
        <v>2623</v>
      </c>
      <c r="C76" s="4098" t="s">
        <v>4409</v>
      </c>
      <c r="D76" s="4099" t="s">
        <v>4410</v>
      </c>
      <c r="E76" s="4100"/>
      <c r="F76" s="4097">
        <v>385</v>
      </c>
      <c r="G76" s="4093" t="s">
        <v>4411</v>
      </c>
      <c r="H76" s="4098" t="s">
        <v>4412</v>
      </c>
      <c r="I76" s="4099" t="s">
        <v>4413</v>
      </c>
      <c r="J76" s="4100"/>
      <c r="K76" s="4097">
        <v>709</v>
      </c>
      <c r="L76" s="4093" t="s">
        <v>4414</v>
      </c>
      <c r="M76" s="4098" t="s">
        <v>4415</v>
      </c>
      <c r="N76" s="4099" t="s">
        <v>4416</v>
      </c>
      <c r="O76" s="4100"/>
      <c r="P76" s="4097">
        <v>1033</v>
      </c>
      <c r="Q76" s="4093" t="s">
        <v>4417</v>
      </c>
      <c r="R76" s="4098" t="s">
        <v>4418</v>
      </c>
      <c r="S76" s="4099" t="s">
        <v>4419</v>
      </c>
      <c r="T76" s="2139"/>
      <c r="U76" s="2139"/>
      <c r="V76" s="2139"/>
      <c r="W76" s="2139"/>
      <c r="X76" s="2139"/>
      <c r="Y76" s="2139"/>
      <c r="Z76" s="2139"/>
      <c r="AA76" s="2139"/>
      <c r="AB76" s="2139"/>
      <c r="AC76" s="2139"/>
      <c r="AD76" s="2139"/>
    </row>
    <row r="77" spans="1:30" ht="25.5">
      <c r="A77" s="4097">
        <v>62</v>
      </c>
      <c r="B77" s="4093">
        <v>2626</v>
      </c>
      <c r="C77" s="4098" t="s">
        <v>4420</v>
      </c>
      <c r="D77" s="4099" t="s">
        <v>4421</v>
      </c>
      <c r="E77" s="4100"/>
      <c r="F77" s="4097">
        <v>386</v>
      </c>
      <c r="G77" s="4093" t="s">
        <v>4422</v>
      </c>
      <c r="H77" s="4098" t="s">
        <v>4423</v>
      </c>
      <c r="I77" s="4099" t="s">
        <v>4424</v>
      </c>
      <c r="J77" s="4100"/>
      <c r="K77" s="4097">
        <v>710</v>
      </c>
      <c r="L77" s="4093" t="s">
        <v>4425</v>
      </c>
      <c r="M77" s="4098" t="s">
        <v>4426</v>
      </c>
      <c r="N77" s="4099" t="s">
        <v>4427</v>
      </c>
      <c r="O77" s="4100"/>
      <c r="P77" s="4097">
        <v>1034</v>
      </c>
      <c r="Q77" s="4093" t="s">
        <v>4428</v>
      </c>
      <c r="R77" s="4098" t="s">
        <v>4429</v>
      </c>
      <c r="S77" s="4099" t="s">
        <v>4430</v>
      </c>
      <c r="T77" s="2139"/>
      <c r="U77" s="2139"/>
      <c r="V77" s="2139"/>
      <c r="W77" s="2139"/>
      <c r="X77" s="2139"/>
      <c r="Y77" s="2139"/>
      <c r="Z77" s="2139"/>
      <c r="AA77" s="2139"/>
      <c r="AB77" s="2139"/>
      <c r="AC77" s="2139"/>
      <c r="AD77" s="2139"/>
    </row>
    <row r="78" spans="1:30" ht="25.5">
      <c r="A78" s="4097">
        <v>63</v>
      </c>
      <c r="B78" s="4093" t="s">
        <v>4431</v>
      </c>
      <c r="C78" s="4098" t="s">
        <v>4432</v>
      </c>
      <c r="D78" s="4099" t="s">
        <v>4433</v>
      </c>
      <c r="E78" s="4100"/>
      <c r="F78" s="4097">
        <v>387</v>
      </c>
      <c r="G78" s="4093" t="s">
        <v>4434</v>
      </c>
      <c r="H78" s="4098" t="s">
        <v>4435</v>
      </c>
      <c r="I78" s="4099" t="s">
        <v>4436</v>
      </c>
      <c r="J78" s="4100"/>
      <c r="K78" s="4097">
        <v>711</v>
      </c>
      <c r="L78" s="4093" t="s">
        <v>4437</v>
      </c>
      <c r="M78" s="4098" t="s">
        <v>4438</v>
      </c>
      <c r="N78" s="4099" t="s">
        <v>4439</v>
      </c>
      <c r="O78" s="4100"/>
      <c r="P78" s="4097">
        <v>1035</v>
      </c>
      <c r="Q78" s="4093" t="s">
        <v>4440</v>
      </c>
      <c r="R78" s="4098" t="s">
        <v>4441</v>
      </c>
      <c r="S78" s="4099" t="s">
        <v>4442</v>
      </c>
      <c r="T78" s="2139"/>
      <c r="U78" s="2139"/>
      <c r="V78" s="2139"/>
      <c r="W78" s="2139"/>
      <c r="X78" s="2139"/>
      <c r="Y78" s="2139"/>
      <c r="Z78" s="2139"/>
      <c r="AA78" s="2139"/>
      <c r="AB78" s="2139"/>
      <c r="AC78" s="2139"/>
      <c r="AD78" s="2139"/>
    </row>
    <row r="79" spans="1:30" ht="25.5">
      <c r="A79" s="4097">
        <v>64</v>
      </c>
      <c r="B79" s="4093" t="s">
        <v>4443</v>
      </c>
      <c r="C79" s="4098" t="s">
        <v>4444</v>
      </c>
      <c r="D79" s="4099" t="s">
        <v>4445</v>
      </c>
      <c r="E79" s="4100"/>
      <c r="F79" s="4097">
        <v>388</v>
      </c>
      <c r="G79" s="4093" t="s">
        <v>4446</v>
      </c>
      <c r="H79" s="4098" t="s">
        <v>4447</v>
      </c>
      <c r="I79" s="4099" t="s">
        <v>4448</v>
      </c>
      <c r="J79" s="4100"/>
      <c r="K79" s="4097">
        <v>712</v>
      </c>
      <c r="L79" s="4093" t="s">
        <v>4449</v>
      </c>
      <c r="M79" s="4098" t="s">
        <v>4450</v>
      </c>
      <c r="N79" s="4099" t="s">
        <v>4451</v>
      </c>
      <c r="O79" s="4100"/>
      <c r="P79" s="4097">
        <v>1036</v>
      </c>
      <c r="Q79" s="4093" t="s">
        <v>4452</v>
      </c>
      <c r="R79" s="4098" t="s">
        <v>4453</v>
      </c>
      <c r="S79" s="4099" t="s">
        <v>4454</v>
      </c>
      <c r="T79" s="2139"/>
      <c r="U79" s="2139"/>
      <c r="V79" s="2139"/>
      <c r="W79" s="2139"/>
      <c r="X79" s="2139"/>
      <c r="Y79" s="2139"/>
      <c r="Z79" s="2139"/>
      <c r="AA79" s="2139"/>
      <c r="AB79" s="2139"/>
      <c r="AC79" s="2139"/>
      <c r="AD79" s="2139"/>
    </row>
    <row r="80" spans="1:30" ht="25.5">
      <c r="A80" s="4097">
        <v>65</v>
      </c>
      <c r="B80" s="4093" t="s">
        <v>4455</v>
      </c>
      <c r="C80" s="4098" t="s">
        <v>4456</v>
      </c>
      <c r="D80" s="4099" t="s">
        <v>4457</v>
      </c>
      <c r="E80" s="4100"/>
      <c r="F80" s="4097">
        <v>389</v>
      </c>
      <c r="G80" s="4093" t="s">
        <v>4458</v>
      </c>
      <c r="H80" s="4098" t="s">
        <v>4459</v>
      </c>
      <c r="I80" s="4099" t="s">
        <v>4460</v>
      </c>
      <c r="J80" s="4100"/>
      <c r="K80" s="4097">
        <v>713</v>
      </c>
      <c r="L80" s="4093" t="s">
        <v>4461</v>
      </c>
      <c r="M80" s="4098" t="s">
        <v>4462</v>
      </c>
      <c r="N80" s="4099" t="s">
        <v>4463</v>
      </c>
      <c r="O80" s="4100"/>
      <c r="P80" s="4097">
        <v>1037</v>
      </c>
      <c r="Q80" s="4093" t="s">
        <v>4464</v>
      </c>
      <c r="R80" s="4098" t="s">
        <v>4465</v>
      </c>
      <c r="S80" s="4099" t="s">
        <v>4466</v>
      </c>
      <c r="T80" s="2139"/>
      <c r="U80" s="2139"/>
      <c r="V80" s="2139"/>
      <c r="W80" s="2139"/>
      <c r="X80" s="2139"/>
      <c r="Y80" s="2139"/>
      <c r="Z80" s="2139"/>
      <c r="AA80" s="2139"/>
      <c r="AB80" s="2139"/>
      <c r="AC80" s="2139"/>
      <c r="AD80" s="2139"/>
    </row>
    <row r="81" spans="1:30" ht="25.5">
      <c r="A81" s="4097">
        <v>66</v>
      </c>
      <c r="B81" s="4093">
        <v>2638</v>
      </c>
      <c r="C81" s="4098" t="s">
        <v>4467</v>
      </c>
      <c r="D81" s="4099" t="s">
        <v>4468</v>
      </c>
      <c r="E81" s="4100"/>
      <c r="F81" s="4097">
        <v>390</v>
      </c>
      <c r="G81" s="4093" t="s">
        <v>4469</v>
      </c>
      <c r="H81" s="4098" t="s">
        <v>4470</v>
      </c>
      <c r="I81" s="4099" t="s">
        <v>4471</v>
      </c>
      <c r="J81" s="4100"/>
      <c r="K81" s="4097">
        <v>714</v>
      </c>
      <c r="L81" s="4093" t="s">
        <v>4472</v>
      </c>
      <c r="M81" s="4098" t="s">
        <v>4473</v>
      </c>
      <c r="N81" s="4099" t="s">
        <v>4474</v>
      </c>
      <c r="O81" s="4100"/>
      <c r="P81" s="4097">
        <v>1038</v>
      </c>
      <c r="Q81" s="4093" t="s">
        <v>4475</v>
      </c>
      <c r="R81" s="4098" t="s">
        <v>4476</v>
      </c>
      <c r="S81" s="4099" t="s">
        <v>4477</v>
      </c>
      <c r="T81" s="2139"/>
      <c r="U81" s="2139"/>
      <c r="V81" s="2139"/>
      <c r="W81" s="2139"/>
      <c r="X81" s="2139"/>
      <c r="Y81" s="2139"/>
      <c r="Z81" s="2139"/>
      <c r="AA81" s="2139"/>
      <c r="AB81" s="2139"/>
      <c r="AC81" s="2139"/>
      <c r="AD81" s="2139"/>
    </row>
    <row r="82" spans="1:30" ht="25.5">
      <c r="A82" s="4097">
        <v>67</v>
      </c>
      <c r="B82" s="4093">
        <v>2639</v>
      </c>
      <c r="C82" s="4098" t="s">
        <v>4478</v>
      </c>
      <c r="D82" s="4099" t="s">
        <v>4479</v>
      </c>
      <c r="E82" s="4100"/>
      <c r="F82" s="4097">
        <v>391</v>
      </c>
      <c r="G82" s="4093" t="s">
        <v>4480</v>
      </c>
      <c r="H82" s="4098" t="s">
        <v>4481</v>
      </c>
      <c r="I82" s="4099" t="s">
        <v>4482</v>
      </c>
      <c r="J82" s="4100"/>
      <c r="K82" s="4097">
        <v>715</v>
      </c>
      <c r="L82" s="4093" t="s">
        <v>4483</v>
      </c>
      <c r="M82" s="4098" t="s">
        <v>4484</v>
      </c>
      <c r="N82" s="4099" t="s">
        <v>4485</v>
      </c>
      <c r="O82" s="4100"/>
      <c r="P82" s="4097">
        <v>1039</v>
      </c>
      <c r="Q82" s="4093" t="s">
        <v>4486</v>
      </c>
      <c r="R82" s="4098" t="s">
        <v>3723</v>
      </c>
      <c r="S82" s="4099" t="s">
        <v>4487</v>
      </c>
      <c r="T82" s="2139"/>
      <c r="U82" s="2139"/>
      <c r="V82" s="2139"/>
      <c r="W82" s="2139"/>
      <c r="X82" s="2139"/>
      <c r="Y82" s="2139"/>
      <c r="Z82" s="2139"/>
      <c r="AA82" s="2139"/>
      <c r="AB82" s="2139"/>
      <c r="AC82" s="2139"/>
      <c r="AD82" s="2139"/>
    </row>
    <row r="83" spans="1:30">
      <c r="A83" s="4097">
        <v>68</v>
      </c>
      <c r="B83" s="4093" t="s">
        <v>4488</v>
      </c>
      <c r="C83" s="4098" t="s">
        <v>4489</v>
      </c>
      <c r="D83" s="4099" t="s">
        <v>4490</v>
      </c>
      <c r="E83" s="4100"/>
      <c r="F83" s="4097">
        <v>392</v>
      </c>
      <c r="G83" s="4093" t="s">
        <v>4491</v>
      </c>
      <c r="H83" s="4098" t="s">
        <v>4492</v>
      </c>
      <c r="I83" s="4099" t="s">
        <v>4493</v>
      </c>
      <c r="J83" s="4100"/>
      <c r="K83" s="4097">
        <v>716</v>
      </c>
      <c r="L83" s="4093" t="s">
        <v>4494</v>
      </c>
      <c r="M83" s="4098" t="s">
        <v>4495</v>
      </c>
      <c r="N83" s="4099" t="s">
        <v>4496</v>
      </c>
      <c r="O83" s="4100"/>
      <c r="P83" s="4097">
        <v>1040</v>
      </c>
      <c r="Q83" s="4093" t="s">
        <v>4497</v>
      </c>
      <c r="R83" s="4098" t="s">
        <v>4498</v>
      </c>
      <c r="S83" s="4099" t="s">
        <v>4499</v>
      </c>
      <c r="T83" s="2139"/>
      <c r="U83" s="2139"/>
      <c r="V83" s="2139"/>
      <c r="W83" s="2139"/>
      <c r="X83" s="2139"/>
      <c r="Y83" s="2139"/>
      <c r="Z83" s="2139"/>
      <c r="AA83" s="2139"/>
      <c r="AB83" s="2139"/>
      <c r="AC83" s="2139"/>
      <c r="AD83" s="2139"/>
    </row>
    <row r="84" spans="1:30" ht="25.5">
      <c r="A84" s="4097">
        <v>69</v>
      </c>
      <c r="B84" s="4093">
        <v>2640</v>
      </c>
      <c r="C84" s="4098" t="s">
        <v>3685</v>
      </c>
      <c r="D84" s="4099" t="s">
        <v>4500</v>
      </c>
      <c r="E84" s="4100"/>
      <c r="F84" s="4097">
        <v>393</v>
      </c>
      <c r="G84" s="4093" t="s">
        <v>4501</v>
      </c>
      <c r="H84" s="4098" t="s">
        <v>4502</v>
      </c>
      <c r="I84" s="4099" t="s">
        <v>4503</v>
      </c>
      <c r="J84" s="4100"/>
      <c r="K84" s="4097">
        <v>717</v>
      </c>
      <c r="L84" s="4093" t="s">
        <v>4504</v>
      </c>
      <c r="M84" s="4098" t="s">
        <v>4505</v>
      </c>
      <c r="N84" s="4099" t="s">
        <v>3912</v>
      </c>
      <c r="O84" s="4100"/>
      <c r="P84" s="4097">
        <v>1041</v>
      </c>
      <c r="Q84" s="4093" t="s">
        <v>4506</v>
      </c>
      <c r="R84" s="4098" t="s">
        <v>4507</v>
      </c>
      <c r="S84" s="4099" t="s">
        <v>4508</v>
      </c>
      <c r="T84" s="2139"/>
      <c r="U84" s="2139"/>
      <c r="V84" s="2139"/>
      <c r="W84" s="2139"/>
      <c r="X84" s="2139"/>
      <c r="Y84" s="2139"/>
      <c r="Z84" s="2139"/>
      <c r="AA84" s="2139"/>
      <c r="AB84" s="2139"/>
      <c r="AC84" s="2139"/>
      <c r="AD84" s="2139"/>
    </row>
    <row r="85" spans="1:30" ht="25.5">
      <c r="A85" s="4097">
        <v>70</v>
      </c>
      <c r="B85" s="4093">
        <v>2642</v>
      </c>
      <c r="C85" s="4098" t="s">
        <v>3684</v>
      </c>
      <c r="D85" s="4099" t="s">
        <v>4509</v>
      </c>
      <c r="E85" s="4100"/>
      <c r="F85" s="4097">
        <v>394</v>
      </c>
      <c r="G85" s="4093" t="s">
        <v>4510</v>
      </c>
      <c r="H85" s="4098" t="s">
        <v>4511</v>
      </c>
      <c r="I85" s="4099" t="s">
        <v>4512</v>
      </c>
      <c r="J85" s="4100"/>
      <c r="K85" s="4097">
        <v>718</v>
      </c>
      <c r="L85" s="4093" t="s">
        <v>4513</v>
      </c>
      <c r="M85" s="4098" t="s">
        <v>4514</v>
      </c>
      <c r="N85" s="4099" t="s">
        <v>4515</v>
      </c>
      <c r="O85" s="4100"/>
      <c r="P85" s="4097">
        <v>1042</v>
      </c>
      <c r="Q85" s="4093" t="s">
        <v>4516</v>
      </c>
      <c r="R85" s="4098" t="s">
        <v>4517</v>
      </c>
      <c r="S85" s="4099" t="s">
        <v>4518</v>
      </c>
      <c r="T85" s="2139"/>
      <c r="U85" s="2139"/>
      <c r="V85" s="2139"/>
      <c r="W85" s="2139"/>
      <c r="X85" s="2139"/>
      <c r="Y85" s="2139"/>
      <c r="Z85" s="2139"/>
      <c r="AA85" s="2139"/>
      <c r="AB85" s="2139"/>
      <c r="AC85" s="2139"/>
      <c r="AD85" s="2139"/>
    </row>
    <row r="86" spans="1:30" ht="25.5">
      <c r="A86" s="4097">
        <v>71</v>
      </c>
      <c r="B86" s="4093">
        <v>2648</v>
      </c>
      <c r="C86" s="4098" t="s">
        <v>4519</v>
      </c>
      <c r="D86" s="4099" t="s">
        <v>4520</v>
      </c>
      <c r="E86" s="4100"/>
      <c r="F86" s="4097">
        <v>395</v>
      </c>
      <c r="G86" s="4093" t="s">
        <v>4521</v>
      </c>
      <c r="H86" s="4098" t="s">
        <v>4522</v>
      </c>
      <c r="I86" s="4099" t="s">
        <v>4523</v>
      </c>
      <c r="J86" s="4100"/>
      <c r="K86" s="4097">
        <v>719</v>
      </c>
      <c r="L86" s="4093" t="s">
        <v>4524</v>
      </c>
      <c r="M86" s="4098" t="s">
        <v>4525</v>
      </c>
      <c r="N86" s="4099" t="s">
        <v>4526</v>
      </c>
      <c r="O86" s="4100"/>
      <c r="P86" s="4097">
        <v>1043</v>
      </c>
      <c r="Q86" s="4093" t="s">
        <v>4527</v>
      </c>
      <c r="R86" s="4098" t="s">
        <v>4528</v>
      </c>
      <c r="S86" s="4099" t="s">
        <v>4529</v>
      </c>
      <c r="T86" s="2139"/>
      <c r="U86" s="2139"/>
      <c r="V86" s="2139"/>
      <c r="W86" s="2139"/>
      <c r="X86" s="2139"/>
      <c r="Y86" s="2139"/>
      <c r="Z86" s="2139"/>
      <c r="AA86" s="2139"/>
      <c r="AB86" s="2139"/>
      <c r="AC86" s="2139"/>
      <c r="AD86" s="2139"/>
    </row>
    <row r="87" spans="1:30">
      <c r="A87" s="4097">
        <v>72</v>
      </c>
      <c r="B87" s="4093">
        <v>2649</v>
      </c>
      <c r="C87" s="4098" t="s">
        <v>4530</v>
      </c>
      <c r="D87" s="4099" t="s">
        <v>4531</v>
      </c>
      <c r="E87" s="4100"/>
      <c r="F87" s="4097">
        <v>396</v>
      </c>
      <c r="G87" s="4093" t="s">
        <v>4532</v>
      </c>
      <c r="H87" s="4098" t="s">
        <v>4533</v>
      </c>
      <c r="I87" s="4099" t="s">
        <v>4534</v>
      </c>
      <c r="J87" s="4100"/>
      <c r="K87" s="4097">
        <v>720</v>
      </c>
      <c r="L87" s="4093" t="s">
        <v>4535</v>
      </c>
      <c r="M87" s="4098" t="s">
        <v>4536</v>
      </c>
      <c r="N87" s="4099" t="s">
        <v>694</v>
      </c>
      <c r="O87" s="4100"/>
      <c r="P87" s="4097">
        <v>1044</v>
      </c>
      <c r="Q87" s="4093" t="s">
        <v>4537</v>
      </c>
      <c r="R87" s="4098" t="s">
        <v>4538</v>
      </c>
      <c r="S87" s="4099" t="s">
        <v>4539</v>
      </c>
      <c r="T87" s="2139"/>
      <c r="U87" s="2139"/>
      <c r="V87" s="2139"/>
      <c r="W87" s="2139"/>
      <c r="X87" s="2139"/>
      <c r="Y87" s="2139"/>
      <c r="Z87" s="2139"/>
      <c r="AA87" s="2139"/>
      <c r="AB87" s="2139"/>
      <c r="AC87" s="2139"/>
      <c r="AD87" s="2139"/>
    </row>
    <row r="88" spans="1:30" ht="25.5">
      <c r="A88" s="4097">
        <v>73</v>
      </c>
      <c r="B88" s="4093" t="s">
        <v>4540</v>
      </c>
      <c r="C88" s="4098" t="s">
        <v>4541</v>
      </c>
      <c r="D88" s="4099" t="s">
        <v>4542</v>
      </c>
      <c r="E88" s="4100"/>
      <c r="F88" s="4097">
        <v>397</v>
      </c>
      <c r="G88" s="4093" t="s">
        <v>4543</v>
      </c>
      <c r="H88" s="4098" t="s">
        <v>4544</v>
      </c>
      <c r="I88" s="4099" t="s">
        <v>4545</v>
      </c>
      <c r="J88" s="4100"/>
      <c r="K88" s="4097">
        <v>721</v>
      </c>
      <c r="L88" s="4093" t="s">
        <v>4546</v>
      </c>
      <c r="M88" s="4098" t="s">
        <v>4547</v>
      </c>
      <c r="N88" s="4099" t="s">
        <v>4548</v>
      </c>
      <c r="O88" s="4100"/>
      <c r="P88" s="4097">
        <v>1045</v>
      </c>
      <c r="Q88" s="4093" t="s">
        <v>4549</v>
      </c>
      <c r="R88" s="4098" t="s">
        <v>4550</v>
      </c>
      <c r="S88" s="4099" t="s">
        <v>4551</v>
      </c>
      <c r="T88" s="2139"/>
      <c r="U88" s="2139"/>
      <c r="V88" s="2139"/>
      <c r="W88" s="2139"/>
      <c r="X88" s="2139"/>
      <c r="Y88" s="2139"/>
      <c r="Z88" s="2139"/>
      <c r="AA88" s="2139"/>
      <c r="AB88" s="2139"/>
      <c r="AC88" s="2139"/>
      <c r="AD88" s="2139"/>
    </row>
    <row r="89" spans="1:30">
      <c r="A89" s="4097">
        <v>74</v>
      </c>
      <c r="B89" s="4093" t="s">
        <v>4552</v>
      </c>
      <c r="C89" s="4098" t="s">
        <v>4553</v>
      </c>
      <c r="D89" s="4099" t="s">
        <v>4554</v>
      </c>
      <c r="E89" s="4100"/>
      <c r="F89" s="4097">
        <v>398</v>
      </c>
      <c r="G89" s="4093" t="s">
        <v>4555</v>
      </c>
      <c r="H89" s="4098" t="s">
        <v>4556</v>
      </c>
      <c r="I89" s="4099" t="s">
        <v>4557</v>
      </c>
      <c r="J89" s="4100"/>
      <c r="K89" s="4097">
        <v>722</v>
      </c>
      <c r="L89" s="4093" t="s">
        <v>4558</v>
      </c>
      <c r="M89" s="4098" t="s">
        <v>4559</v>
      </c>
      <c r="N89" s="4099" t="s">
        <v>4560</v>
      </c>
      <c r="O89" s="4100"/>
      <c r="P89" s="4097">
        <v>1046</v>
      </c>
      <c r="Q89" s="4093" t="s">
        <v>4561</v>
      </c>
      <c r="R89" s="4098" t="s">
        <v>4562</v>
      </c>
      <c r="S89" s="4099" t="s">
        <v>4563</v>
      </c>
      <c r="T89" s="2139"/>
      <c r="U89" s="2139"/>
      <c r="V89" s="2139"/>
      <c r="W89" s="2139"/>
      <c r="X89" s="2139"/>
      <c r="Y89" s="2139"/>
      <c r="Z89" s="2139"/>
      <c r="AA89" s="2139"/>
      <c r="AB89" s="2139"/>
      <c r="AC89" s="2139"/>
      <c r="AD89" s="2139"/>
    </row>
    <row r="90" spans="1:30" ht="25.5">
      <c r="A90" s="4097">
        <v>75</v>
      </c>
      <c r="B90" s="4093" t="s">
        <v>4564</v>
      </c>
      <c r="C90" s="4098" t="s">
        <v>4565</v>
      </c>
      <c r="D90" s="4099" t="s">
        <v>4566</v>
      </c>
      <c r="E90" s="4100"/>
      <c r="F90" s="4097">
        <v>399</v>
      </c>
      <c r="G90" s="4093" t="s">
        <v>4567</v>
      </c>
      <c r="H90" s="4098" t="s">
        <v>4568</v>
      </c>
      <c r="I90" s="4099" t="s">
        <v>4569</v>
      </c>
      <c r="J90" s="4100"/>
      <c r="K90" s="4097">
        <v>723</v>
      </c>
      <c r="L90" s="4093" t="s">
        <v>4570</v>
      </c>
      <c r="M90" s="4098" t="s">
        <v>4571</v>
      </c>
      <c r="N90" s="4099" t="s">
        <v>4572</v>
      </c>
      <c r="O90" s="4100"/>
      <c r="P90" s="4097">
        <v>1047</v>
      </c>
      <c r="Q90" s="4093" t="s">
        <v>4573</v>
      </c>
      <c r="R90" s="4098" t="s">
        <v>4574</v>
      </c>
      <c r="S90" s="4099" t="s">
        <v>4575</v>
      </c>
      <c r="T90" s="2139"/>
      <c r="U90" s="2139"/>
      <c r="V90" s="2139"/>
      <c r="W90" s="2139"/>
      <c r="X90" s="2139"/>
      <c r="Y90" s="2139"/>
      <c r="Z90" s="2139"/>
      <c r="AA90" s="2139"/>
      <c r="AB90" s="2139"/>
      <c r="AC90" s="2139"/>
      <c r="AD90" s="2139"/>
    </row>
    <row r="91" spans="1:30">
      <c r="A91" s="4097">
        <v>76</v>
      </c>
      <c r="B91" s="4093" t="s">
        <v>4576</v>
      </c>
      <c r="C91" s="4098" t="s">
        <v>4577</v>
      </c>
      <c r="D91" s="4099" t="s">
        <v>4578</v>
      </c>
      <c r="E91" s="4100"/>
      <c r="F91" s="4097">
        <v>400</v>
      </c>
      <c r="G91" s="4093" t="s">
        <v>4579</v>
      </c>
      <c r="H91" s="4098" t="s">
        <v>4580</v>
      </c>
      <c r="I91" s="4099" t="s">
        <v>4581</v>
      </c>
      <c r="J91" s="4100"/>
      <c r="K91" s="4097">
        <v>724</v>
      </c>
      <c r="L91" s="4093" t="s">
        <v>4582</v>
      </c>
      <c r="M91" s="4098" t="s">
        <v>4583</v>
      </c>
      <c r="N91" s="4099" t="s">
        <v>4584</v>
      </c>
      <c r="O91" s="4100"/>
      <c r="P91" s="4097">
        <v>1048</v>
      </c>
      <c r="Q91" s="4093" t="s">
        <v>4585</v>
      </c>
      <c r="R91" s="4098" t="s">
        <v>4586</v>
      </c>
      <c r="S91" s="4099" t="s">
        <v>4587</v>
      </c>
      <c r="T91" s="2139"/>
      <c r="U91" s="2139"/>
      <c r="V91" s="2139"/>
      <c r="W91" s="2139"/>
      <c r="X91" s="2139"/>
      <c r="Y91" s="2139"/>
      <c r="Z91" s="2139"/>
      <c r="AA91" s="2139"/>
      <c r="AB91" s="2139"/>
      <c r="AC91" s="2139"/>
      <c r="AD91" s="2139"/>
    </row>
    <row r="92" spans="1:30">
      <c r="A92" s="4097">
        <v>77</v>
      </c>
      <c r="B92" s="4093" t="s">
        <v>4588</v>
      </c>
      <c r="C92" s="4098" t="s">
        <v>4589</v>
      </c>
      <c r="D92" s="4099" t="s">
        <v>1942</v>
      </c>
      <c r="E92" s="4100"/>
      <c r="F92" s="4097">
        <v>401</v>
      </c>
      <c r="G92" s="4093" t="s">
        <v>4590</v>
      </c>
      <c r="H92" s="4098" t="s">
        <v>4591</v>
      </c>
      <c r="I92" s="4099" t="s">
        <v>4592</v>
      </c>
      <c r="J92" s="4100"/>
      <c r="K92" s="4097">
        <v>725</v>
      </c>
      <c r="L92" s="4093" t="s">
        <v>4593</v>
      </c>
      <c r="M92" s="4098" t="s">
        <v>4594</v>
      </c>
      <c r="N92" s="4099" t="s">
        <v>4595</v>
      </c>
      <c r="O92" s="4100"/>
      <c r="P92" s="4097">
        <v>1049</v>
      </c>
      <c r="Q92" s="4093" t="s">
        <v>4596</v>
      </c>
      <c r="R92" s="4098" t="s">
        <v>4597</v>
      </c>
      <c r="S92" s="4099" t="s">
        <v>4598</v>
      </c>
      <c r="T92" s="2139"/>
      <c r="U92" s="2139"/>
      <c r="V92" s="2139"/>
      <c r="W92" s="2139"/>
      <c r="X92" s="2139"/>
      <c r="Y92" s="2139"/>
      <c r="Z92" s="2139"/>
      <c r="AA92" s="2139"/>
      <c r="AB92" s="2139"/>
      <c r="AC92" s="2139"/>
      <c r="AD92" s="2139"/>
    </row>
    <row r="93" spans="1:30">
      <c r="A93" s="4097">
        <v>78</v>
      </c>
      <c r="B93" s="4093" t="s">
        <v>4599</v>
      </c>
      <c r="C93" s="4098" t="s">
        <v>4600</v>
      </c>
      <c r="D93" s="4099" t="s">
        <v>4601</v>
      </c>
      <c r="E93" s="4100"/>
      <c r="F93" s="4097">
        <v>402</v>
      </c>
      <c r="G93" s="4093" t="s">
        <v>4602</v>
      </c>
      <c r="H93" s="4098" t="s">
        <v>4603</v>
      </c>
      <c r="I93" s="4099" t="s">
        <v>4604</v>
      </c>
      <c r="J93" s="4100"/>
      <c r="K93" s="4097">
        <v>726</v>
      </c>
      <c r="L93" s="4093" t="s">
        <v>4605</v>
      </c>
      <c r="M93" s="4098" t="s">
        <v>4606</v>
      </c>
      <c r="N93" s="4099" t="s">
        <v>4607</v>
      </c>
      <c r="O93" s="4100"/>
      <c r="P93" s="4097">
        <v>1050</v>
      </c>
      <c r="Q93" s="4093" t="s">
        <v>4608</v>
      </c>
      <c r="R93" s="4098" t="s">
        <v>4609</v>
      </c>
      <c r="S93" s="4099" t="s">
        <v>4610</v>
      </c>
      <c r="T93" s="2139"/>
      <c r="U93" s="2139"/>
      <c r="V93" s="2139"/>
      <c r="W93" s="2139"/>
      <c r="X93" s="2139"/>
      <c r="Y93" s="2139"/>
      <c r="Z93" s="2139"/>
      <c r="AA93" s="2139"/>
      <c r="AB93" s="2139"/>
      <c r="AC93" s="2139"/>
      <c r="AD93" s="2139"/>
    </row>
    <row r="94" spans="1:30" ht="25.5">
      <c r="A94" s="4097">
        <v>79</v>
      </c>
      <c r="B94" s="4093">
        <v>2650</v>
      </c>
      <c r="C94" s="4098" t="s">
        <v>4611</v>
      </c>
      <c r="D94" s="4099" t="s">
        <v>4612</v>
      </c>
      <c r="E94" s="4100"/>
      <c r="F94" s="4097">
        <v>403</v>
      </c>
      <c r="G94" s="4093" t="s">
        <v>4613</v>
      </c>
      <c r="H94" s="4098" t="s">
        <v>4614</v>
      </c>
      <c r="I94" s="4099" t="s">
        <v>4615</v>
      </c>
      <c r="J94" s="4100"/>
      <c r="K94" s="4097">
        <v>727</v>
      </c>
      <c r="L94" s="4093" t="s">
        <v>4616</v>
      </c>
      <c r="M94" s="4098" t="s">
        <v>4617</v>
      </c>
      <c r="N94" s="4099" t="s">
        <v>4618</v>
      </c>
      <c r="O94" s="4100"/>
      <c r="P94" s="4097">
        <v>1051</v>
      </c>
      <c r="Q94" s="4093" t="s">
        <v>4619</v>
      </c>
      <c r="R94" s="4098" t="s">
        <v>4620</v>
      </c>
      <c r="S94" s="4099" t="s">
        <v>4621</v>
      </c>
      <c r="T94" s="2139"/>
      <c r="U94" s="2139"/>
      <c r="V94" s="2139"/>
      <c r="W94" s="2139"/>
      <c r="X94" s="2139"/>
      <c r="Y94" s="2139"/>
      <c r="Z94" s="2139"/>
      <c r="AA94" s="2139"/>
      <c r="AB94" s="2139"/>
      <c r="AC94" s="2139"/>
      <c r="AD94" s="2139"/>
    </row>
    <row r="95" spans="1:30" ht="25.5">
      <c r="A95" s="4097">
        <v>80</v>
      </c>
      <c r="B95" s="4093">
        <v>2651</v>
      </c>
      <c r="C95" s="4098" t="s">
        <v>4622</v>
      </c>
      <c r="D95" s="4099" t="s">
        <v>4623</v>
      </c>
      <c r="E95" s="4100"/>
      <c r="F95" s="4097">
        <v>404</v>
      </c>
      <c r="G95" s="4093" t="s">
        <v>4624</v>
      </c>
      <c r="H95" s="4098" t="s">
        <v>4625</v>
      </c>
      <c r="I95" s="4099" t="s">
        <v>4626</v>
      </c>
      <c r="J95" s="4100"/>
      <c r="K95" s="4097">
        <v>728</v>
      </c>
      <c r="L95" s="4093" t="s">
        <v>4627</v>
      </c>
      <c r="M95" s="4098" t="s">
        <v>4628</v>
      </c>
      <c r="N95" s="4099" t="s">
        <v>4629</v>
      </c>
      <c r="O95" s="4100"/>
      <c r="P95" s="4097">
        <v>1052</v>
      </c>
      <c r="Q95" s="4093" t="s">
        <v>4630</v>
      </c>
      <c r="R95" s="4098" t="s">
        <v>4631</v>
      </c>
      <c r="S95" s="4099" t="s">
        <v>4632</v>
      </c>
      <c r="T95" s="2139"/>
      <c r="U95" s="2139"/>
      <c r="V95" s="2139"/>
      <c r="W95" s="2139"/>
      <c r="X95" s="2139"/>
      <c r="Y95" s="2139"/>
      <c r="Z95" s="2139"/>
      <c r="AA95" s="2139"/>
      <c r="AB95" s="2139"/>
      <c r="AC95" s="2139"/>
      <c r="AD95" s="2139"/>
    </row>
    <row r="96" spans="1:30" ht="25.5">
      <c r="A96" s="4097">
        <v>81</v>
      </c>
      <c r="B96" s="4093">
        <v>2652</v>
      </c>
      <c r="C96" s="4098" t="s">
        <v>4633</v>
      </c>
      <c r="D96" s="4099" t="s">
        <v>4634</v>
      </c>
      <c r="E96" s="4100"/>
      <c r="F96" s="4097">
        <v>405</v>
      </c>
      <c r="G96" s="4093" t="s">
        <v>4635</v>
      </c>
      <c r="H96" s="4098" t="s">
        <v>4636</v>
      </c>
      <c r="I96" s="4099" t="s">
        <v>4637</v>
      </c>
      <c r="J96" s="4100"/>
      <c r="K96" s="4097">
        <v>729</v>
      </c>
      <c r="L96" s="4093" t="s">
        <v>4638</v>
      </c>
      <c r="M96" s="4098" t="s">
        <v>4639</v>
      </c>
      <c r="N96" s="4099" t="s">
        <v>4640</v>
      </c>
      <c r="O96" s="4100"/>
      <c r="P96" s="4097">
        <v>1053</v>
      </c>
      <c r="Q96" s="4093" t="s">
        <v>4641</v>
      </c>
      <c r="R96" s="4098" t="s">
        <v>4642</v>
      </c>
      <c r="S96" s="4099" t="s">
        <v>4643</v>
      </c>
      <c r="T96" s="2139"/>
      <c r="U96" s="2139"/>
      <c r="V96" s="2139"/>
      <c r="W96" s="2139"/>
      <c r="X96" s="2139"/>
      <c r="Y96" s="2139"/>
      <c r="Z96" s="2139"/>
      <c r="AA96" s="2139"/>
      <c r="AB96" s="2139"/>
      <c r="AC96" s="2139"/>
      <c r="AD96" s="2139"/>
    </row>
    <row r="97" spans="1:30" ht="25.5">
      <c r="A97" s="4097">
        <v>82</v>
      </c>
      <c r="B97" s="4093">
        <v>2653</v>
      </c>
      <c r="C97" s="4098" t="s">
        <v>4644</v>
      </c>
      <c r="D97" s="4099" t="s">
        <v>4645</v>
      </c>
      <c r="E97" s="4100"/>
      <c r="F97" s="4097">
        <v>406</v>
      </c>
      <c r="G97" s="4093" t="s">
        <v>4646</v>
      </c>
      <c r="H97" s="4098" t="s">
        <v>4647</v>
      </c>
      <c r="I97" s="4099" t="s">
        <v>4648</v>
      </c>
      <c r="J97" s="4100"/>
      <c r="K97" s="4097">
        <v>730</v>
      </c>
      <c r="L97" s="4093" t="s">
        <v>4649</v>
      </c>
      <c r="M97" s="4098" t="s">
        <v>4650</v>
      </c>
      <c r="N97" s="4099" t="s">
        <v>4651</v>
      </c>
      <c r="O97" s="4100"/>
      <c r="P97" s="4097">
        <v>1054</v>
      </c>
      <c r="Q97" s="4093" t="s">
        <v>4652</v>
      </c>
      <c r="R97" s="4098" t="s">
        <v>3717</v>
      </c>
      <c r="S97" s="4099" t="s">
        <v>4653</v>
      </c>
      <c r="T97" s="2139"/>
      <c r="U97" s="2139"/>
      <c r="V97" s="2139"/>
      <c r="W97" s="2139"/>
      <c r="X97" s="2139"/>
      <c r="Y97" s="2139"/>
      <c r="Z97" s="2139"/>
      <c r="AA97" s="2139"/>
      <c r="AB97" s="2139"/>
      <c r="AC97" s="2139"/>
      <c r="AD97" s="2139"/>
    </row>
    <row r="98" spans="1:30" ht="25.5">
      <c r="A98" s="4097">
        <v>83</v>
      </c>
      <c r="B98" s="4093" t="s">
        <v>4654</v>
      </c>
      <c r="C98" s="4098" t="s">
        <v>4655</v>
      </c>
      <c r="D98" s="4099" t="s">
        <v>4656</v>
      </c>
      <c r="E98" s="4100"/>
      <c r="F98" s="4097">
        <v>407</v>
      </c>
      <c r="G98" s="4093" t="s">
        <v>4657</v>
      </c>
      <c r="H98" s="4098" t="s">
        <v>4658</v>
      </c>
      <c r="I98" s="4099" t="s">
        <v>4659</v>
      </c>
      <c r="J98" s="4100"/>
      <c r="K98" s="4097">
        <v>731</v>
      </c>
      <c r="L98" s="4093" t="s">
        <v>4660</v>
      </c>
      <c r="M98" s="4098" t="s">
        <v>4661</v>
      </c>
      <c r="N98" s="4099" t="s">
        <v>4662</v>
      </c>
      <c r="O98" s="4100"/>
      <c r="P98" s="4097">
        <v>1055</v>
      </c>
      <c r="Q98" s="4093" t="s">
        <v>4663</v>
      </c>
      <c r="R98" s="4098" t="s">
        <v>4664</v>
      </c>
      <c r="S98" s="4099" t="s">
        <v>4665</v>
      </c>
      <c r="T98" s="2139"/>
      <c r="U98" s="2139"/>
      <c r="V98" s="2139"/>
      <c r="W98" s="2139"/>
      <c r="X98" s="2139"/>
      <c r="Y98" s="2139"/>
      <c r="Z98" s="2139"/>
      <c r="AA98" s="2139"/>
      <c r="AB98" s="2139"/>
      <c r="AC98" s="2139"/>
      <c r="AD98" s="2139"/>
    </row>
    <row r="99" spans="1:30">
      <c r="A99" s="4097">
        <v>84</v>
      </c>
      <c r="B99" s="4093">
        <v>2660</v>
      </c>
      <c r="C99" s="4098" t="s">
        <v>3688</v>
      </c>
      <c r="D99" s="4099" t="s">
        <v>4666</v>
      </c>
      <c r="E99" s="4100"/>
      <c r="F99" s="4097">
        <v>408</v>
      </c>
      <c r="G99" s="4093" t="s">
        <v>4667</v>
      </c>
      <c r="H99" s="4098" t="s">
        <v>4668</v>
      </c>
      <c r="I99" s="4099" t="s">
        <v>4669</v>
      </c>
      <c r="J99" s="4100"/>
      <c r="K99" s="4097">
        <v>732</v>
      </c>
      <c r="L99" s="4093" t="s">
        <v>4670</v>
      </c>
      <c r="M99" s="4098" t="s">
        <v>4671</v>
      </c>
      <c r="N99" s="4099" t="s">
        <v>4672</v>
      </c>
      <c r="O99" s="4100"/>
      <c r="P99" s="4097">
        <v>1056</v>
      </c>
      <c r="Q99" s="4093" t="s">
        <v>4673</v>
      </c>
      <c r="R99" s="4098" t="s">
        <v>4674</v>
      </c>
      <c r="S99" s="4099" t="s">
        <v>4675</v>
      </c>
      <c r="T99" s="2139"/>
      <c r="U99" s="2139"/>
      <c r="V99" s="2139"/>
      <c r="W99" s="2139"/>
      <c r="X99" s="2139"/>
      <c r="Y99" s="2139"/>
      <c r="Z99" s="2139"/>
      <c r="AA99" s="2139"/>
      <c r="AB99" s="2139"/>
      <c r="AC99" s="2139"/>
      <c r="AD99" s="2139"/>
    </row>
    <row r="100" spans="1:30" ht="25.5">
      <c r="A100" s="4097">
        <v>85</v>
      </c>
      <c r="B100" s="4093">
        <v>2663</v>
      </c>
      <c r="C100" s="4098" t="s">
        <v>4676</v>
      </c>
      <c r="D100" s="4099" t="s">
        <v>4677</v>
      </c>
      <c r="E100" s="4100"/>
      <c r="F100" s="4097">
        <v>409</v>
      </c>
      <c r="G100" s="4093" t="s">
        <v>4678</v>
      </c>
      <c r="H100" s="4098" t="s">
        <v>4679</v>
      </c>
      <c r="I100" s="4099" t="s">
        <v>4680</v>
      </c>
      <c r="J100" s="4100"/>
      <c r="K100" s="4097">
        <v>733</v>
      </c>
      <c r="L100" s="4093" t="s">
        <v>4681</v>
      </c>
      <c r="M100" s="4098" t="s">
        <v>4682</v>
      </c>
      <c r="N100" s="4099" t="s">
        <v>4683</v>
      </c>
      <c r="O100" s="4100"/>
      <c r="P100" s="4097">
        <v>1057</v>
      </c>
      <c r="Q100" s="4093" t="s">
        <v>4684</v>
      </c>
      <c r="R100" s="4098" t="s">
        <v>4685</v>
      </c>
      <c r="S100" s="4099" t="s">
        <v>4686</v>
      </c>
      <c r="T100" s="2139"/>
      <c r="U100" s="2139"/>
      <c r="V100" s="2139"/>
      <c r="W100" s="2139"/>
      <c r="X100" s="2139"/>
      <c r="Y100" s="2139"/>
      <c r="Z100" s="2139"/>
      <c r="AA100" s="2139"/>
      <c r="AB100" s="2139"/>
      <c r="AC100" s="2139"/>
      <c r="AD100" s="2139"/>
    </row>
    <row r="101" spans="1:30" ht="25.5">
      <c r="A101" s="4097">
        <v>86</v>
      </c>
      <c r="B101" s="4093">
        <v>2665</v>
      </c>
      <c r="C101" s="4098" t="s">
        <v>4687</v>
      </c>
      <c r="D101" s="4099" t="s">
        <v>4688</v>
      </c>
      <c r="E101" s="4100"/>
      <c r="F101" s="4097">
        <v>410</v>
      </c>
      <c r="G101" s="4093" t="s">
        <v>4689</v>
      </c>
      <c r="H101" s="4098" t="s">
        <v>4690</v>
      </c>
      <c r="I101" s="4099" t="s">
        <v>4691</v>
      </c>
      <c r="J101" s="4100"/>
      <c r="K101" s="4097">
        <v>734</v>
      </c>
      <c r="L101" s="4093" t="s">
        <v>4692</v>
      </c>
      <c r="M101" s="4098" t="s">
        <v>4693</v>
      </c>
      <c r="N101" s="4099" t="s">
        <v>4694</v>
      </c>
      <c r="O101" s="4100"/>
      <c r="P101" s="4097">
        <v>1058</v>
      </c>
      <c r="Q101" s="4093" t="s">
        <v>4695</v>
      </c>
      <c r="R101" s="4098" t="s">
        <v>4696</v>
      </c>
      <c r="S101" s="4099" t="s">
        <v>4697</v>
      </c>
      <c r="T101" s="2139"/>
      <c r="U101" s="2139"/>
      <c r="V101" s="2139"/>
      <c r="W101" s="2139"/>
      <c r="X101" s="2139"/>
      <c r="Y101" s="2139"/>
      <c r="Z101" s="2139"/>
      <c r="AA101" s="2139"/>
      <c r="AB101" s="2139"/>
      <c r="AC101" s="2139"/>
      <c r="AD101" s="2139"/>
    </row>
    <row r="102" spans="1:30" ht="25.5">
      <c r="A102" s="4097">
        <v>87</v>
      </c>
      <c r="B102" s="4093">
        <v>2666</v>
      </c>
      <c r="C102" s="4098" t="s">
        <v>4698</v>
      </c>
      <c r="D102" s="4099" t="s">
        <v>4699</v>
      </c>
      <c r="E102" s="4100"/>
      <c r="F102" s="4097">
        <v>411</v>
      </c>
      <c r="G102" s="4093" t="s">
        <v>4700</v>
      </c>
      <c r="H102" s="4098" t="s">
        <v>4701</v>
      </c>
      <c r="I102" s="4099" t="s">
        <v>4702</v>
      </c>
      <c r="J102" s="4100"/>
      <c r="K102" s="4097">
        <v>735</v>
      </c>
      <c r="L102" s="4093" t="s">
        <v>4703</v>
      </c>
      <c r="M102" s="4098" t="s">
        <v>4704</v>
      </c>
      <c r="N102" s="4099" t="s">
        <v>4705</v>
      </c>
      <c r="O102" s="4100"/>
      <c r="P102" s="4097">
        <v>1059</v>
      </c>
      <c r="Q102" s="4093" t="s">
        <v>4706</v>
      </c>
      <c r="R102" s="4098" t="s">
        <v>4707</v>
      </c>
      <c r="S102" s="4099" t="s">
        <v>4708</v>
      </c>
      <c r="T102" s="2139"/>
      <c r="U102" s="2139"/>
      <c r="V102" s="2139"/>
      <c r="W102" s="2139"/>
      <c r="X102" s="2139"/>
      <c r="Y102" s="2139"/>
      <c r="Z102" s="2139"/>
      <c r="AA102" s="2139"/>
      <c r="AB102" s="2139"/>
      <c r="AC102" s="2139"/>
      <c r="AD102" s="2139"/>
    </row>
    <row r="103" spans="1:30" ht="25.5">
      <c r="A103" s="4097">
        <v>88</v>
      </c>
      <c r="B103" s="4093">
        <v>2668</v>
      </c>
      <c r="C103" s="4098" t="s">
        <v>4709</v>
      </c>
      <c r="D103" s="4099" t="s">
        <v>4710</v>
      </c>
      <c r="E103" s="4100"/>
      <c r="F103" s="4097">
        <v>412</v>
      </c>
      <c r="G103" s="4093" t="s">
        <v>4711</v>
      </c>
      <c r="H103" s="4098" t="s">
        <v>4712</v>
      </c>
      <c r="I103" s="4099" t="s">
        <v>4713</v>
      </c>
      <c r="J103" s="4100"/>
      <c r="K103" s="4097">
        <v>736</v>
      </c>
      <c r="L103" s="4093" t="s">
        <v>4714</v>
      </c>
      <c r="M103" s="4098" t="s">
        <v>4715</v>
      </c>
      <c r="N103" s="4099" t="s">
        <v>4474</v>
      </c>
      <c r="O103" s="4100"/>
      <c r="P103" s="4097">
        <v>1060</v>
      </c>
      <c r="Q103" s="4093" t="s">
        <v>4716</v>
      </c>
      <c r="R103" s="4098" t="s">
        <v>4717</v>
      </c>
      <c r="S103" s="4099" t="s">
        <v>4718</v>
      </c>
      <c r="T103" s="2139"/>
      <c r="U103" s="2139"/>
      <c r="V103" s="2139"/>
      <c r="W103" s="2139"/>
      <c r="X103" s="2139"/>
      <c r="Y103" s="2139"/>
      <c r="Z103" s="2139"/>
      <c r="AA103" s="2139"/>
      <c r="AB103" s="2139"/>
      <c r="AC103" s="2139"/>
      <c r="AD103" s="2139"/>
    </row>
    <row r="104" spans="1:30">
      <c r="A104" s="4097">
        <v>89</v>
      </c>
      <c r="B104" s="4093">
        <v>2702</v>
      </c>
      <c r="C104" s="4098" t="s">
        <v>4719</v>
      </c>
      <c r="D104" s="4099" t="s">
        <v>4720</v>
      </c>
      <c r="E104" s="4100"/>
      <c r="F104" s="4097">
        <v>413</v>
      </c>
      <c r="G104" s="4093" t="s">
        <v>4721</v>
      </c>
      <c r="H104" s="4098" t="s">
        <v>4722</v>
      </c>
      <c r="I104" s="4099" t="s">
        <v>4723</v>
      </c>
      <c r="J104" s="4100"/>
      <c r="K104" s="4097">
        <v>737</v>
      </c>
      <c r="L104" s="4093" t="s">
        <v>4724</v>
      </c>
      <c r="M104" s="4098" t="s">
        <v>4725</v>
      </c>
      <c r="N104" s="4099" t="s">
        <v>4726</v>
      </c>
      <c r="O104" s="4100"/>
      <c r="P104" s="4097">
        <v>1061</v>
      </c>
      <c r="Q104" s="4093" t="s">
        <v>4727</v>
      </c>
      <c r="R104" s="4098" t="s">
        <v>4728</v>
      </c>
      <c r="S104" s="4099" t="s">
        <v>4729</v>
      </c>
      <c r="T104" s="2139"/>
      <c r="U104" s="2139"/>
      <c r="V104" s="2139"/>
      <c r="W104" s="2139"/>
      <c r="X104" s="2139"/>
      <c r="Y104" s="2139"/>
      <c r="Z104" s="2139"/>
      <c r="AA104" s="2139"/>
      <c r="AB104" s="2139"/>
      <c r="AC104" s="2139"/>
      <c r="AD104" s="2139"/>
    </row>
    <row r="105" spans="1:30">
      <c r="A105" s="4097">
        <v>90</v>
      </c>
      <c r="B105" s="4093">
        <v>2708</v>
      </c>
      <c r="C105" s="4098" t="s">
        <v>4730</v>
      </c>
      <c r="D105" s="4099" t="s">
        <v>4731</v>
      </c>
      <c r="E105" s="4100"/>
      <c r="F105" s="4097">
        <v>414</v>
      </c>
      <c r="G105" s="4093" t="s">
        <v>4732</v>
      </c>
      <c r="H105" s="4098" t="s">
        <v>4733</v>
      </c>
      <c r="I105" s="4099" t="s">
        <v>4734</v>
      </c>
      <c r="J105" s="4100"/>
      <c r="K105" s="4097">
        <v>738</v>
      </c>
      <c r="L105" s="4093" t="s">
        <v>4735</v>
      </c>
      <c r="M105" s="4098" t="s">
        <v>4736</v>
      </c>
      <c r="N105" s="4099" t="s">
        <v>4737</v>
      </c>
      <c r="O105" s="4100"/>
      <c r="P105" s="4097">
        <v>1062</v>
      </c>
      <c r="Q105" s="4093" t="s">
        <v>4738</v>
      </c>
      <c r="R105" s="4098" t="s">
        <v>4739</v>
      </c>
      <c r="S105" s="4099" t="s">
        <v>4740</v>
      </c>
      <c r="T105" s="2139"/>
      <c r="U105" s="2139"/>
      <c r="V105" s="2139"/>
      <c r="W105" s="2139"/>
      <c r="X105" s="2139"/>
      <c r="Y105" s="2139"/>
      <c r="Z105" s="2139"/>
      <c r="AA105" s="2139"/>
      <c r="AB105" s="2139"/>
      <c r="AC105" s="2139"/>
      <c r="AD105" s="2139"/>
    </row>
    <row r="106" spans="1:30">
      <c r="A106" s="4097">
        <v>91</v>
      </c>
      <c r="B106" s="4093">
        <v>2709</v>
      </c>
      <c r="C106" s="4098" t="s">
        <v>4741</v>
      </c>
      <c r="D106" s="4099" t="s">
        <v>4742</v>
      </c>
      <c r="E106" s="4100"/>
      <c r="F106" s="4097">
        <v>415</v>
      </c>
      <c r="G106" s="4093" t="s">
        <v>4743</v>
      </c>
      <c r="H106" s="4098" t="s">
        <v>4744</v>
      </c>
      <c r="I106" s="4099" t="s">
        <v>4745</v>
      </c>
      <c r="J106" s="4100"/>
      <c r="K106" s="4097">
        <v>739</v>
      </c>
      <c r="L106" s="4093" t="s">
        <v>4746</v>
      </c>
      <c r="M106" s="4098" t="s">
        <v>4747</v>
      </c>
      <c r="N106" s="4099" t="s">
        <v>4748</v>
      </c>
      <c r="O106" s="4100"/>
      <c r="P106" s="4097">
        <v>1063</v>
      </c>
      <c r="Q106" s="4093" t="s">
        <v>4749</v>
      </c>
      <c r="R106" s="4098" t="s">
        <v>4750</v>
      </c>
      <c r="S106" s="4099" t="s">
        <v>4751</v>
      </c>
      <c r="T106" s="2139"/>
      <c r="U106" s="2139"/>
      <c r="V106" s="2139"/>
      <c r="W106" s="2139"/>
      <c r="X106" s="2139"/>
      <c r="Y106" s="2139"/>
      <c r="Z106" s="2139"/>
      <c r="AA106" s="2139"/>
      <c r="AB106" s="2139"/>
      <c r="AC106" s="2139"/>
      <c r="AD106" s="2139"/>
    </row>
    <row r="107" spans="1:30" ht="38.25">
      <c r="A107" s="4097">
        <v>92</v>
      </c>
      <c r="B107" s="4093" t="s">
        <v>4752</v>
      </c>
      <c r="C107" s="4098" t="s">
        <v>4753</v>
      </c>
      <c r="D107" s="4099" t="s">
        <v>4754</v>
      </c>
      <c r="E107" s="4100"/>
      <c r="F107" s="4097">
        <v>416</v>
      </c>
      <c r="G107" s="4093" t="s">
        <v>4755</v>
      </c>
      <c r="H107" s="4098" t="s">
        <v>4756</v>
      </c>
      <c r="I107" s="4099" t="s">
        <v>4757</v>
      </c>
      <c r="J107" s="4100"/>
      <c r="K107" s="4097">
        <v>740</v>
      </c>
      <c r="L107" s="4093" t="s">
        <v>4758</v>
      </c>
      <c r="M107" s="4098" t="s">
        <v>4759</v>
      </c>
      <c r="N107" s="4099" t="s">
        <v>4760</v>
      </c>
      <c r="O107" s="4100"/>
      <c r="P107" s="4097">
        <v>1064</v>
      </c>
      <c r="Q107" s="4093" t="s">
        <v>4761</v>
      </c>
      <c r="R107" s="4098" t="s">
        <v>4762</v>
      </c>
      <c r="S107" s="4099" t="s">
        <v>4763</v>
      </c>
      <c r="T107" s="2139"/>
      <c r="U107" s="2139"/>
      <c r="V107" s="2139"/>
      <c r="W107" s="2139"/>
      <c r="X107" s="2139"/>
      <c r="Y107" s="2139"/>
      <c r="Z107" s="2139"/>
      <c r="AA107" s="2139"/>
      <c r="AB107" s="2139"/>
      <c r="AC107" s="2139"/>
      <c r="AD107" s="2139"/>
    </row>
    <row r="108" spans="1:30" ht="25.5">
      <c r="A108" s="4097">
        <v>93</v>
      </c>
      <c r="B108" s="4093" t="s">
        <v>4764</v>
      </c>
      <c r="C108" s="4098" t="s">
        <v>4765</v>
      </c>
      <c r="D108" s="4099" t="s">
        <v>4766</v>
      </c>
      <c r="E108" s="4100"/>
      <c r="F108" s="4097">
        <v>417</v>
      </c>
      <c r="G108" s="4093" t="s">
        <v>4767</v>
      </c>
      <c r="H108" s="4098" t="s">
        <v>4768</v>
      </c>
      <c r="I108" s="4099" t="s">
        <v>4769</v>
      </c>
      <c r="J108" s="4100"/>
      <c r="K108" s="4097">
        <v>741</v>
      </c>
      <c r="L108" s="4093" t="s">
        <v>4770</v>
      </c>
      <c r="M108" s="4098" t="s">
        <v>4771</v>
      </c>
      <c r="N108" s="4099" t="s">
        <v>4772</v>
      </c>
      <c r="O108" s="4100"/>
      <c r="P108" s="4097">
        <v>1065</v>
      </c>
      <c r="Q108" s="4093" t="s">
        <v>4773</v>
      </c>
      <c r="R108" s="4098" t="s">
        <v>4774</v>
      </c>
      <c r="S108" s="4099" t="s">
        <v>4775</v>
      </c>
      <c r="T108" s="2139"/>
      <c r="U108" s="2139"/>
      <c r="V108" s="2139"/>
      <c r="W108" s="2139"/>
      <c r="X108" s="2139"/>
      <c r="Y108" s="2139"/>
      <c r="Z108" s="2139"/>
      <c r="AA108" s="2139"/>
      <c r="AB108" s="2139"/>
      <c r="AC108" s="2139"/>
      <c r="AD108" s="2139"/>
    </row>
    <row r="109" spans="1:30" ht="25.5">
      <c r="A109" s="4097">
        <v>94</v>
      </c>
      <c r="B109" s="4093" t="s">
        <v>4776</v>
      </c>
      <c r="C109" s="4098" t="s">
        <v>4777</v>
      </c>
      <c r="D109" s="4099" t="s">
        <v>4778</v>
      </c>
      <c r="E109" s="4100"/>
      <c r="F109" s="4097">
        <v>418</v>
      </c>
      <c r="G109" s="4093" t="s">
        <v>4779</v>
      </c>
      <c r="H109" s="4098" t="s">
        <v>4780</v>
      </c>
      <c r="I109" s="4099" t="s">
        <v>4781</v>
      </c>
      <c r="J109" s="4100"/>
      <c r="K109" s="4097">
        <v>742</v>
      </c>
      <c r="L109" s="4093" t="s">
        <v>4782</v>
      </c>
      <c r="M109" s="4098" t="s">
        <v>4783</v>
      </c>
      <c r="N109" s="4099" t="s">
        <v>4784</v>
      </c>
      <c r="O109" s="4100"/>
      <c r="P109" s="4097">
        <v>1066</v>
      </c>
      <c r="Q109" s="4093" t="s">
        <v>4785</v>
      </c>
      <c r="R109" s="4098" t="s">
        <v>4786</v>
      </c>
      <c r="S109" s="4099" t="s">
        <v>4787</v>
      </c>
      <c r="T109" s="2139"/>
      <c r="U109" s="2139"/>
      <c r="V109" s="2139"/>
      <c r="W109" s="2139"/>
      <c r="X109" s="2139"/>
      <c r="Y109" s="2139"/>
      <c r="Z109" s="2139"/>
      <c r="AA109" s="2139"/>
      <c r="AB109" s="2139"/>
      <c r="AC109" s="2139"/>
      <c r="AD109" s="2139"/>
    </row>
    <row r="110" spans="1:30">
      <c r="A110" s="4097">
        <v>95</v>
      </c>
      <c r="B110" s="4093">
        <v>2712</v>
      </c>
      <c r="C110" s="4098" t="s">
        <v>4788</v>
      </c>
      <c r="D110" s="4099" t="s">
        <v>4789</v>
      </c>
      <c r="E110" s="4100"/>
      <c r="F110" s="4097">
        <v>419</v>
      </c>
      <c r="G110" s="4093" t="s">
        <v>4790</v>
      </c>
      <c r="H110" s="4098" t="s">
        <v>4791</v>
      </c>
      <c r="I110" s="4099" t="s">
        <v>4792</v>
      </c>
      <c r="J110" s="4100"/>
      <c r="K110" s="4097">
        <v>743</v>
      </c>
      <c r="L110" s="4093" t="s">
        <v>4793</v>
      </c>
      <c r="M110" s="4098" t="s">
        <v>4794</v>
      </c>
      <c r="N110" s="4099" t="s">
        <v>4795</v>
      </c>
      <c r="O110" s="4100"/>
      <c r="P110" s="4097">
        <v>1067</v>
      </c>
      <c r="Q110" s="4093" t="s">
        <v>4796</v>
      </c>
      <c r="R110" s="4098" t="s">
        <v>4797</v>
      </c>
      <c r="S110" s="4099" t="s">
        <v>4798</v>
      </c>
      <c r="T110" s="2139"/>
      <c r="U110" s="2139"/>
      <c r="V110" s="2139"/>
      <c r="W110" s="2139"/>
      <c r="X110" s="2139"/>
      <c r="Y110" s="2139"/>
      <c r="Z110" s="2139"/>
      <c r="AA110" s="2139"/>
      <c r="AB110" s="2139"/>
      <c r="AC110" s="2139"/>
      <c r="AD110" s="2139"/>
    </row>
    <row r="111" spans="1:30" ht="25.5">
      <c r="A111" s="4097">
        <v>96</v>
      </c>
      <c r="B111" s="4093">
        <v>2714</v>
      </c>
      <c r="C111" s="4098" t="s">
        <v>4799</v>
      </c>
      <c r="D111" s="4099" t="s">
        <v>4800</v>
      </c>
      <c r="E111" s="4100"/>
      <c r="F111" s="4097">
        <v>420</v>
      </c>
      <c r="G111" s="4093" t="s">
        <v>4801</v>
      </c>
      <c r="H111" s="4098" t="s">
        <v>4802</v>
      </c>
      <c r="I111" s="4099" t="s">
        <v>4803</v>
      </c>
      <c r="J111" s="4100"/>
      <c r="K111" s="4097">
        <v>744</v>
      </c>
      <c r="L111" s="4093" t="s">
        <v>4804</v>
      </c>
      <c r="M111" s="4098" t="s">
        <v>4805</v>
      </c>
      <c r="N111" s="4099" t="s">
        <v>4806</v>
      </c>
      <c r="O111" s="4100"/>
      <c r="P111" s="4097">
        <v>1068</v>
      </c>
      <c r="Q111" s="4093" t="s">
        <v>4807</v>
      </c>
      <c r="R111" s="4098" t="s">
        <v>4808</v>
      </c>
      <c r="S111" s="4099" t="s">
        <v>4809</v>
      </c>
      <c r="T111" s="2139"/>
      <c r="U111" s="2139"/>
      <c r="V111" s="2139"/>
      <c r="W111" s="2139"/>
      <c r="X111" s="2139"/>
      <c r="Y111" s="2139"/>
      <c r="Z111" s="2139"/>
      <c r="AA111" s="2139"/>
      <c r="AB111" s="2139"/>
      <c r="AC111" s="2139"/>
      <c r="AD111" s="2139"/>
    </row>
    <row r="112" spans="1:30" ht="25.5">
      <c r="A112" s="4097">
        <v>97</v>
      </c>
      <c r="B112" s="4093">
        <v>2716</v>
      </c>
      <c r="C112" s="4098" t="s">
        <v>4810</v>
      </c>
      <c r="D112" s="4099" t="s">
        <v>4811</v>
      </c>
      <c r="E112" s="4100"/>
      <c r="F112" s="4097">
        <v>421</v>
      </c>
      <c r="G112" s="4093" t="s">
        <v>4812</v>
      </c>
      <c r="H112" s="4098" t="s">
        <v>4813</v>
      </c>
      <c r="I112" s="4099" t="s">
        <v>4814</v>
      </c>
      <c r="J112" s="4100"/>
      <c r="K112" s="4097">
        <v>745</v>
      </c>
      <c r="L112" s="4093" t="s">
        <v>4815</v>
      </c>
      <c r="M112" s="4098" t="s">
        <v>4816</v>
      </c>
      <c r="N112" s="4099" t="s">
        <v>4817</v>
      </c>
      <c r="O112" s="4100"/>
      <c r="P112" s="4097">
        <v>1069</v>
      </c>
      <c r="Q112" s="4093" t="s">
        <v>4818</v>
      </c>
      <c r="R112" s="4098" t="s">
        <v>4819</v>
      </c>
      <c r="S112" s="4099" t="s">
        <v>4820</v>
      </c>
      <c r="T112" s="2139"/>
      <c r="U112" s="2139"/>
      <c r="V112" s="2139"/>
      <c r="W112" s="2139"/>
      <c r="X112" s="2139"/>
      <c r="Y112" s="2139"/>
      <c r="Z112" s="2139"/>
      <c r="AA112" s="2139"/>
      <c r="AB112" s="2139"/>
      <c r="AC112" s="2139"/>
      <c r="AD112" s="2139"/>
    </row>
    <row r="113" spans="1:30">
      <c r="A113" s="4097">
        <v>98</v>
      </c>
      <c r="B113" s="4093" t="s">
        <v>4821</v>
      </c>
      <c r="C113" s="4098" t="s">
        <v>4822</v>
      </c>
      <c r="D113" s="4099" t="s">
        <v>4823</v>
      </c>
      <c r="E113" s="4100"/>
      <c r="F113" s="4097">
        <v>422</v>
      </c>
      <c r="G113" s="4093" t="s">
        <v>4824</v>
      </c>
      <c r="H113" s="4098" t="s">
        <v>4825</v>
      </c>
      <c r="I113" s="4099" t="s">
        <v>4826</v>
      </c>
      <c r="J113" s="4100"/>
      <c r="K113" s="4097">
        <v>746</v>
      </c>
      <c r="L113" s="4093" t="s">
        <v>4827</v>
      </c>
      <c r="M113" s="4098" t="s">
        <v>4828</v>
      </c>
      <c r="N113" s="4099" t="s">
        <v>4829</v>
      </c>
      <c r="O113" s="4100"/>
      <c r="P113" s="4097">
        <v>1070</v>
      </c>
      <c r="Q113" s="4093" t="s">
        <v>4830</v>
      </c>
      <c r="R113" s="4098" t="s">
        <v>4831</v>
      </c>
      <c r="S113" s="4099" t="s">
        <v>4832</v>
      </c>
      <c r="T113" s="2139"/>
      <c r="U113" s="2139"/>
      <c r="V113" s="2139"/>
      <c r="W113" s="2139"/>
      <c r="X113" s="2139"/>
      <c r="Y113" s="2139"/>
      <c r="Z113" s="2139"/>
      <c r="AA113" s="2139"/>
      <c r="AB113" s="2139"/>
      <c r="AC113" s="2139"/>
      <c r="AD113" s="2139"/>
    </row>
    <row r="114" spans="1:30">
      <c r="A114" s="4097">
        <v>99</v>
      </c>
      <c r="B114" s="4093">
        <v>2721</v>
      </c>
      <c r="C114" s="4098" t="s">
        <v>4833</v>
      </c>
      <c r="D114" s="4099" t="s">
        <v>4834</v>
      </c>
      <c r="E114" s="4100"/>
      <c r="F114" s="4097">
        <v>423</v>
      </c>
      <c r="G114" s="4093" t="s">
        <v>4835</v>
      </c>
      <c r="H114" s="4098" t="s">
        <v>4836</v>
      </c>
      <c r="I114" s="4099" t="s">
        <v>4837</v>
      </c>
      <c r="J114" s="4100"/>
      <c r="K114" s="4097">
        <v>747</v>
      </c>
      <c r="L114" s="4093" t="s">
        <v>4838</v>
      </c>
      <c r="M114" s="4098" t="s">
        <v>4839</v>
      </c>
      <c r="N114" s="4099" t="s">
        <v>4840</v>
      </c>
      <c r="O114" s="4100"/>
      <c r="P114" s="4097">
        <v>1071</v>
      </c>
      <c r="Q114" s="4093" t="s">
        <v>4841</v>
      </c>
      <c r="R114" s="4098" t="s">
        <v>4842</v>
      </c>
      <c r="S114" s="4099" t="s">
        <v>4843</v>
      </c>
      <c r="T114" s="2139"/>
      <c r="U114" s="2139"/>
      <c r="V114" s="2139"/>
      <c r="W114" s="2139"/>
      <c r="X114" s="2139"/>
      <c r="Y114" s="2139"/>
      <c r="Z114" s="2139"/>
      <c r="AA114" s="2139"/>
      <c r="AB114" s="2139"/>
      <c r="AC114" s="2139"/>
      <c r="AD114" s="2139"/>
    </row>
    <row r="115" spans="1:30" ht="25.5">
      <c r="A115" s="4097">
        <v>100</v>
      </c>
      <c r="B115" s="4093">
        <v>2733</v>
      </c>
      <c r="C115" s="4098" t="s">
        <v>4844</v>
      </c>
      <c r="D115" s="4099" t="s">
        <v>4845</v>
      </c>
      <c r="E115" s="4100"/>
      <c r="F115" s="4097">
        <v>424</v>
      </c>
      <c r="G115" s="4093" t="s">
        <v>4846</v>
      </c>
      <c r="H115" s="4098" t="s">
        <v>4847</v>
      </c>
      <c r="I115" s="4099" t="s">
        <v>4848</v>
      </c>
      <c r="J115" s="4100"/>
      <c r="K115" s="4097">
        <v>748</v>
      </c>
      <c r="L115" s="4093" t="s">
        <v>4849</v>
      </c>
      <c r="M115" s="4098" t="s">
        <v>4850</v>
      </c>
      <c r="N115" s="4099" t="s">
        <v>4851</v>
      </c>
      <c r="O115" s="4100"/>
      <c r="P115" s="4097">
        <v>1072</v>
      </c>
      <c r="Q115" s="4093" t="s">
        <v>4852</v>
      </c>
      <c r="R115" s="4098" t="s">
        <v>4853</v>
      </c>
      <c r="S115" s="4099" t="s">
        <v>4854</v>
      </c>
      <c r="T115" s="2139"/>
      <c r="U115" s="2139"/>
      <c r="V115" s="2139"/>
      <c r="W115" s="2139"/>
      <c r="X115" s="2139"/>
      <c r="Y115" s="2139"/>
      <c r="Z115" s="2139"/>
      <c r="AA115" s="2139"/>
      <c r="AB115" s="2139"/>
      <c r="AC115" s="2139"/>
      <c r="AD115" s="2139"/>
    </row>
    <row r="116" spans="1:30">
      <c r="A116" s="4097">
        <v>101</v>
      </c>
      <c r="B116" s="4093">
        <v>2734</v>
      </c>
      <c r="C116" s="4098" t="s">
        <v>4855</v>
      </c>
      <c r="D116" s="4099" t="s">
        <v>4856</v>
      </c>
      <c r="E116" s="4100"/>
      <c r="F116" s="4097">
        <v>425</v>
      </c>
      <c r="G116" s="4093" t="s">
        <v>4857</v>
      </c>
      <c r="H116" s="4098" t="s">
        <v>4858</v>
      </c>
      <c r="I116" s="4099" t="s">
        <v>4859</v>
      </c>
      <c r="J116" s="4100"/>
      <c r="K116" s="4097">
        <v>749</v>
      </c>
      <c r="L116" s="4093" t="s">
        <v>4860</v>
      </c>
      <c r="M116" s="4098" t="s">
        <v>4861</v>
      </c>
      <c r="N116" s="4099" t="s">
        <v>4862</v>
      </c>
      <c r="O116" s="4100"/>
      <c r="P116" s="4097">
        <v>1073</v>
      </c>
      <c r="Q116" s="4093" t="s">
        <v>4863</v>
      </c>
      <c r="R116" s="4098" t="s">
        <v>4864</v>
      </c>
      <c r="S116" s="4099" t="s">
        <v>4865</v>
      </c>
      <c r="T116" s="2139"/>
      <c r="U116" s="2139"/>
      <c r="V116" s="2139"/>
      <c r="W116" s="2139"/>
      <c r="X116" s="2139"/>
      <c r="Y116" s="2139"/>
      <c r="Z116" s="2139"/>
      <c r="AA116" s="2139"/>
      <c r="AB116" s="2139"/>
      <c r="AC116" s="2139"/>
      <c r="AD116" s="2139"/>
    </row>
    <row r="117" spans="1:30">
      <c r="A117" s="4097">
        <v>102</v>
      </c>
      <c r="B117" s="4093">
        <v>2744</v>
      </c>
      <c r="C117" s="4098" t="s">
        <v>4866</v>
      </c>
      <c r="D117" s="4099" t="s">
        <v>4867</v>
      </c>
      <c r="E117" s="4100"/>
      <c r="F117" s="4097">
        <v>426</v>
      </c>
      <c r="G117" s="4093" t="s">
        <v>4868</v>
      </c>
      <c r="H117" s="4098" t="s">
        <v>4869</v>
      </c>
      <c r="I117" s="4099" t="s">
        <v>4870</v>
      </c>
      <c r="J117" s="4100"/>
      <c r="K117" s="4097">
        <v>750</v>
      </c>
      <c r="L117" s="4093" t="s">
        <v>4871</v>
      </c>
      <c r="M117" s="4098" t="s">
        <v>4872</v>
      </c>
      <c r="N117" s="4099" t="s">
        <v>4873</v>
      </c>
      <c r="O117" s="4100"/>
      <c r="P117" s="4097">
        <v>1074</v>
      </c>
      <c r="Q117" s="4093" t="s">
        <v>4874</v>
      </c>
      <c r="R117" s="4098" t="s">
        <v>4875</v>
      </c>
      <c r="S117" s="4099" t="s">
        <v>4876</v>
      </c>
      <c r="T117" s="2139"/>
      <c r="U117" s="2139"/>
      <c r="V117" s="2139"/>
      <c r="W117" s="2139"/>
      <c r="X117" s="2139"/>
      <c r="Y117" s="2139"/>
      <c r="Z117" s="2139"/>
      <c r="AA117" s="2139"/>
      <c r="AB117" s="2139"/>
      <c r="AC117" s="2139"/>
      <c r="AD117" s="2139"/>
    </row>
    <row r="118" spans="1:30" ht="25.5">
      <c r="A118" s="4097">
        <v>103</v>
      </c>
      <c r="B118" s="4093">
        <v>2747</v>
      </c>
      <c r="C118" s="4098" t="s">
        <v>4877</v>
      </c>
      <c r="D118" s="4099" t="s">
        <v>4878</v>
      </c>
      <c r="E118" s="4100"/>
      <c r="F118" s="4097">
        <v>427</v>
      </c>
      <c r="G118" s="4093" t="s">
        <v>4879</v>
      </c>
      <c r="H118" s="4098" t="s">
        <v>4880</v>
      </c>
      <c r="I118" s="4099" t="s">
        <v>4881</v>
      </c>
      <c r="J118" s="4100"/>
      <c r="K118" s="4097">
        <v>751</v>
      </c>
      <c r="L118" s="4093" t="s">
        <v>4882</v>
      </c>
      <c r="M118" s="4098" t="s">
        <v>4883</v>
      </c>
      <c r="N118" s="4099" t="s">
        <v>4884</v>
      </c>
      <c r="O118" s="4100"/>
      <c r="P118" s="4097">
        <v>1075</v>
      </c>
      <c r="Q118" s="4093" t="s">
        <v>4885</v>
      </c>
      <c r="R118" s="4098" t="s">
        <v>4886</v>
      </c>
      <c r="S118" s="4099" t="s">
        <v>4887</v>
      </c>
      <c r="T118" s="2139"/>
      <c r="U118" s="2139"/>
      <c r="V118" s="2139"/>
      <c r="W118" s="2139"/>
      <c r="X118" s="2139"/>
      <c r="Y118" s="2139"/>
      <c r="Z118" s="2139"/>
      <c r="AA118" s="2139"/>
      <c r="AB118" s="2139"/>
      <c r="AC118" s="2139"/>
      <c r="AD118" s="2139"/>
    </row>
    <row r="119" spans="1:30" ht="25.5">
      <c r="A119" s="4097">
        <v>104</v>
      </c>
      <c r="B119" s="4093" t="s">
        <v>4888</v>
      </c>
      <c r="C119" s="4098" t="s">
        <v>4889</v>
      </c>
      <c r="D119" s="4099" t="s">
        <v>4890</v>
      </c>
      <c r="E119" s="4100"/>
      <c r="F119" s="4097">
        <v>428</v>
      </c>
      <c r="G119" s="4093" t="s">
        <v>4891</v>
      </c>
      <c r="H119" s="4098" t="s">
        <v>4892</v>
      </c>
      <c r="I119" s="4099" t="s">
        <v>4893</v>
      </c>
      <c r="J119" s="4100"/>
      <c r="K119" s="4097">
        <v>752</v>
      </c>
      <c r="L119" s="4093" t="s">
        <v>4894</v>
      </c>
      <c r="M119" s="4098" t="s">
        <v>4895</v>
      </c>
      <c r="N119" s="4099" t="s">
        <v>4896</v>
      </c>
      <c r="O119" s="4100"/>
      <c r="P119" s="4097">
        <v>1076</v>
      </c>
      <c r="Q119" s="4093" t="s">
        <v>4897</v>
      </c>
      <c r="R119" s="4098" t="s">
        <v>4898</v>
      </c>
      <c r="S119" s="4099" t="s">
        <v>4899</v>
      </c>
      <c r="T119" s="2139"/>
      <c r="U119" s="2139"/>
      <c r="V119" s="2139"/>
      <c r="W119" s="2139"/>
      <c r="X119" s="2139"/>
      <c r="Y119" s="2139"/>
      <c r="Z119" s="2139"/>
      <c r="AA119" s="2139"/>
      <c r="AB119" s="2139"/>
      <c r="AC119" s="2139"/>
      <c r="AD119" s="2139"/>
    </row>
    <row r="120" spans="1:30" ht="25.5">
      <c r="A120" s="4097">
        <v>105</v>
      </c>
      <c r="B120" s="4093">
        <v>2753</v>
      </c>
      <c r="C120" s="4098" t="s">
        <v>4900</v>
      </c>
      <c r="D120" s="4099" t="s">
        <v>4901</v>
      </c>
      <c r="E120" s="4100"/>
      <c r="F120" s="4097">
        <v>429</v>
      </c>
      <c r="G120" s="4093" t="s">
        <v>4902</v>
      </c>
      <c r="H120" s="4098" t="s">
        <v>4903</v>
      </c>
      <c r="I120" s="4099" t="s">
        <v>4904</v>
      </c>
      <c r="J120" s="4100"/>
      <c r="K120" s="4097">
        <v>753</v>
      </c>
      <c r="L120" s="4093" t="s">
        <v>4905</v>
      </c>
      <c r="M120" s="4098" t="s">
        <v>4906</v>
      </c>
      <c r="N120" s="4099" t="s">
        <v>4907</v>
      </c>
      <c r="O120" s="4100"/>
      <c r="P120" s="4097">
        <v>1077</v>
      </c>
      <c r="Q120" s="4093" t="s">
        <v>4908</v>
      </c>
      <c r="R120" s="4098" t="s">
        <v>4909</v>
      </c>
      <c r="S120" s="4099" t="s">
        <v>4910</v>
      </c>
      <c r="T120" s="2139"/>
      <c r="U120" s="2139"/>
      <c r="V120" s="2139"/>
      <c r="W120" s="2139"/>
      <c r="X120" s="2139"/>
      <c r="Y120" s="2139"/>
      <c r="Z120" s="2139"/>
      <c r="AA120" s="2139"/>
      <c r="AB120" s="2139"/>
      <c r="AC120" s="2139"/>
      <c r="AD120" s="2139"/>
    </row>
    <row r="121" spans="1:30" ht="25.5">
      <c r="A121" s="4097">
        <v>106</v>
      </c>
      <c r="B121" s="4093">
        <v>2754</v>
      </c>
      <c r="C121" s="4098" t="s">
        <v>4911</v>
      </c>
      <c r="D121" s="4099" t="s">
        <v>4912</v>
      </c>
      <c r="E121" s="4100"/>
      <c r="F121" s="4097">
        <v>430</v>
      </c>
      <c r="G121" s="4093" t="s">
        <v>4913</v>
      </c>
      <c r="H121" s="4098" t="s">
        <v>4914</v>
      </c>
      <c r="I121" s="4099" t="s">
        <v>4915</v>
      </c>
      <c r="J121" s="4100"/>
      <c r="K121" s="4097">
        <v>754</v>
      </c>
      <c r="L121" s="4093" t="s">
        <v>4916</v>
      </c>
      <c r="M121" s="4098" t="s">
        <v>4917</v>
      </c>
      <c r="N121" s="4099" t="s">
        <v>4918</v>
      </c>
      <c r="O121" s="4100"/>
      <c r="P121" s="4097">
        <v>1078</v>
      </c>
      <c r="Q121" s="4093" t="s">
        <v>4919</v>
      </c>
      <c r="R121" s="4098" t="s">
        <v>4920</v>
      </c>
      <c r="S121" s="4099" t="s">
        <v>4921</v>
      </c>
      <c r="T121" s="2139"/>
      <c r="U121" s="2139"/>
      <c r="V121" s="2139"/>
      <c r="W121" s="2139"/>
      <c r="X121" s="2139"/>
      <c r="Y121" s="2139"/>
      <c r="Z121" s="2139"/>
      <c r="AA121" s="2139"/>
      <c r="AB121" s="2139"/>
      <c r="AC121" s="2139"/>
      <c r="AD121" s="2139"/>
    </row>
    <row r="122" spans="1:30" ht="25.5">
      <c r="A122" s="4097">
        <v>107</v>
      </c>
      <c r="B122" s="4093">
        <v>2755</v>
      </c>
      <c r="C122" s="4098" t="s">
        <v>4922</v>
      </c>
      <c r="D122" s="4099" t="s">
        <v>4923</v>
      </c>
      <c r="E122" s="4100"/>
      <c r="F122" s="4097">
        <v>431</v>
      </c>
      <c r="G122" s="4093" t="s">
        <v>4924</v>
      </c>
      <c r="H122" s="4098" t="s">
        <v>4925</v>
      </c>
      <c r="I122" s="4099" t="s">
        <v>4926</v>
      </c>
      <c r="J122" s="4100"/>
      <c r="K122" s="4097">
        <v>755</v>
      </c>
      <c r="L122" s="4093" t="s">
        <v>4927</v>
      </c>
      <c r="M122" s="4098" t="s">
        <v>4928</v>
      </c>
      <c r="N122" s="4099" t="s">
        <v>4929</v>
      </c>
      <c r="O122" s="4100"/>
      <c r="P122" s="4097">
        <v>1079</v>
      </c>
      <c r="Q122" s="4093" t="s">
        <v>4930</v>
      </c>
      <c r="R122" s="4098" t="s">
        <v>4931</v>
      </c>
      <c r="S122" s="4099" t="s">
        <v>4932</v>
      </c>
      <c r="T122" s="2139"/>
      <c r="U122" s="2139"/>
      <c r="V122" s="2139"/>
      <c r="W122" s="2139"/>
      <c r="X122" s="2139"/>
      <c r="Y122" s="2139"/>
      <c r="Z122" s="2139"/>
      <c r="AA122" s="2139"/>
      <c r="AB122" s="2139"/>
      <c r="AC122" s="2139"/>
      <c r="AD122" s="2139"/>
    </row>
    <row r="123" spans="1:30" ht="25.5">
      <c r="A123" s="4097">
        <v>108</v>
      </c>
      <c r="B123" s="4093">
        <v>2757</v>
      </c>
      <c r="C123" s="4098" t="s">
        <v>4933</v>
      </c>
      <c r="D123" s="4099" t="s">
        <v>4934</v>
      </c>
      <c r="E123" s="4100"/>
      <c r="F123" s="4097">
        <v>432</v>
      </c>
      <c r="G123" s="4093" t="s">
        <v>4935</v>
      </c>
      <c r="H123" s="4098" t="s">
        <v>4936</v>
      </c>
      <c r="I123" s="4099" t="s">
        <v>4937</v>
      </c>
      <c r="J123" s="4100"/>
      <c r="K123" s="4097">
        <v>756</v>
      </c>
      <c r="L123" s="4093" t="s">
        <v>4938</v>
      </c>
      <c r="M123" s="4098" t="s">
        <v>4939</v>
      </c>
      <c r="N123" s="4099" t="s">
        <v>4940</v>
      </c>
      <c r="O123" s="4100"/>
      <c r="P123" s="4097">
        <v>1080</v>
      </c>
      <c r="Q123" s="4093" t="s">
        <v>4941</v>
      </c>
      <c r="R123" s="4098" t="s">
        <v>4942</v>
      </c>
      <c r="S123" s="4099" t="s">
        <v>4943</v>
      </c>
      <c r="T123" s="2139"/>
      <c r="U123" s="2139"/>
      <c r="V123" s="2139"/>
      <c r="W123" s="2139"/>
      <c r="X123" s="2139"/>
      <c r="Y123" s="2139"/>
      <c r="Z123" s="2139"/>
      <c r="AA123" s="2139"/>
      <c r="AB123" s="2139"/>
      <c r="AC123" s="2139"/>
      <c r="AD123" s="2139"/>
    </row>
    <row r="124" spans="1:30" ht="25.5">
      <c r="A124" s="4097">
        <v>109</v>
      </c>
      <c r="B124" s="4093">
        <v>2763</v>
      </c>
      <c r="C124" s="4098" t="s">
        <v>4944</v>
      </c>
      <c r="D124" s="4099" t="s">
        <v>4945</v>
      </c>
      <c r="E124" s="4100"/>
      <c r="F124" s="4097">
        <v>433</v>
      </c>
      <c r="G124" s="4093" t="s">
        <v>4946</v>
      </c>
      <c r="H124" s="4098" t="s">
        <v>4947</v>
      </c>
      <c r="I124" s="4099" t="s">
        <v>4948</v>
      </c>
      <c r="J124" s="4100"/>
      <c r="K124" s="4097">
        <v>757</v>
      </c>
      <c r="L124" s="4093" t="s">
        <v>4949</v>
      </c>
      <c r="M124" s="4098" t="s">
        <v>4950</v>
      </c>
      <c r="N124" s="4099" t="s">
        <v>4951</v>
      </c>
      <c r="O124" s="4100"/>
      <c r="P124" s="4097">
        <v>1081</v>
      </c>
      <c r="Q124" s="4093" t="s">
        <v>4952</v>
      </c>
      <c r="R124" s="4098" t="s">
        <v>4953</v>
      </c>
      <c r="S124" s="4099" t="s">
        <v>4954</v>
      </c>
      <c r="T124" s="2139"/>
      <c r="U124" s="2139"/>
      <c r="V124" s="2139"/>
      <c r="W124" s="2139"/>
      <c r="X124" s="2139"/>
      <c r="Y124" s="2139"/>
      <c r="Z124" s="2139"/>
      <c r="AA124" s="2139"/>
      <c r="AB124" s="2139"/>
      <c r="AC124" s="2139"/>
      <c r="AD124" s="2139"/>
    </row>
    <row r="125" spans="1:30">
      <c r="A125" s="4097">
        <v>110</v>
      </c>
      <c r="B125" s="4093">
        <v>2764</v>
      </c>
      <c r="C125" s="4098" t="s">
        <v>4955</v>
      </c>
      <c r="D125" s="4099" t="s">
        <v>4956</v>
      </c>
      <c r="E125" s="4100"/>
      <c r="F125" s="4097">
        <v>434</v>
      </c>
      <c r="G125" s="4093" t="s">
        <v>4957</v>
      </c>
      <c r="H125" s="4098" t="s">
        <v>4958</v>
      </c>
      <c r="I125" s="4099" t="s">
        <v>4959</v>
      </c>
      <c r="J125" s="4100"/>
      <c r="K125" s="4097">
        <v>758</v>
      </c>
      <c r="L125" s="4093" t="s">
        <v>4960</v>
      </c>
      <c r="M125" s="4098" t="s">
        <v>4961</v>
      </c>
      <c r="N125" s="4099" t="s">
        <v>4962</v>
      </c>
      <c r="O125" s="4100"/>
      <c r="P125" s="4097">
        <v>1082</v>
      </c>
      <c r="Q125" s="4093" t="s">
        <v>4963</v>
      </c>
      <c r="R125" s="4098" t="s">
        <v>4964</v>
      </c>
      <c r="S125" s="4099" t="s">
        <v>4965</v>
      </c>
      <c r="T125" s="2139"/>
      <c r="U125" s="2139"/>
      <c r="V125" s="2139"/>
      <c r="W125" s="2139"/>
      <c r="X125" s="2139"/>
      <c r="Y125" s="2139"/>
      <c r="Z125" s="2139"/>
      <c r="AA125" s="2139"/>
      <c r="AB125" s="2139"/>
      <c r="AC125" s="2139"/>
      <c r="AD125" s="2139"/>
    </row>
    <row r="126" spans="1:30">
      <c r="A126" s="4097">
        <v>111</v>
      </c>
      <c r="B126" s="4093">
        <v>2705</v>
      </c>
      <c r="C126" s="4098" t="s">
        <v>4966</v>
      </c>
      <c r="D126" s="4099" t="s">
        <v>4967</v>
      </c>
      <c r="E126" s="4100"/>
      <c r="F126" s="4097">
        <v>435</v>
      </c>
      <c r="G126" s="4093" t="s">
        <v>4968</v>
      </c>
      <c r="H126" s="4098" t="s">
        <v>4969</v>
      </c>
      <c r="I126" s="4099" t="s">
        <v>4970</v>
      </c>
      <c r="J126" s="4100"/>
      <c r="K126" s="4097">
        <v>759</v>
      </c>
      <c r="L126" s="4093" t="s">
        <v>4971</v>
      </c>
      <c r="M126" s="4098" t="s">
        <v>4972</v>
      </c>
      <c r="N126" s="4099" t="s">
        <v>3610</v>
      </c>
      <c r="O126" s="4100"/>
      <c r="P126" s="4097">
        <v>1083</v>
      </c>
      <c r="Q126" s="4093" t="s">
        <v>4973</v>
      </c>
      <c r="R126" s="4098" t="s">
        <v>4974</v>
      </c>
      <c r="S126" s="4099" t="s">
        <v>4975</v>
      </c>
      <c r="T126" s="2139"/>
      <c r="U126" s="2139"/>
      <c r="V126" s="2139"/>
      <c r="W126" s="2139"/>
      <c r="X126" s="2139"/>
      <c r="Y126" s="2139"/>
      <c r="Z126" s="2139"/>
      <c r="AA126" s="2139"/>
      <c r="AB126" s="2139"/>
      <c r="AC126" s="2139"/>
      <c r="AD126" s="2139"/>
    </row>
    <row r="127" spans="1:30">
      <c r="A127" s="4097">
        <v>112</v>
      </c>
      <c r="B127" s="4093" t="s">
        <v>4976</v>
      </c>
      <c r="C127" s="4098" t="s">
        <v>4977</v>
      </c>
      <c r="D127" s="4099" t="s">
        <v>4978</v>
      </c>
      <c r="E127" s="4100"/>
      <c r="F127" s="4097">
        <v>436</v>
      </c>
      <c r="G127" s="4093" t="s">
        <v>4979</v>
      </c>
      <c r="H127" s="4098" t="s">
        <v>4980</v>
      </c>
      <c r="I127" s="4099" t="s">
        <v>4981</v>
      </c>
      <c r="J127" s="4100"/>
      <c r="K127" s="4097">
        <v>760</v>
      </c>
      <c r="L127" s="4093" t="s">
        <v>4982</v>
      </c>
      <c r="M127" s="4098" t="s">
        <v>4983</v>
      </c>
      <c r="N127" s="4099" t="s">
        <v>4984</v>
      </c>
      <c r="O127" s="4100"/>
      <c r="P127" s="4097">
        <v>1084</v>
      </c>
      <c r="Q127" s="4093" t="s">
        <v>4985</v>
      </c>
      <c r="R127" s="4098" t="s">
        <v>4986</v>
      </c>
      <c r="S127" s="4099" t="s">
        <v>4987</v>
      </c>
      <c r="T127" s="2139"/>
      <c r="U127" s="2139"/>
      <c r="V127" s="2139"/>
      <c r="W127" s="2139"/>
      <c r="X127" s="2139"/>
      <c r="Y127" s="2139"/>
      <c r="Z127" s="2139"/>
      <c r="AA127" s="2139"/>
      <c r="AB127" s="2139"/>
      <c r="AC127" s="2139"/>
      <c r="AD127" s="2139"/>
    </row>
    <row r="128" spans="1:30" ht="25.5">
      <c r="A128" s="4097">
        <v>113</v>
      </c>
      <c r="B128" s="4093" t="s">
        <v>4988</v>
      </c>
      <c r="C128" s="4098" t="s">
        <v>4989</v>
      </c>
      <c r="D128" s="4099" t="s">
        <v>4990</v>
      </c>
      <c r="E128" s="4100"/>
      <c r="F128" s="4097">
        <v>437</v>
      </c>
      <c r="G128" s="4093" t="s">
        <v>4991</v>
      </c>
      <c r="H128" s="4098" t="s">
        <v>4992</v>
      </c>
      <c r="I128" s="4099" t="s">
        <v>4993</v>
      </c>
      <c r="J128" s="4100"/>
      <c r="K128" s="4097">
        <v>761</v>
      </c>
      <c r="L128" s="4093" t="s">
        <v>4994</v>
      </c>
      <c r="M128" s="4098" t="s">
        <v>4995</v>
      </c>
      <c r="N128" s="4099" t="s">
        <v>4996</v>
      </c>
      <c r="O128" s="4100"/>
      <c r="P128" s="4097">
        <v>1085</v>
      </c>
      <c r="Q128" s="4093" t="s">
        <v>4997</v>
      </c>
      <c r="R128" s="4098" t="s">
        <v>4998</v>
      </c>
      <c r="S128" s="4099" t="s">
        <v>4999</v>
      </c>
      <c r="T128" s="2139"/>
      <c r="U128" s="2139"/>
      <c r="V128" s="2139"/>
      <c r="W128" s="2139"/>
      <c r="X128" s="2139"/>
      <c r="Y128" s="2139"/>
      <c r="Z128" s="2139"/>
      <c r="AA128" s="2139"/>
      <c r="AB128" s="2139"/>
      <c r="AC128" s="2139"/>
      <c r="AD128" s="2139"/>
    </row>
    <row r="129" spans="1:30">
      <c r="A129" s="4097">
        <v>114</v>
      </c>
      <c r="B129" s="4093">
        <v>2728</v>
      </c>
      <c r="C129" s="4098" t="s">
        <v>5000</v>
      </c>
      <c r="D129" s="4099" t="s">
        <v>5001</v>
      </c>
      <c r="E129" s="4100"/>
      <c r="F129" s="4097">
        <v>438</v>
      </c>
      <c r="G129" s="4093" t="s">
        <v>5002</v>
      </c>
      <c r="H129" s="4098" t="s">
        <v>5003</v>
      </c>
      <c r="I129" s="4099" t="s">
        <v>5004</v>
      </c>
      <c r="J129" s="4100"/>
      <c r="K129" s="4097">
        <v>762</v>
      </c>
      <c r="L129" s="4093" t="s">
        <v>5005</v>
      </c>
      <c r="M129" s="4098" t="s">
        <v>5006</v>
      </c>
      <c r="N129" s="4099" t="s">
        <v>5007</v>
      </c>
      <c r="O129" s="4100"/>
      <c r="P129" s="4097">
        <v>1086</v>
      </c>
      <c r="Q129" s="4093" t="s">
        <v>5008</v>
      </c>
      <c r="R129" s="4098" t="s">
        <v>5009</v>
      </c>
      <c r="S129" s="4099" t="s">
        <v>5010</v>
      </c>
      <c r="T129" s="2139"/>
      <c r="U129" s="2139"/>
      <c r="V129" s="2139"/>
      <c r="W129" s="2139"/>
      <c r="X129" s="2139"/>
      <c r="Y129" s="2139"/>
      <c r="Z129" s="2139"/>
      <c r="AA129" s="2139"/>
      <c r="AB129" s="2139"/>
      <c r="AC129" s="2139"/>
      <c r="AD129" s="2139"/>
    </row>
    <row r="130" spans="1:30">
      <c r="A130" s="4097">
        <v>115</v>
      </c>
      <c r="B130" s="4093" t="s">
        <v>5011</v>
      </c>
      <c r="C130" s="4098" t="s">
        <v>5012</v>
      </c>
      <c r="D130" s="4099" t="s">
        <v>5013</v>
      </c>
      <c r="E130" s="4100"/>
      <c r="F130" s="4097">
        <v>439</v>
      </c>
      <c r="G130" s="4093" t="s">
        <v>5014</v>
      </c>
      <c r="H130" s="4098" t="s">
        <v>5015</v>
      </c>
      <c r="I130" s="4099" t="s">
        <v>5016</v>
      </c>
      <c r="J130" s="4100"/>
      <c r="K130" s="4097">
        <v>763</v>
      </c>
      <c r="L130" s="4093" t="s">
        <v>5017</v>
      </c>
      <c r="M130" s="4098" t="s">
        <v>5018</v>
      </c>
      <c r="N130" s="4099" t="s">
        <v>5019</v>
      </c>
      <c r="O130" s="4100"/>
      <c r="P130" s="4097">
        <v>1087</v>
      </c>
      <c r="Q130" s="4093" t="s">
        <v>5020</v>
      </c>
      <c r="R130" s="4098" t="s">
        <v>5021</v>
      </c>
      <c r="S130" s="4099" t="s">
        <v>5022</v>
      </c>
      <c r="T130" s="2139"/>
      <c r="U130" s="2139"/>
      <c r="V130" s="2139"/>
      <c r="W130" s="2139"/>
      <c r="X130" s="2139"/>
      <c r="Y130" s="2139"/>
      <c r="Z130" s="2139"/>
      <c r="AA130" s="2139"/>
      <c r="AB130" s="2139"/>
      <c r="AC130" s="2139"/>
      <c r="AD130" s="2139"/>
    </row>
    <row r="131" spans="1:30" ht="25.5">
      <c r="A131" s="4097">
        <v>116</v>
      </c>
      <c r="B131" s="4093">
        <v>2614</v>
      </c>
      <c r="C131" s="4098" t="s">
        <v>5023</v>
      </c>
      <c r="D131" s="4099" t="s">
        <v>5024</v>
      </c>
      <c r="E131" s="4100"/>
      <c r="F131" s="4097">
        <v>440</v>
      </c>
      <c r="G131" s="4093" t="s">
        <v>5025</v>
      </c>
      <c r="H131" s="4098" t="s">
        <v>5026</v>
      </c>
      <c r="I131" s="4099" t="s">
        <v>5027</v>
      </c>
      <c r="J131" s="4100"/>
      <c r="K131" s="4097">
        <v>764</v>
      </c>
      <c r="L131" s="4093" t="s">
        <v>5028</v>
      </c>
      <c r="M131" s="4098" t="s">
        <v>5029</v>
      </c>
      <c r="N131" s="4099" t="s">
        <v>5030</v>
      </c>
      <c r="O131" s="4100"/>
      <c r="P131" s="4097">
        <v>1088</v>
      </c>
      <c r="Q131" s="4093" t="s">
        <v>5031</v>
      </c>
      <c r="R131" s="4098" t="s">
        <v>5032</v>
      </c>
      <c r="S131" s="4099" t="s">
        <v>5033</v>
      </c>
      <c r="T131" s="2139"/>
      <c r="U131" s="2139"/>
      <c r="V131" s="2139"/>
      <c r="W131" s="2139"/>
      <c r="X131" s="2139"/>
      <c r="Y131" s="2139"/>
      <c r="Z131" s="2139"/>
      <c r="AA131" s="2139"/>
      <c r="AB131" s="2139"/>
      <c r="AC131" s="2139"/>
      <c r="AD131" s="2139"/>
    </row>
    <row r="132" spans="1:30" ht="25.5">
      <c r="A132" s="4097">
        <v>117</v>
      </c>
      <c r="B132" s="4093">
        <v>2615</v>
      </c>
      <c r="C132" s="4098" t="s">
        <v>5034</v>
      </c>
      <c r="D132" s="4099" t="s">
        <v>5035</v>
      </c>
      <c r="E132" s="4100"/>
      <c r="F132" s="4097">
        <v>441</v>
      </c>
      <c r="G132" s="4093" t="s">
        <v>5036</v>
      </c>
      <c r="H132" s="4098" t="s">
        <v>5037</v>
      </c>
      <c r="I132" s="4099" t="s">
        <v>5038</v>
      </c>
      <c r="J132" s="4100"/>
      <c r="K132" s="4097">
        <v>765</v>
      </c>
      <c r="L132" s="4093" t="s">
        <v>5039</v>
      </c>
      <c r="M132" s="4098" t="s">
        <v>5040</v>
      </c>
      <c r="N132" s="4099" t="s">
        <v>5041</v>
      </c>
      <c r="O132" s="4100"/>
      <c r="P132" s="4097">
        <v>1089</v>
      </c>
      <c r="Q132" s="4093" t="s">
        <v>5042</v>
      </c>
      <c r="R132" s="4098" t="s">
        <v>5043</v>
      </c>
      <c r="S132" s="4099" t="s">
        <v>5044</v>
      </c>
      <c r="T132" s="2139"/>
      <c r="U132" s="2139"/>
      <c r="V132" s="2139"/>
      <c r="W132" s="2139"/>
      <c r="X132" s="2139"/>
      <c r="Y132" s="2139"/>
      <c r="Z132" s="2139"/>
      <c r="AA132" s="2139"/>
      <c r="AB132" s="2139"/>
      <c r="AC132" s="2139"/>
      <c r="AD132" s="2139"/>
    </row>
    <row r="133" spans="1:30">
      <c r="A133" s="4097">
        <v>118</v>
      </c>
      <c r="B133" s="4093" t="s">
        <v>5045</v>
      </c>
      <c r="C133" s="4098" t="s">
        <v>5046</v>
      </c>
      <c r="D133" s="4099" t="s">
        <v>5047</v>
      </c>
      <c r="E133" s="4100"/>
      <c r="F133" s="4097">
        <v>442</v>
      </c>
      <c r="G133" s="4093" t="s">
        <v>5048</v>
      </c>
      <c r="H133" s="4098" t="s">
        <v>5049</v>
      </c>
      <c r="I133" s="4099" t="s">
        <v>5050</v>
      </c>
      <c r="J133" s="4100"/>
      <c r="K133" s="4097">
        <v>766</v>
      </c>
      <c r="L133" s="4093" t="s">
        <v>5051</v>
      </c>
      <c r="M133" s="4098" t="s">
        <v>5052</v>
      </c>
      <c r="N133" s="4099" t="s">
        <v>5053</v>
      </c>
      <c r="O133" s="4100"/>
      <c r="P133" s="4097">
        <v>1090</v>
      </c>
      <c r="Q133" s="4093" t="s">
        <v>5054</v>
      </c>
      <c r="R133" s="4098" t="s">
        <v>5055</v>
      </c>
      <c r="S133" s="4099" t="s">
        <v>5056</v>
      </c>
      <c r="T133" s="2139"/>
      <c r="U133" s="2139"/>
      <c r="V133" s="2139"/>
      <c r="W133" s="2139"/>
      <c r="X133" s="2139"/>
      <c r="Y133" s="2139"/>
      <c r="Z133" s="2139"/>
      <c r="AA133" s="2139"/>
      <c r="AB133" s="2139"/>
      <c r="AC133" s="2139"/>
      <c r="AD133" s="2139"/>
    </row>
    <row r="134" spans="1:30" ht="25.5">
      <c r="A134" s="4097">
        <v>119</v>
      </c>
      <c r="B134" s="4093" t="s">
        <v>5057</v>
      </c>
      <c r="C134" s="4098" t="s">
        <v>5058</v>
      </c>
      <c r="D134" s="4099" t="s">
        <v>5059</v>
      </c>
      <c r="E134" s="4100"/>
      <c r="F134" s="4097">
        <v>443</v>
      </c>
      <c r="G134" s="4093" t="s">
        <v>5060</v>
      </c>
      <c r="H134" s="4098" t="s">
        <v>5061</v>
      </c>
      <c r="I134" s="4099" t="s">
        <v>5062</v>
      </c>
      <c r="J134" s="4100"/>
      <c r="K134" s="4097">
        <v>767</v>
      </c>
      <c r="L134" s="4093" t="s">
        <v>5063</v>
      </c>
      <c r="M134" s="4098" t="s">
        <v>5064</v>
      </c>
      <c r="N134" s="4099" t="s">
        <v>5065</v>
      </c>
      <c r="O134" s="4100"/>
      <c r="P134" s="4097">
        <v>1091</v>
      </c>
      <c r="Q134" s="4093" t="s">
        <v>5066</v>
      </c>
      <c r="R134" s="4098" t="s">
        <v>5067</v>
      </c>
      <c r="S134" s="4099" t="s">
        <v>5068</v>
      </c>
      <c r="T134" s="2139"/>
      <c r="U134" s="2139"/>
      <c r="V134" s="2139"/>
      <c r="W134" s="2139"/>
      <c r="X134" s="2139"/>
      <c r="Y134" s="2139"/>
      <c r="Z134" s="2139"/>
      <c r="AA134" s="2139"/>
      <c r="AB134" s="2139"/>
      <c r="AC134" s="2139"/>
      <c r="AD134" s="2139"/>
    </row>
    <row r="135" spans="1:30">
      <c r="A135" s="4097">
        <v>120</v>
      </c>
      <c r="B135" s="4093" t="s">
        <v>5069</v>
      </c>
      <c r="C135" s="4098" t="s">
        <v>5070</v>
      </c>
      <c r="D135" s="4099" t="s">
        <v>5071</v>
      </c>
      <c r="E135" s="4100"/>
      <c r="F135" s="4097">
        <v>444</v>
      </c>
      <c r="G135" s="4093" t="s">
        <v>5072</v>
      </c>
      <c r="H135" s="4098" t="s">
        <v>5073</v>
      </c>
      <c r="I135" s="4099" t="s">
        <v>738</v>
      </c>
      <c r="J135" s="4100"/>
      <c r="K135" s="4097">
        <v>768</v>
      </c>
      <c r="L135" s="4093" t="s">
        <v>5074</v>
      </c>
      <c r="M135" s="4098" t="s">
        <v>5075</v>
      </c>
      <c r="N135" s="4099" t="s">
        <v>5076</v>
      </c>
      <c r="O135" s="4100"/>
      <c r="P135" s="4097">
        <v>1092</v>
      </c>
      <c r="Q135" s="4093" t="s">
        <v>5077</v>
      </c>
      <c r="R135" s="4098" t="s">
        <v>5078</v>
      </c>
      <c r="S135" s="4099" t="s">
        <v>5079</v>
      </c>
      <c r="T135" s="2139"/>
      <c r="U135" s="2139"/>
      <c r="V135" s="2139"/>
      <c r="W135" s="2139"/>
      <c r="X135" s="2139"/>
      <c r="Y135" s="2139"/>
      <c r="Z135" s="2139"/>
      <c r="AA135" s="2139"/>
      <c r="AB135" s="2139"/>
      <c r="AC135" s="2139"/>
      <c r="AD135" s="2139"/>
    </row>
    <row r="136" spans="1:30" ht="25.5">
      <c r="A136" s="4097">
        <v>121</v>
      </c>
      <c r="B136" s="4093" t="s">
        <v>5080</v>
      </c>
      <c r="C136" s="4098" t="s">
        <v>5081</v>
      </c>
      <c r="D136" s="4099" t="s">
        <v>5082</v>
      </c>
      <c r="E136" s="4100"/>
      <c r="F136" s="4097">
        <v>445</v>
      </c>
      <c r="G136" s="4093" t="s">
        <v>5083</v>
      </c>
      <c r="H136" s="4098" t="s">
        <v>5084</v>
      </c>
      <c r="I136" s="4099" t="s">
        <v>5085</v>
      </c>
      <c r="J136" s="4100"/>
      <c r="K136" s="4097">
        <v>769</v>
      </c>
      <c r="L136" s="4093" t="s">
        <v>5086</v>
      </c>
      <c r="M136" s="4098" t="s">
        <v>5087</v>
      </c>
      <c r="N136" s="4099" t="s">
        <v>5088</v>
      </c>
      <c r="O136" s="4100"/>
      <c r="P136" s="4097">
        <v>1093</v>
      </c>
      <c r="Q136" s="4093" t="s">
        <v>5089</v>
      </c>
      <c r="R136" s="4098" t="s">
        <v>5090</v>
      </c>
      <c r="S136" s="4099" t="s">
        <v>5091</v>
      </c>
      <c r="T136" s="2139"/>
      <c r="U136" s="2139"/>
      <c r="V136" s="2139"/>
      <c r="W136" s="2139"/>
      <c r="X136" s="2139"/>
      <c r="Y136" s="2139"/>
      <c r="Z136" s="2139"/>
      <c r="AA136" s="2139"/>
      <c r="AB136" s="2139"/>
      <c r="AC136" s="2139"/>
      <c r="AD136" s="2139"/>
    </row>
    <row r="137" spans="1:30" ht="25.5">
      <c r="A137" s="4097">
        <v>122</v>
      </c>
      <c r="B137" s="4093" t="s">
        <v>5092</v>
      </c>
      <c r="C137" s="4098" t="s">
        <v>5093</v>
      </c>
      <c r="D137" s="4099" t="s">
        <v>5094</v>
      </c>
      <c r="E137" s="4100"/>
      <c r="F137" s="4097">
        <v>446</v>
      </c>
      <c r="G137" s="4093" t="s">
        <v>5095</v>
      </c>
      <c r="H137" s="4098" t="s">
        <v>5096</v>
      </c>
      <c r="I137" s="4099" t="s">
        <v>5097</v>
      </c>
      <c r="J137" s="4100"/>
      <c r="K137" s="4097">
        <v>770</v>
      </c>
      <c r="L137" s="4093" t="s">
        <v>5098</v>
      </c>
      <c r="M137" s="4098" t="s">
        <v>5099</v>
      </c>
      <c r="N137" s="4099" t="s">
        <v>5100</v>
      </c>
      <c r="O137" s="4100"/>
      <c r="P137" s="4097">
        <v>1094</v>
      </c>
      <c r="Q137" s="4093" t="s">
        <v>5101</v>
      </c>
      <c r="R137" s="4098" t="s">
        <v>5102</v>
      </c>
      <c r="S137" s="4099" t="s">
        <v>5103</v>
      </c>
      <c r="T137" s="2139"/>
      <c r="U137" s="2139"/>
      <c r="V137" s="2139"/>
      <c r="W137" s="2139"/>
      <c r="X137" s="2139"/>
      <c r="Y137" s="2139"/>
      <c r="Z137" s="2139"/>
      <c r="AA137" s="2139"/>
      <c r="AB137" s="2139"/>
      <c r="AC137" s="2139"/>
      <c r="AD137" s="2139"/>
    </row>
    <row r="138" spans="1:30" ht="25.5">
      <c r="A138" s="4097">
        <v>123</v>
      </c>
      <c r="B138" s="4093" t="s">
        <v>5104</v>
      </c>
      <c r="C138" s="4098" t="s">
        <v>5105</v>
      </c>
      <c r="D138" s="4099" t="s">
        <v>5106</v>
      </c>
      <c r="E138" s="4100"/>
      <c r="F138" s="4097">
        <v>447</v>
      </c>
      <c r="G138" s="4093" t="s">
        <v>5107</v>
      </c>
      <c r="H138" s="4098" t="s">
        <v>5108</v>
      </c>
      <c r="I138" s="4099" t="s">
        <v>5109</v>
      </c>
      <c r="J138" s="4100"/>
      <c r="K138" s="4097">
        <v>771</v>
      </c>
      <c r="L138" s="4093" t="s">
        <v>5110</v>
      </c>
      <c r="M138" s="4098" t="s">
        <v>5111</v>
      </c>
      <c r="N138" s="4099" t="s">
        <v>5112</v>
      </c>
      <c r="O138" s="4100"/>
      <c r="P138" s="4097">
        <v>1095</v>
      </c>
      <c r="Q138" s="4093" t="s">
        <v>5113</v>
      </c>
      <c r="R138" s="4098" t="s">
        <v>5114</v>
      </c>
      <c r="S138" s="4099" t="s">
        <v>5115</v>
      </c>
      <c r="T138" s="2139"/>
      <c r="U138" s="2139"/>
      <c r="V138" s="2139"/>
      <c r="W138" s="2139"/>
      <c r="X138" s="2139"/>
      <c r="Y138" s="2139"/>
      <c r="Z138" s="2139"/>
      <c r="AA138" s="2139"/>
      <c r="AB138" s="2139"/>
      <c r="AC138" s="2139"/>
      <c r="AD138" s="2139"/>
    </row>
    <row r="139" spans="1:30">
      <c r="A139" s="4097">
        <v>124</v>
      </c>
      <c r="B139" s="4093" t="s">
        <v>5116</v>
      </c>
      <c r="C139" s="4098" t="s">
        <v>5117</v>
      </c>
      <c r="D139" s="4099" t="s">
        <v>5118</v>
      </c>
      <c r="E139" s="4100"/>
      <c r="F139" s="4097">
        <v>448</v>
      </c>
      <c r="G139" s="4093" t="s">
        <v>5119</v>
      </c>
      <c r="H139" s="4098" t="s">
        <v>5120</v>
      </c>
      <c r="I139" s="4099" t="s">
        <v>5121</v>
      </c>
      <c r="J139" s="4100"/>
      <c r="K139" s="4097">
        <v>772</v>
      </c>
      <c r="L139" s="4093" t="s">
        <v>5122</v>
      </c>
      <c r="M139" s="4098" t="s">
        <v>5123</v>
      </c>
      <c r="N139" s="4099" t="s">
        <v>5124</v>
      </c>
      <c r="O139" s="4100"/>
      <c r="P139" s="4097">
        <v>1096</v>
      </c>
      <c r="Q139" s="4093" t="s">
        <v>5125</v>
      </c>
      <c r="R139" s="4098" t="s">
        <v>5126</v>
      </c>
      <c r="S139" s="4099" t="s">
        <v>5127</v>
      </c>
      <c r="T139" s="2139"/>
      <c r="U139" s="2139"/>
      <c r="V139" s="2139"/>
      <c r="W139" s="2139"/>
      <c r="X139" s="2139"/>
      <c r="Y139" s="2139"/>
      <c r="Z139" s="2139"/>
      <c r="AA139" s="2139"/>
      <c r="AB139" s="2139"/>
      <c r="AC139" s="2139"/>
      <c r="AD139" s="2139"/>
    </row>
    <row r="140" spans="1:30">
      <c r="A140" s="4097">
        <v>125</v>
      </c>
      <c r="B140" s="4093" t="s">
        <v>5128</v>
      </c>
      <c r="C140" s="4098" t="s">
        <v>5129</v>
      </c>
      <c r="D140" s="4099" t="s">
        <v>5130</v>
      </c>
      <c r="E140" s="4100"/>
      <c r="F140" s="4097">
        <v>449</v>
      </c>
      <c r="G140" s="4093" t="s">
        <v>5131</v>
      </c>
      <c r="H140" s="4098" t="s">
        <v>5132</v>
      </c>
      <c r="I140" s="4099" t="s">
        <v>5133</v>
      </c>
      <c r="J140" s="4100"/>
      <c r="K140" s="4097">
        <v>773</v>
      </c>
      <c r="L140" s="4093" t="s">
        <v>5134</v>
      </c>
      <c r="M140" s="4098" t="s">
        <v>5135</v>
      </c>
      <c r="N140" s="4099" t="s">
        <v>5136</v>
      </c>
      <c r="O140" s="4100"/>
      <c r="P140" s="4097">
        <v>1097</v>
      </c>
      <c r="Q140" s="4093" t="s">
        <v>5137</v>
      </c>
      <c r="R140" s="4098" t="s">
        <v>5138</v>
      </c>
      <c r="S140" s="4099" t="s">
        <v>5139</v>
      </c>
      <c r="T140" s="2139"/>
      <c r="U140" s="2139"/>
      <c r="V140" s="2139"/>
      <c r="W140" s="2139"/>
      <c r="X140" s="2139"/>
      <c r="Y140" s="2139"/>
      <c r="Z140" s="2139"/>
      <c r="AA140" s="2139"/>
      <c r="AB140" s="2139"/>
      <c r="AC140" s="2139"/>
      <c r="AD140" s="2139"/>
    </row>
    <row r="141" spans="1:30">
      <c r="A141" s="4097">
        <v>126</v>
      </c>
      <c r="B141" s="4093">
        <v>2618</v>
      </c>
      <c r="C141" s="4098" t="s">
        <v>5140</v>
      </c>
      <c r="D141" s="4099" t="s">
        <v>5141</v>
      </c>
      <c r="E141" s="4100"/>
      <c r="F141" s="4097">
        <v>450</v>
      </c>
      <c r="G141" s="4093" t="s">
        <v>5142</v>
      </c>
      <c r="H141" s="4098" t="s">
        <v>5143</v>
      </c>
      <c r="I141" s="4099" t="s">
        <v>5144</v>
      </c>
      <c r="J141" s="4100"/>
      <c r="K141" s="4097">
        <v>774</v>
      </c>
      <c r="L141" s="4093" t="s">
        <v>5145</v>
      </c>
      <c r="M141" s="4098" t="s">
        <v>5146</v>
      </c>
      <c r="N141" s="4099" t="s">
        <v>5147</v>
      </c>
      <c r="O141" s="4100"/>
      <c r="P141" s="4097">
        <v>1098</v>
      </c>
      <c r="Q141" s="4093" t="s">
        <v>5148</v>
      </c>
      <c r="R141" s="4098" t="s">
        <v>5149</v>
      </c>
      <c r="S141" s="4099" t="s">
        <v>5150</v>
      </c>
      <c r="T141" s="2139"/>
      <c r="U141" s="2139"/>
      <c r="V141" s="2139"/>
      <c r="W141" s="2139"/>
      <c r="X141" s="2139"/>
      <c r="Y141" s="2139"/>
      <c r="Z141" s="2139"/>
      <c r="AA141" s="2139"/>
      <c r="AB141" s="2139"/>
      <c r="AC141" s="2139"/>
      <c r="AD141" s="2139"/>
    </row>
    <row r="142" spans="1:30">
      <c r="A142" s="4097">
        <v>127</v>
      </c>
      <c r="B142" s="4093" t="s">
        <v>5151</v>
      </c>
      <c r="C142" s="4098" t="s">
        <v>5152</v>
      </c>
      <c r="D142" s="4099" t="s">
        <v>5153</v>
      </c>
      <c r="E142" s="4100"/>
      <c r="F142" s="4097">
        <v>451</v>
      </c>
      <c r="G142" s="4093" t="s">
        <v>5154</v>
      </c>
      <c r="H142" s="4098" t="s">
        <v>5155</v>
      </c>
      <c r="I142" s="4099" t="s">
        <v>5156</v>
      </c>
      <c r="J142" s="4100"/>
      <c r="K142" s="4097">
        <v>775</v>
      </c>
      <c r="L142" s="4093" t="s">
        <v>5157</v>
      </c>
      <c r="M142" s="4098" t="s">
        <v>5158</v>
      </c>
      <c r="N142" s="4099" t="s">
        <v>5159</v>
      </c>
      <c r="O142" s="4100"/>
      <c r="P142" s="4097">
        <v>1099</v>
      </c>
      <c r="Q142" s="4093" t="s">
        <v>5160</v>
      </c>
      <c r="R142" s="4098" t="s">
        <v>5161</v>
      </c>
      <c r="S142" s="4099" t="s">
        <v>5162</v>
      </c>
      <c r="T142" s="2139"/>
      <c r="U142" s="2139"/>
      <c r="V142" s="2139"/>
      <c r="W142" s="2139"/>
      <c r="X142" s="2139"/>
      <c r="Y142" s="2139"/>
      <c r="Z142" s="2139"/>
      <c r="AA142" s="2139"/>
      <c r="AB142" s="2139"/>
      <c r="AC142" s="2139"/>
      <c r="AD142" s="2139"/>
    </row>
    <row r="143" spans="1:30" ht="25.5">
      <c r="A143" s="4097">
        <v>128</v>
      </c>
      <c r="B143" s="4093" t="s">
        <v>5163</v>
      </c>
      <c r="C143" s="4098" t="s">
        <v>5164</v>
      </c>
      <c r="D143" s="4099" t="s">
        <v>5165</v>
      </c>
      <c r="E143" s="4100"/>
      <c r="F143" s="4097">
        <v>452</v>
      </c>
      <c r="G143" s="4093" t="s">
        <v>5166</v>
      </c>
      <c r="H143" s="4098" t="s">
        <v>5167</v>
      </c>
      <c r="I143" s="4099" t="s">
        <v>5168</v>
      </c>
      <c r="J143" s="4100"/>
      <c r="K143" s="4097">
        <v>776</v>
      </c>
      <c r="L143" s="4093" t="s">
        <v>5169</v>
      </c>
      <c r="M143" s="4098" t="s">
        <v>5170</v>
      </c>
      <c r="N143" s="4099" t="s">
        <v>5171</v>
      </c>
      <c r="O143" s="4100"/>
      <c r="P143" s="4097">
        <v>1100</v>
      </c>
      <c r="Q143" s="4093" t="s">
        <v>5172</v>
      </c>
      <c r="R143" s="4098" t="s">
        <v>5173</v>
      </c>
      <c r="S143" s="4099" t="s">
        <v>5174</v>
      </c>
      <c r="T143" s="2139"/>
      <c r="U143" s="2139"/>
      <c r="V143" s="2139"/>
      <c r="W143" s="2139"/>
      <c r="X143" s="2139"/>
      <c r="Y143" s="2139"/>
      <c r="Z143" s="2139"/>
      <c r="AA143" s="2139"/>
      <c r="AB143" s="2139"/>
      <c r="AC143" s="2139"/>
      <c r="AD143" s="2139"/>
    </row>
    <row r="144" spans="1:30">
      <c r="A144" s="4097">
        <v>129</v>
      </c>
      <c r="B144" s="4093">
        <v>2692</v>
      </c>
      <c r="C144" s="4098" t="s">
        <v>5175</v>
      </c>
      <c r="D144" s="4099" t="s">
        <v>5176</v>
      </c>
      <c r="E144" s="4100"/>
      <c r="F144" s="4097">
        <v>453</v>
      </c>
      <c r="G144" s="4093" t="s">
        <v>5177</v>
      </c>
      <c r="H144" s="4098" t="s">
        <v>5178</v>
      </c>
      <c r="I144" s="4099" t="s">
        <v>5179</v>
      </c>
      <c r="J144" s="4100"/>
      <c r="K144" s="4097">
        <v>777</v>
      </c>
      <c r="L144" s="4093" t="s">
        <v>5180</v>
      </c>
      <c r="M144" s="4098" t="s">
        <v>5181</v>
      </c>
      <c r="N144" s="4099" t="s">
        <v>5182</v>
      </c>
      <c r="O144" s="4100"/>
      <c r="P144" s="4097">
        <v>1101</v>
      </c>
      <c r="Q144" s="4093" t="s">
        <v>5183</v>
      </c>
      <c r="R144" s="4098" t="s">
        <v>5184</v>
      </c>
      <c r="S144" s="4099" t="s">
        <v>5185</v>
      </c>
      <c r="T144" s="2139"/>
      <c r="U144" s="2139"/>
      <c r="V144" s="2139"/>
      <c r="W144" s="2139"/>
      <c r="X144" s="2139"/>
      <c r="Y144" s="2139"/>
      <c r="Z144" s="2139"/>
      <c r="AA144" s="2139"/>
      <c r="AB144" s="2139"/>
      <c r="AC144" s="2139"/>
      <c r="AD144" s="2139"/>
    </row>
    <row r="145" spans="1:30">
      <c r="A145" s="4097">
        <v>130</v>
      </c>
      <c r="B145" s="4093">
        <v>2693</v>
      </c>
      <c r="C145" s="4098" t="s">
        <v>5186</v>
      </c>
      <c r="D145" s="4099" t="s">
        <v>5187</v>
      </c>
      <c r="E145" s="4100"/>
      <c r="F145" s="4097">
        <v>454</v>
      </c>
      <c r="G145" s="4093" t="s">
        <v>5188</v>
      </c>
      <c r="H145" s="4098" t="s">
        <v>5189</v>
      </c>
      <c r="I145" s="4099" t="s">
        <v>5190</v>
      </c>
      <c r="J145" s="4100"/>
      <c r="K145" s="4097">
        <v>778</v>
      </c>
      <c r="L145" s="4093" t="s">
        <v>5191</v>
      </c>
      <c r="M145" s="4098" t="s">
        <v>5192</v>
      </c>
      <c r="N145" s="4099" t="s">
        <v>5193</v>
      </c>
      <c r="O145" s="4100"/>
      <c r="P145" s="4097">
        <v>1102</v>
      </c>
      <c r="Q145" s="4093" t="s">
        <v>5194</v>
      </c>
      <c r="R145" s="4098" t="s">
        <v>5195</v>
      </c>
      <c r="S145" s="4099" t="s">
        <v>5196</v>
      </c>
      <c r="T145" s="2139"/>
      <c r="U145" s="2139"/>
      <c r="V145" s="2139"/>
      <c r="W145" s="2139"/>
      <c r="X145" s="2139"/>
      <c r="Y145" s="2139"/>
      <c r="Z145" s="2139"/>
      <c r="AA145" s="2139"/>
      <c r="AB145" s="2139"/>
      <c r="AC145" s="2139"/>
      <c r="AD145" s="2139"/>
    </row>
    <row r="146" spans="1:30">
      <c r="A146" s="4097">
        <v>131</v>
      </c>
      <c r="B146" s="4093">
        <v>2694</v>
      </c>
      <c r="C146" s="4098" t="s">
        <v>5197</v>
      </c>
      <c r="E146" s="4100"/>
      <c r="F146" s="4097">
        <v>455</v>
      </c>
      <c r="G146" s="4093" t="s">
        <v>5198</v>
      </c>
      <c r="H146" s="4098" t="s">
        <v>5199</v>
      </c>
      <c r="I146" s="4099" t="s">
        <v>5200</v>
      </c>
      <c r="J146" s="4100"/>
      <c r="K146" s="4097">
        <v>779</v>
      </c>
      <c r="L146" s="4093" t="s">
        <v>5201</v>
      </c>
      <c r="M146" s="4098" t="s">
        <v>5202</v>
      </c>
      <c r="N146" s="4099" t="s">
        <v>5203</v>
      </c>
      <c r="O146" s="4100"/>
      <c r="P146" s="4097">
        <v>1103</v>
      </c>
      <c r="Q146" s="4093" t="s">
        <v>5204</v>
      </c>
      <c r="R146" s="4098" t="s">
        <v>5205</v>
      </c>
      <c r="S146" s="4099" t="s">
        <v>5206</v>
      </c>
      <c r="T146" s="2139"/>
      <c r="U146" s="2139"/>
      <c r="V146" s="2139"/>
      <c r="W146" s="2139"/>
      <c r="X146" s="2139"/>
      <c r="Y146" s="2139"/>
      <c r="Z146" s="2139"/>
      <c r="AA146" s="2139"/>
      <c r="AB146" s="2139"/>
      <c r="AC146" s="2139"/>
      <c r="AD146" s="2139"/>
    </row>
    <row r="147" spans="1:30">
      <c r="A147" s="4097">
        <v>132</v>
      </c>
      <c r="B147" s="4093">
        <v>2695</v>
      </c>
      <c r="C147" s="4098" t="s">
        <v>5207</v>
      </c>
      <c r="E147" s="4100"/>
      <c r="F147" s="4097">
        <v>456</v>
      </c>
      <c r="G147" s="4093" t="s">
        <v>5208</v>
      </c>
      <c r="H147" s="4098" t="s">
        <v>5209</v>
      </c>
      <c r="I147" s="4099" t="s">
        <v>5210</v>
      </c>
      <c r="J147" s="4100"/>
      <c r="K147" s="4097">
        <v>780</v>
      </c>
      <c r="L147" s="4093" t="s">
        <v>5211</v>
      </c>
      <c r="M147" s="4098" t="s">
        <v>5212</v>
      </c>
      <c r="N147" s="4099" t="s">
        <v>5213</v>
      </c>
      <c r="O147" s="4100"/>
      <c r="P147" s="4097">
        <v>1104</v>
      </c>
      <c r="Q147" s="4093" t="s">
        <v>5214</v>
      </c>
      <c r="R147" s="4098" t="s">
        <v>5215</v>
      </c>
      <c r="S147" s="4099" t="s">
        <v>5216</v>
      </c>
      <c r="T147" s="2139"/>
      <c r="U147" s="2139"/>
      <c r="V147" s="2139"/>
      <c r="W147" s="2139"/>
      <c r="X147" s="2139"/>
      <c r="Y147" s="2139"/>
      <c r="Z147" s="2139"/>
      <c r="AA147" s="2139"/>
      <c r="AB147" s="2139"/>
      <c r="AC147" s="2139"/>
      <c r="AD147" s="2139"/>
    </row>
    <row r="148" spans="1:30">
      <c r="A148" s="4097">
        <v>133</v>
      </c>
      <c r="B148" s="4093">
        <v>2696</v>
      </c>
      <c r="C148" s="4098" t="s">
        <v>5217</v>
      </c>
      <c r="E148" s="4100"/>
      <c r="F148" s="4097">
        <v>457</v>
      </c>
      <c r="G148" s="4093" t="s">
        <v>5218</v>
      </c>
      <c r="H148" s="4098" t="s">
        <v>5219</v>
      </c>
      <c r="I148" s="4099" t="s">
        <v>5220</v>
      </c>
      <c r="J148" s="4100"/>
      <c r="K148" s="4097">
        <v>781</v>
      </c>
      <c r="L148" s="4093" t="s">
        <v>5221</v>
      </c>
      <c r="M148" s="4098" t="s">
        <v>5222</v>
      </c>
      <c r="N148" s="4099" t="s">
        <v>5223</v>
      </c>
      <c r="O148" s="4100"/>
      <c r="P148" s="4097">
        <v>1105</v>
      </c>
      <c r="Q148" s="4093" t="s">
        <v>5224</v>
      </c>
      <c r="R148" s="4098" t="s">
        <v>5225</v>
      </c>
      <c r="S148" s="4099" t="s">
        <v>5226</v>
      </c>
      <c r="T148" s="2139"/>
      <c r="U148" s="2139"/>
      <c r="V148" s="2139"/>
      <c r="W148" s="2139"/>
      <c r="X148" s="2139"/>
      <c r="Y148" s="2139"/>
      <c r="Z148" s="2139"/>
      <c r="AA148" s="2139"/>
      <c r="AB148" s="2139"/>
      <c r="AC148" s="2139"/>
      <c r="AD148" s="2139"/>
    </row>
    <row r="149" spans="1:30" ht="38.25">
      <c r="A149" s="4097">
        <v>134</v>
      </c>
      <c r="B149" s="4093">
        <v>2697</v>
      </c>
      <c r="C149" s="4098" t="s">
        <v>5227</v>
      </c>
      <c r="E149" s="4100"/>
      <c r="F149" s="4097">
        <v>458</v>
      </c>
      <c r="G149" s="4093" t="s">
        <v>5228</v>
      </c>
      <c r="H149" s="4098" t="s">
        <v>5229</v>
      </c>
      <c r="I149" s="4099" t="s">
        <v>5230</v>
      </c>
      <c r="J149" s="4100"/>
      <c r="K149" s="4097">
        <v>782</v>
      </c>
      <c r="L149" s="4093" t="s">
        <v>5231</v>
      </c>
      <c r="M149" s="4098" t="s">
        <v>5232</v>
      </c>
      <c r="N149" s="4099" t="s">
        <v>5233</v>
      </c>
      <c r="O149" s="4100"/>
      <c r="P149" s="4097">
        <v>1106</v>
      </c>
      <c r="Q149" s="4093" t="s">
        <v>5234</v>
      </c>
      <c r="R149" s="4098" t="s">
        <v>5235</v>
      </c>
      <c r="S149" s="4099" t="s">
        <v>5236</v>
      </c>
      <c r="T149" s="2139"/>
      <c r="U149" s="2139"/>
      <c r="V149" s="2139"/>
      <c r="W149" s="2139"/>
      <c r="X149" s="2139"/>
      <c r="Y149" s="2139"/>
      <c r="Z149" s="2139"/>
      <c r="AA149" s="2139"/>
      <c r="AB149" s="2139"/>
      <c r="AC149" s="2139"/>
      <c r="AD149" s="2139"/>
    </row>
    <row r="150" spans="1:30">
      <c r="A150" s="4097">
        <v>135</v>
      </c>
      <c r="B150" s="4093">
        <v>2699</v>
      </c>
      <c r="C150" s="4098" t="s">
        <v>5237</v>
      </c>
      <c r="D150" s="4099" t="s">
        <v>5238</v>
      </c>
      <c r="E150" s="4100"/>
      <c r="F150" s="4097">
        <v>459</v>
      </c>
      <c r="G150" s="4093" t="s">
        <v>5239</v>
      </c>
      <c r="H150" s="4098" t="s">
        <v>5240</v>
      </c>
      <c r="I150" s="4099" t="s">
        <v>5241</v>
      </c>
      <c r="J150" s="4100"/>
      <c r="K150" s="4097">
        <v>783</v>
      </c>
      <c r="L150" s="4093" t="s">
        <v>5242</v>
      </c>
      <c r="M150" s="4098" t="s">
        <v>5243</v>
      </c>
      <c r="N150" s="4099" t="s">
        <v>5244</v>
      </c>
      <c r="O150" s="4100"/>
      <c r="P150" s="4097">
        <v>1107</v>
      </c>
      <c r="Q150" s="4093" t="s">
        <v>5245</v>
      </c>
      <c r="R150" s="4098" t="s">
        <v>5246</v>
      </c>
      <c r="S150" s="4099" t="s">
        <v>5247</v>
      </c>
      <c r="T150" s="2139"/>
      <c r="U150" s="2139"/>
      <c r="V150" s="2139"/>
      <c r="W150" s="2139"/>
      <c r="X150" s="2139"/>
      <c r="Y150" s="2139"/>
      <c r="Z150" s="2139"/>
      <c r="AA150" s="2139"/>
      <c r="AB150" s="2139"/>
      <c r="AC150" s="2139"/>
      <c r="AD150" s="2139"/>
    </row>
    <row r="151" spans="1:30">
      <c r="A151" s="4097">
        <v>136</v>
      </c>
      <c r="B151" s="4093" t="s">
        <v>5248</v>
      </c>
      <c r="C151" s="4098" t="s">
        <v>5249</v>
      </c>
      <c r="D151" s="4099" t="s">
        <v>5250</v>
      </c>
      <c r="E151" s="4100"/>
      <c r="F151" s="4097">
        <v>460</v>
      </c>
      <c r="G151" s="4093" t="s">
        <v>5251</v>
      </c>
      <c r="H151" s="4098" t="s">
        <v>5252</v>
      </c>
      <c r="I151" s="4099" t="s">
        <v>5253</v>
      </c>
      <c r="J151" s="4100"/>
      <c r="K151" s="4097">
        <v>784</v>
      </c>
      <c r="L151" s="4093" t="s">
        <v>5254</v>
      </c>
      <c r="M151" s="4098" t="s">
        <v>5255</v>
      </c>
      <c r="N151" s="4099" t="s">
        <v>5256</v>
      </c>
      <c r="O151" s="4100"/>
      <c r="P151" s="4097">
        <v>1108</v>
      </c>
      <c r="Q151" s="4093" t="s">
        <v>5257</v>
      </c>
      <c r="R151" s="4098" t="s">
        <v>5258</v>
      </c>
      <c r="S151" s="4099" t="s">
        <v>5259</v>
      </c>
      <c r="T151" s="2139"/>
      <c r="U151" s="2139"/>
      <c r="V151" s="2139"/>
      <c r="W151" s="2139"/>
      <c r="X151" s="2139"/>
      <c r="Y151" s="2139"/>
      <c r="Z151" s="2139"/>
      <c r="AA151" s="2139"/>
      <c r="AB151" s="2139"/>
      <c r="AC151" s="2139"/>
      <c r="AD151" s="2139"/>
    </row>
    <row r="152" spans="1:30">
      <c r="A152" s="4097">
        <v>137</v>
      </c>
      <c r="B152" s="4093" t="s">
        <v>5260</v>
      </c>
      <c r="C152" s="4098" t="s">
        <v>5261</v>
      </c>
      <c r="D152" s="4099" t="s">
        <v>5262</v>
      </c>
      <c r="E152" s="4100"/>
      <c r="F152" s="4097">
        <v>461</v>
      </c>
      <c r="G152" s="4093" t="s">
        <v>5263</v>
      </c>
      <c r="H152" s="4098" t="s">
        <v>5264</v>
      </c>
      <c r="I152" s="4099" t="s">
        <v>5265</v>
      </c>
      <c r="J152" s="4100"/>
      <c r="K152" s="4097">
        <v>785</v>
      </c>
      <c r="L152" s="4093" t="s">
        <v>5266</v>
      </c>
      <c r="M152" s="4098" t="s">
        <v>5267</v>
      </c>
      <c r="N152" s="4099" t="s">
        <v>5268</v>
      </c>
      <c r="O152" s="4100"/>
      <c r="P152" s="4097">
        <v>1109</v>
      </c>
      <c r="Q152" s="4093" t="s">
        <v>5269</v>
      </c>
      <c r="R152" s="4098" t="s">
        <v>5270</v>
      </c>
      <c r="S152" s="4099" t="s">
        <v>5271</v>
      </c>
      <c r="T152" s="2139"/>
      <c r="U152" s="2139"/>
      <c r="V152" s="2139"/>
      <c r="W152" s="2139"/>
      <c r="X152" s="2139"/>
      <c r="Y152" s="2139"/>
      <c r="Z152" s="2139"/>
      <c r="AA152" s="2139"/>
      <c r="AB152" s="2139"/>
      <c r="AC152" s="2139"/>
      <c r="AD152" s="2139"/>
    </row>
    <row r="153" spans="1:30">
      <c r="A153" s="4097">
        <v>138</v>
      </c>
      <c r="B153" s="4093" t="s">
        <v>5272</v>
      </c>
      <c r="C153" s="4098" t="s">
        <v>5273</v>
      </c>
      <c r="D153" s="4099" t="s">
        <v>5274</v>
      </c>
      <c r="E153" s="4100"/>
      <c r="F153" s="4097">
        <v>462</v>
      </c>
      <c r="G153" s="4093" t="s">
        <v>5275</v>
      </c>
      <c r="H153" s="4098" t="s">
        <v>5276</v>
      </c>
      <c r="I153" s="4099" t="s">
        <v>5277</v>
      </c>
      <c r="J153" s="4100"/>
      <c r="K153" s="4097">
        <v>786</v>
      </c>
      <c r="L153" s="4093" t="s">
        <v>5278</v>
      </c>
      <c r="M153" s="4098" t="s">
        <v>5279</v>
      </c>
      <c r="N153" s="4099" t="s">
        <v>5280</v>
      </c>
      <c r="O153" s="4100"/>
      <c r="P153" s="4097">
        <v>1110</v>
      </c>
      <c r="Q153" s="4093" t="s">
        <v>5281</v>
      </c>
      <c r="R153" s="4098" t="s">
        <v>5282</v>
      </c>
      <c r="S153" s="4099" t="s">
        <v>5283</v>
      </c>
      <c r="T153" s="2139"/>
      <c r="U153" s="2139"/>
      <c r="V153" s="2139"/>
      <c r="W153" s="2139"/>
      <c r="X153" s="2139"/>
      <c r="Y153" s="2139"/>
      <c r="Z153" s="2139"/>
      <c r="AA153" s="2139"/>
      <c r="AB153" s="2139"/>
      <c r="AC153" s="2139"/>
      <c r="AD153" s="2139"/>
    </row>
    <row r="154" spans="1:30">
      <c r="A154" s="4097">
        <v>139</v>
      </c>
      <c r="B154" s="4093" t="s">
        <v>5284</v>
      </c>
      <c r="C154" s="4098" t="s">
        <v>5285</v>
      </c>
      <c r="D154" s="4099" t="s">
        <v>5286</v>
      </c>
      <c r="E154" s="4100"/>
      <c r="F154" s="4097">
        <v>463</v>
      </c>
      <c r="G154" s="4093" t="s">
        <v>5287</v>
      </c>
      <c r="H154" s="4098" t="s">
        <v>5288</v>
      </c>
      <c r="I154" s="4099" t="s">
        <v>5289</v>
      </c>
      <c r="J154" s="4100"/>
      <c r="K154" s="4097">
        <v>787</v>
      </c>
      <c r="L154" s="4093" t="s">
        <v>5290</v>
      </c>
      <c r="M154" s="4098" t="s">
        <v>5291</v>
      </c>
      <c r="N154" s="4099" t="s">
        <v>5292</v>
      </c>
      <c r="O154" s="4100"/>
      <c r="P154" s="4097">
        <v>1111</v>
      </c>
      <c r="Q154" s="4093" t="s">
        <v>5293</v>
      </c>
      <c r="R154" s="4098" t="s">
        <v>5294</v>
      </c>
      <c r="S154" s="4099" t="s">
        <v>5295</v>
      </c>
      <c r="T154" s="2139"/>
      <c r="U154" s="2139"/>
      <c r="V154" s="2139"/>
      <c r="W154" s="2139"/>
      <c r="X154" s="2139"/>
      <c r="Y154" s="2139"/>
      <c r="Z154" s="2139"/>
      <c r="AA154" s="2139"/>
      <c r="AB154" s="2139"/>
      <c r="AC154" s="2139"/>
      <c r="AD154" s="2139"/>
    </row>
    <row r="155" spans="1:30">
      <c r="A155" s="4097">
        <v>140</v>
      </c>
      <c r="B155" s="4093" t="s">
        <v>5296</v>
      </c>
      <c r="C155" s="4098" t="s">
        <v>5297</v>
      </c>
      <c r="D155" s="4099" t="s">
        <v>5298</v>
      </c>
      <c r="E155" s="4100"/>
      <c r="F155" s="4097">
        <v>464</v>
      </c>
      <c r="G155" s="4093" t="s">
        <v>5299</v>
      </c>
      <c r="H155" s="4098" t="s">
        <v>5300</v>
      </c>
      <c r="I155" s="4099" t="s">
        <v>5301</v>
      </c>
      <c r="J155" s="4100"/>
      <c r="K155" s="4097">
        <v>788</v>
      </c>
      <c r="L155" s="4093" t="s">
        <v>5302</v>
      </c>
      <c r="M155" s="4098" t="s">
        <v>5303</v>
      </c>
      <c r="N155" s="4099" t="s">
        <v>5304</v>
      </c>
      <c r="O155" s="4100"/>
      <c r="P155" s="4097">
        <v>1112</v>
      </c>
      <c r="Q155" s="4093" t="s">
        <v>5305</v>
      </c>
      <c r="R155" s="4098" t="s">
        <v>5306</v>
      </c>
      <c r="S155" s="4099" t="s">
        <v>5307</v>
      </c>
      <c r="T155" s="2139"/>
      <c r="U155" s="2139"/>
      <c r="V155" s="2139"/>
      <c r="W155" s="2139"/>
      <c r="X155" s="2139"/>
      <c r="Y155" s="2139"/>
      <c r="Z155" s="2139"/>
      <c r="AA155" s="2139"/>
      <c r="AB155" s="2139"/>
      <c r="AC155" s="2139"/>
      <c r="AD155" s="2139"/>
    </row>
    <row r="156" spans="1:30">
      <c r="A156" s="4097">
        <v>141</v>
      </c>
      <c r="B156" s="4093" t="s">
        <v>5308</v>
      </c>
      <c r="C156" s="4098" t="s">
        <v>5309</v>
      </c>
      <c r="D156" s="4099" t="s">
        <v>5310</v>
      </c>
      <c r="E156" s="4100"/>
      <c r="F156" s="4097">
        <v>465</v>
      </c>
      <c r="G156" s="4093" t="s">
        <v>5311</v>
      </c>
      <c r="H156" s="4098" t="s">
        <v>5312</v>
      </c>
      <c r="I156" s="4099" t="s">
        <v>5313</v>
      </c>
      <c r="J156" s="4100"/>
      <c r="K156" s="4097">
        <v>789</v>
      </c>
      <c r="L156" s="4093" t="s">
        <v>5314</v>
      </c>
      <c r="M156" s="4098" t="s">
        <v>5315</v>
      </c>
      <c r="N156" s="4099" t="s">
        <v>5316</v>
      </c>
      <c r="O156" s="4100"/>
      <c r="P156" s="4097">
        <v>1113</v>
      </c>
      <c r="Q156" s="4093" t="s">
        <v>5317</v>
      </c>
      <c r="R156" s="4098" t="s">
        <v>5318</v>
      </c>
      <c r="S156" s="4099" t="s">
        <v>5319</v>
      </c>
      <c r="T156" s="2139"/>
      <c r="U156" s="2139"/>
      <c r="V156" s="2139"/>
      <c r="W156" s="2139"/>
      <c r="X156" s="2139"/>
      <c r="Y156" s="2139"/>
      <c r="Z156" s="2139"/>
      <c r="AA156" s="2139"/>
      <c r="AB156" s="2139"/>
      <c r="AC156" s="2139"/>
      <c r="AD156" s="2139"/>
    </row>
    <row r="157" spans="1:30">
      <c r="A157" s="4097">
        <v>142</v>
      </c>
      <c r="B157" s="4093" t="s">
        <v>5320</v>
      </c>
      <c r="C157" s="4098" t="s">
        <v>5321</v>
      </c>
      <c r="D157" s="4099" t="s">
        <v>5322</v>
      </c>
      <c r="E157" s="4100"/>
      <c r="F157" s="4097">
        <v>466</v>
      </c>
      <c r="G157" s="4093" t="s">
        <v>5323</v>
      </c>
      <c r="H157" s="4098" t="s">
        <v>5324</v>
      </c>
      <c r="I157" s="4099" t="s">
        <v>5325</v>
      </c>
      <c r="J157" s="4100"/>
      <c r="K157" s="4097">
        <v>790</v>
      </c>
      <c r="L157" s="4093" t="s">
        <v>5326</v>
      </c>
      <c r="M157" s="4098" t="s">
        <v>5327</v>
      </c>
      <c r="N157" s="4099" t="s">
        <v>5328</v>
      </c>
      <c r="O157" s="4100"/>
      <c r="P157" s="4097">
        <v>1114</v>
      </c>
      <c r="Q157" s="4093" t="s">
        <v>5329</v>
      </c>
      <c r="R157" s="4098" t="s">
        <v>5330</v>
      </c>
      <c r="S157" s="4099" t="s">
        <v>5331</v>
      </c>
      <c r="T157" s="2139"/>
      <c r="U157" s="2139"/>
      <c r="V157" s="2139"/>
      <c r="W157" s="2139"/>
      <c r="X157" s="2139"/>
      <c r="Y157" s="2139"/>
      <c r="Z157" s="2139"/>
      <c r="AA157" s="2139"/>
      <c r="AB157" s="2139"/>
      <c r="AC157" s="2139"/>
      <c r="AD157" s="2139"/>
    </row>
    <row r="158" spans="1:30" ht="25.5">
      <c r="A158" s="4097">
        <v>143</v>
      </c>
      <c r="B158" s="4093" t="s">
        <v>5332</v>
      </c>
      <c r="C158" s="4098" t="s">
        <v>5333</v>
      </c>
      <c r="D158" s="4099" t="s">
        <v>5334</v>
      </c>
      <c r="E158" s="4100"/>
      <c r="F158" s="4097">
        <v>467</v>
      </c>
      <c r="G158" s="4093" t="s">
        <v>5335</v>
      </c>
      <c r="H158" s="4098" t="s">
        <v>5336</v>
      </c>
      <c r="I158" s="4099" t="s">
        <v>5337</v>
      </c>
      <c r="J158" s="4100"/>
      <c r="K158" s="4097">
        <v>791</v>
      </c>
      <c r="L158" s="4093" t="s">
        <v>5338</v>
      </c>
      <c r="M158" s="4098" t="s">
        <v>5339</v>
      </c>
      <c r="N158" s="4099" t="s">
        <v>5340</v>
      </c>
      <c r="O158" s="4100"/>
      <c r="P158" s="4097">
        <v>1115</v>
      </c>
      <c r="Q158" s="4093" t="s">
        <v>5341</v>
      </c>
      <c r="R158" s="4098" t="s">
        <v>5342</v>
      </c>
      <c r="S158" s="4099" t="s">
        <v>5343</v>
      </c>
      <c r="T158" s="2139"/>
      <c r="U158" s="2139"/>
      <c r="V158" s="2139"/>
      <c r="W158" s="2139"/>
      <c r="X158" s="2139"/>
      <c r="Y158" s="2139"/>
      <c r="Z158" s="2139"/>
      <c r="AA158" s="2139"/>
      <c r="AB158" s="2139"/>
      <c r="AC158" s="2139"/>
      <c r="AD158" s="2139"/>
    </row>
    <row r="159" spans="1:30" ht="25.5">
      <c r="A159" s="4097">
        <v>144</v>
      </c>
      <c r="B159" s="4093" t="s">
        <v>5344</v>
      </c>
      <c r="C159" s="4098" t="s">
        <v>5345</v>
      </c>
      <c r="D159" s="4099" t="s">
        <v>5346</v>
      </c>
      <c r="E159" s="4100"/>
      <c r="F159" s="4097">
        <v>468</v>
      </c>
      <c r="G159" s="4093" t="s">
        <v>5347</v>
      </c>
      <c r="H159" s="4098" t="s">
        <v>5348</v>
      </c>
      <c r="I159" s="4099" t="s">
        <v>5349</v>
      </c>
      <c r="J159" s="4100"/>
      <c r="K159" s="4097">
        <v>792</v>
      </c>
      <c r="L159" s="4093" t="s">
        <v>5350</v>
      </c>
      <c r="M159" s="4098" t="s">
        <v>5351</v>
      </c>
      <c r="N159" s="4099" t="s">
        <v>5352</v>
      </c>
      <c r="O159" s="4100"/>
      <c r="P159" s="4097">
        <v>1116</v>
      </c>
      <c r="Q159" s="4093" t="s">
        <v>5353</v>
      </c>
      <c r="R159" s="4098" t="s">
        <v>5354</v>
      </c>
      <c r="S159" s="4099" t="s">
        <v>5355</v>
      </c>
      <c r="T159" s="2139"/>
      <c r="U159" s="2139"/>
      <c r="V159" s="2139"/>
      <c r="W159" s="2139"/>
      <c r="X159" s="2139"/>
      <c r="Y159" s="2139"/>
      <c r="Z159" s="2139"/>
      <c r="AA159" s="2139"/>
      <c r="AB159" s="2139"/>
      <c r="AC159" s="2139"/>
      <c r="AD159" s="2139"/>
    </row>
    <row r="160" spans="1:30" ht="25.5">
      <c r="A160" s="4097">
        <v>145</v>
      </c>
      <c r="B160" s="4093" t="s">
        <v>5356</v>
      </c>
      <c r="C160" s="4098" t="s">
        <v>5357</v>
      </c>
      <c r="D160" s="4099" t="s">
        <v>5358</v>
      </c>
      <c r="E160" s="4100"/>
      <c r="F160" s="4097">
        <v>469</v>
      </c>
      <c r="G160" s="4093" t="s">
        <v>5359</v>
      </c>
      <c r="H160" s="4098" t="s">
        <v>5360</v>
      </c>
      <c r="I160" s="4099" t="s">
        <v>5361</v>
      </c>
      <c r="J160" s="4100"/>
      <c r="K160" s="4097">
        <v>793</v>
      </c>
      <c r="L160" s="4093" t="s">
        <v>5362</v>
      </c>
      <c r="M160" s="4098" t="s">
        <v>5363</v>
      </c>
      <c r="N160" s="4099" t="s">
        <v>5364</v>
      </c>
      <c r="O160" s="4100"/>
      <c r="P160" s="4097">
        <v>1117</v>
      </c>
      <c r="Q160" s="4093" t="s">
        <v>5365</v>
      </c>
      <c r="R160" s="4098" t="s">
        <v>5366</v>
      </c>
      <c r="S160" s="4099" t="s">
        <v>5367</v>
      </c>
      <c r="T160" s="2139"/>
      <c r="U160" s="2139"/>
      <c r="V160" s="2139"/>
      <c r="W160" s="2139"/>
      <c r="X160" s="2139"/>
      <c r="Y160" s="2139"/>
      <c r="Z160" s="2139"/>
      <c r="AA160" s="2139"/>
      <c r="AB160" s="2139"/>
      <c r="AC160" s="2139"/>
      <c r="AD160" s="2139"/>
    </row>
    <row r="161" spans="1:30">
      <c r="A161" s="4097">
        <v>146</v>
      </c>
      <c r="B161" s="4093" t="s">
        <v>5368</v>
      </c>
      <c r="C161" s="4098" t="s">
        <v>5369</v>
      </c>
      <c r="D161" s="4099" t="s">
        <v>5370</v>
      </c>
      <c r="E161" s="4100"/>
      <c r="F161" s="4097">
        <v>470</v>
      </c>
      <c r="G161" s="4093" t="s">
        <v>5371</v>
      </c>
      <c r="H161" s="4098" t="s">
        <v>5372</v>
      </c>
      <c r="I161" s="4099" t="s">
        <v>5373</v>
      </c>
      <c r="J161" s="4100"/>
      <c r="K161" s="4097">
        <v>794</v>
      </c>
      <c r="L161" s="4093" t="s">
        <v>5374</v>
      </c>
      <c r="M161" s="4098" t="s">
        <v>5375</v>
      </c>
      <c r="N161" s="4099" t="s">
        <v>5376</v>
      </c>
      <c r="O161" s="4100"/>
      <c r="P161" s="4097">
        <v>1118</v>
      </c>
      <c r="Q161" s="4093" t="s">
        <v>5377</v>
      </c>
      <c r="R161" s="4098" t="s">
        <v>5378</v>
      </c>
      <c r="S161" s="4099" t="s">
        <v>5379</v>
      </c>
      <c r="T161" s="2139"/>
      <c r="U161" s="2139"/>
      <c r="V161" s="2139"/>
      <c r="W161" s="2139"/>
      <c r="X161" s="2139"/>
      <c r="Y161" s="2139"/>
      <c r="Z161" s="2139"/>
      <c r="AA161" s="2139"/>
      <c r="AB161" s="2139"/>
      <c r="AC161" s="2139"/>
      <c r="AD161" s="2139"/>
    </row>
    <row r="162" spans="1:30">
      <c r="A162" s="4097">
        <v>147</v>
      </c>
      <c r="B162" s="4093" t="s">
        <v>5380</v>
      </c>
      <c r="C162" s="4098" t="s">
        <v>5381</v>
      </c>
      <c r="D162" s="4099" t="s">
        <v>5382</v>
      </c>
      <c r="E162" s="4100"/>
      <c r="F162" s="4097">
        <v>471</v>
      </c>
      <c r="G162" s="4093" t="s">
        <v>5383</v>
      </c>
      <c r="H162" s="4098" t="s">
        <v>5384</v>
      </c>
      <c r="I162" s="4099" t="s">
        <v>5385</v>
      </c>
      <c r="J162" s="4100"/>
      <c r="K162" s="4097">
        <v>795</v>
      </c>
      <c r="L162" s="4093" t="s">
        <v>5386</v>
      </c>
      <c r="M162" s="4098" t="s">
        <v>5387</v>
      </c>
      <c r="N162" s="4099" t="s">
        <v>5388</v>
      </c>
      <c r="O162" s="4100"/>
      <c r="P162" s="4097">
        <v>1119</v>
      </c>
      <c r="Q162" s="4093" t="s">
        <v>5389</v>
      </c>
      <c r="R162" s="4098" t="s">
        <v>5390</v>
      </c>
      <c r="S162" s="4099" t="s">
        <v>5391</v>
      </c>
      <c r="T162" s="2139"/>
      <c r="U162" s="2139"/>
      <c r="V162" s="2139"/>
      <c r="W162" s="2139"/>
      <c r="X162" s="2139"/>
      <c r="Y162" s="2139"/>
      <c r="Z162" s="2139"/>
      <c r="AA162" s="2139"/>
      <c r="AB162" s="2139"/>
      <c r="AC162" s="2139"/>
      <c r="AD162" s="2139"/>
    </row>
    <row r="163" spans="1:30">
      <c r="A163" s="4097">
        <v>148</v>
      </c>
      <c r="B163" s="4093" t="s">
        <v>5392</v>
      </c>
      <c r="C163" s="4098" t="s">
        <v>5393</v>
      </c>
      <c r="D163" s="4099" t="s">
        <v>5394</v>
      </c>
      <c r="E163" s="4100"/>
      <c r="F163" s="4097">
        <v>472</v>
      </c>
      <c r="G163" s="4093" t="s">
        <v>5395</v>
      </c>
      <c r="H163" s="4098" t="s">
        <v>5396</v>
      </c>
      <c r="I163" s="4099" t="s">
        <v>5397</v>
      </c>
      <c r="J163" s="4100"/>
      <c r="K163" s="4097">
        <v>796</v>
      </c>
      <c r="L163" s="4093" t="s">
        <v>5398</v>
      </c>
      <c r="M163" s="4098" t="s">
        <v>5399</v>
      </c>
      <c r="N163" s="4099" t="s">
        <v>5400</v>
      </c>
      <c r="O163" s="4100"/>
      <c r="P163" s="4097">
        <v>1120</v>
      </c>
      <c r="Q163" s="4093" t="s">
        <v>5401</v>
      </c>
      <c r="R163" s="4098" t="s">
        <v>5402</v>
      </c>
      <c r="S163" s="4099" t="s">
        <v>5403</v>
      </c>
      <c r="T163" s="2139"/>
      <c r="U163" s="2139"/>
      <c r="V163" s="2139"/>
      <c r="W163" s="2139"/>
      <c r="X163" s="2139"/>
      <c r="Y163" s="2139"/>
      <c r="Z163" s="2139"/>
      <c r="AA163" s="2139"/>
      <c r="AB163" s="2139"/>
      <c r="AC163" s="2139"/>
      <c r="AD163" s="2139"/>
    </row>
    <row r="164" spans="1:30">
      <c r="A164" s="4097">
        <v>149</v>
      </c>
      <c r="B164" s="4093" t="s">
        <v>5404</v>
      </c>
      <c r="C164" s="4098" t="s">
        <v>5405</v>
      </c>
      <c r="D164" s="4099" t="s">
        <v>5406</v>
      </c>
      <c r="E164" s="4100"/>
      <c r="F164" s="4097">
        <v>473</v>
      </c>
      <c r="G164" s="4093" t="s">
        <v>5407</v>
      </c>
      <c r="H164" s="4098" t="s">
        <v>5408</v>
      </c>
      <c r="I164" s="4099" t="s">
        <v>5409</v>
      </c>
      <c r="J164" s="4100"/>
      <c r="K164" s="4097">
        <v>797</v>
      </c>
      <c r="L164" s="4093" t="s">
        <v>5410</v>
      </c>
      <c r="M164" s="4098" t="s">
        <v>5411</v>
      </c>
      <c r="N164" s="4099" t="s">
        <v>5412</v>
      </c>
      <c r="O164" s="4100"/>
      <c r="P164" s="4097">
        <v>1121</v>
      </c>
      <c r="Q164" s="4093" t="s">
        <v>5413</v>
      </c>
      <c r="R164" s="4098" t="s">
        <v>5414</v>
      </c>
      <c r="S164" s="4099" t="s">
        <v>758</v>
      </c>
      <c r="T164" s="2139"/>
      <c r="U164" s="2139"/>
      <c r="V164" s="2139"/>
      <c r="W164" s="2139"/>
      <c r="X164" s="2139"/>
      <c r="Y164" s="2139"/>
      <c r="Z164" s="2139"/>
      <c r="AA164" s="2139"/>
      <c r="AB164" s="2139"/>
      <c r="AC164" s="2139"/>
      <c r="AD164" s="2139"/>
    </row>
    <row r="165" spans="1:30">
      <c r="A165" s="4097">
        <v>150</v>
      </c>
      <c r="B165" s="4093" t="s">
        <v>5415</v>
      </c>
      <c r="C165" s="4098" t="s">
        <v>5416</v>
      </c>
      <c r="D165" s="4099" t="s">
        <v>5417</v>
      </c>
      <c r="E165" s="4100"/>
      <c r="F165" s="4097">
        <v>474</v>
      </c>
      <c r="G165" s="4093" t="s">
        <v>5418</v>
      </c>
      <c r="H165" s="4098" t="s">
        <v>5419</v>
      </c>
      <c r="I165" s="4099" t="s">
        <v>5420</v>
      </c>
      <c r="J165" s="4100"/>
      <c r="K165" s="4097">
        <v>798</v>
      </c>
      <c r="L165" s="4093" t="s">
        <v>5421</v>
      </c>
      <c r="M165" s="4098" t="s">
        <v>5422</v>
      </c>
      <c r="N165" s="4099" t="s">
        <v>5423</v>
      </c>
      <c r="O165" s="4100"/>
      <c r="P165" s="4097">
        <v>1122</v>
      </c>
      <c r="Q165" s="4093" t="s">
        <v>5424</v>
      </c>
      <c r="R165" s="4098" t="s">
        <v>5425</v>
      </c>
      <c r="S165" s="4099" t="s">
        <v>5426</v>
      </c>
      <c r="T165" s="2139"/>
      <c r="U165" s="2139"/>
      <c r="V165" s="2139"/>
      <c r="W165" s="2139"/>
      <c r="X165" s="2139"/>
      <c r="Y165" s="2139"/>
      <c r="Z165" s="2139"/>
      <c r="AA165" s="2139"/>
      <c r="AB165" s="2139"/>
      <c r="AC165" s="2139"/>
      <c r="AD165" s="2139"/>
    </row>
    <row r="166" spans="1:30">
      <c r="A166" s="4097">
        <v>151</v>
      </c>
      <c r="B166" s="4093" t="s">
        <v>5427</v>
      </c>
      <c r="C166" s="4098" t="s">
        <v>5428</v>
      </c>
      <c r="D166" s="4099" t="s">
        <v>5429</v>
      </c>
      <c r="E166" s="4100"/>
      <c r="F166" s="4097">
        <v>475</v>
      </c>
      <c r="G166" s="4093" t="s">
        <v>5430</v>
      </c>
      <c r="H166" s="4098" t="s">
        <v>5431</v>
      </c>
      <c r="I166" s="4099" t="s">
        <v>5432</v>
      </c>
      <c r="J166" s="4100"/>
      <c r="K166" s="4097">
        <v>799</v>
      </c>
      <c r="L166" s="4093" t="s">
        <v>5433</v>
      </c>
      <c r="M166" s="4098" t="s">
        <v>5434</v>
      </c>
      <c r="N166" s="4099" t="s">
        <v>5435</v>
      </c>
      <c r="O166" s="4100"/>
      <c r="P166" s="4097">
        <v>1123</v>
      </c>
      <c r="Q166" s="4093" t="s">
        <v>5436</v>
      </c>
      <c r="R166" s="4098" t="s">
        <v>5437</v>
      </c>
      <c r="S166" s="4099" t="s">
        <v>5438</v>
      </c>
      <c r="T166" s="2139"/>
      <c r="U166" s="2139"/>
      <c r="V166" s="2139"/>
      <c r="W166" s="2139"/>
      <c r="X166" s="2139"/>
      <c r="Y166" s="2139"/>
      <c r="Z166" s="2139"/>
      <c r="AA166" s="2139"/>
      <c r="AB166" s="2139"/>
      <c r="AC166" s="2139"/>
      <c r="AD166" s="2139"/>
    </row>
    <row r="167" spans="1:30">
      <c r="A167" s="4097">
        <v>152</v>
      </c>
      <c r="B167" s="4093" t="s">
        <v>5439</v>
      </c>
      <c r="C167" s="4098" t="s">
        <v>5440</v>
      </c>
      <c r="D167" s="4099" t="s">
        <v>5441</v>
      </c>
      <c r="E167" s="4100"/>
      <c r="F167" s="4097">
        <v>476</v>
      </c>
      <c r="G167" s="4093" t="s">
        <v>5442</v>
      </c>
      <c r="H167" s="4098" t="s">
        <v>5443</v>
      </c>
      <c r="I167" s="4099" t="s">
        <v>5444</v>
      </c>
      <c r="J167" s="4100"/>
      <c r="K167" s="4097">
        <v>800</v>
      </c>
      <c r="L167" s="4093" t="s">
        <v>5445</v>
      </c>
      <c r="M167" s="4098" t="s">
        <v>5446</v>
      </c>
      <c r="N167" s="4099" t="s">
        <v>5447</v>
      </c>
      <c r="O167" s="4100"/>
      <c r="P167" s="4097">
        <v>1124</v>
      </c>
      <c r="Q167" s="4093" t="s">
        <v>5448</v>
      </c>
      <c r="R167" s="4098" t="s">
        <v>5449</v>
      </c>
      <c r="S167" s="4099" t="s">
        <v>5450</v>
      </c>
      <c r="T167" s="2139"/>
      <c r="U167" s="2139"/>
      <c r="V167" s="2139"/>
      <c r="W167" s="2139"/>
      <c r="X167" s="2139"/>
      <c r="Y167" s="2139"/>
      <c r="Z167" s="2139"/>
      <c r="AA167" s="2139"/>
      <c r="AB167" s="2139"/>
      <c r="AC167" s="2139"/>
      <c r="AD167" s="2139"/>
    </row>
    <row r="168" spans="1:30">
      <c r="A168" s="4097">
        <v>153</v>
      </c>
      <c r="B168" s="4093" t="s">
        <v>5451</v>
      </c>
      <c r="C168" s="4098" t="s">
        <v>5452</v>
      </c>
      <c r="D168" s="4099" t="s">
        <v>5453</v>
      </c>
      <c r="E168" s="4100"/>
      <c r="F168" s="4097">
        <v>477</v>
      </c>
      <c r="G168" s="4093" t="s">
        <v>5454</v>
      </c>
      <c r="H168" s="4098" t="s">
        <v>5455</v>
      </c>
      <c r="I168" s="4099" t="s">
        <v>5456</v>
      </c>
      <c r="J168" s="4100"/>
      <c r="K168" s="4097">
        <v>801</v>
      </c>
      <c r="L168" s="4093" t="s">
        <v>5457</v>
      </c>
      <c r="M168" s="4098" t="s">
        <v>5458</v>
      </c>
      <c r="N168" s="4099" t="s">
        <v>5447</v>
      </c>
      <c r="O168" s="4100"/>
      <c r="P168" s="4097">
        <v>1125</v>
      </c>
      <c r="Q168" s="4093" t="s">
        <v>5459</v>
      </c>
      <c r="R168" s="4098" t="s">
        <v>5460</v>
      </c>
      <c r="S168" s="4099" t="s">
        <v>5461</v>
      </c>
      <c r="T168" s="2139"/>
      <c r="U168" s="2139"/>
      <c r="V168" s="2139"/>
      <c r="W168" s="2139"/>
      <c r="X168" s="2139"/>
      <c r="Y168" s="2139"/>
      <c r="Z168" s="2139"/>
      <c r="AA168" s="2139"/>
      <c r="AB168" s="2139"/>
      <c r="AC168" s="2139"/>
      <c r="AD168" s="2139"/>
    </row>
    <row r="169" spans="1:30">
      <c r="A169" s="4097">
        <v>154</v>
      </c>
      <c r="B169" s="4093" t="s">
        <v>5462</v>
      </c>
      <c r="C169" s="4098" t="s">
        <v>5463</v>
      </c>
      <c r="D169" s="4099" t="s">
        <v>5464</v>
      </c>
      <c r="E169" s="4100"/>
      <c r="F169" s="4097">
        <v>478</v>
      </c>
      <c r="G169" s="4093" t="s">
        <v>5465</v>
      </c>
      <c r="H169" s="4098" t="s">
        <v>5466</v>
      </c>
      <c r="I169" s="4099" t="s">
        <v>5467</v>
      </c>
      <c r="J169" s="4100"/>
      <c r="K169" s="4097">
        <v>802</v>
      </c>
      <c r="L169" s="4093" t="s">
        <v>5468</v>
      </c>
      <c r="M169" s="4098" t="s">
        <v>5469</v>
      </c>
      <c r="N169" s="4099" t="s">
        <v>5470</v>
      </c>
      <c r="O169" s="4100"/>
      <c r="P169" s="4097">
        <v>1126</v>
      </c>
      <c r="Q169" s="4093" t="s">
        <v>5471</v>
      </c>
      <c r="R169" s="4098" t="s">
        <v>5472</v>
      </c>
      <c r="S169" s="4099" t="s">
        <v>5473</v>
      </c>
      <c r="T169" s="2139"/>
      <c r="U169" s="2139"/>
      <c r="V169" s="2139"/>
      <c r="W169" s="2139"/>
      <c r="X169" s="2139"/>
      <c r="Y169" s="2139"/>
      <c r="Z169" s="2139"/>
      <c r="AA169" s="2139"/>
      <c r="AB169" s="2139"/>
      <c r="AC169" s="2139"/>
      <c r="AD169" s="2139"/>
    </row>
    <row r="170" spans="1:30" ht="25.5">
      <c r="A170" s="4097">
        <v>155</v>
      </c>
      <c r="B170" s="4093" t="s">
        <v>5474</v>
      </c>
      <c r="C170" s="4098" t="s">
        <v>5475</v>
      </c>
      <c r="D170" s="4099" t="s">
        <v>5476</v>
      </c>
      <c r="E170" s="4100"/>
      <c r="F170" s="4097">
        <v>479</v>
      </c>
      <c r="G170" s="4093" t="s">
        <v>5477</v>
      </c>
      <c r="H170" s="4098" t="s">
        <v>5478</v>
      </c>
      <c r="I170" s="4099" t="s">
        <v>5479</v>
      </c>
      <c r="J170" s="4100"/>
      <c r="K170" s="4097">
        <v>803</v>
      </c>
      <c r="L170" s="4093" t="s">
        <v>5480</v>
      </c>
      <c r="M170" s="4098" t="s">
        <v>5481</v>
      </c>
      <c r="N170" s="4099" t="s">
        <v>4778</v>
      </c>
      <c r="O170" s="4100"/>
      <c r="P170" s="4097">
        <v>1127</v>
      </c>
      <c r="Q170" s="4093" t="s">
        <v>5482</v>
      </c>
      <c r="R170" s="4098" t="s">
        <v>5483</v>
      </c>
      <c r="S170" s="4099" t="s">
        <v>5484</v>
      </c>
      <c r="T170" s="2139"/>
      <c r="U170" s="2139"/>
      <c r="V170" s="2139"/>
      <c r="W170" s="2139"/>
      <c r="X170" s="2139"/>
      <c r="Y170" s="2139"/>
      <c r="Z170" s="2139"/>
      <c r="AA170" s="2139"/>
      <c r="AB170" s="2139"/>
      <c r="AC170" s="2139"/>
      <c r="AD170" s="2139"/>
    </row>
    <row r="171" spans="1:30" ht="25.5">
      <c r="A171" s="4097">
        <v>156</v>
      </c>
      <c r="B171" s="4093" t="s">
        <v>5485</v>
      </c>
      <c r="C171" s="4098" t="s">
        <v>5486</v>
      </c>
      <c r="D171" s="4099" t="s">
        <v>5487</v>
      </c>
      <c r="E171" s="4100"/>
      <c r="F171" s="4097">
        <v>480</v>
      </c>
      <c r="G171" s="4093" t="s">
        <v>5488</v>
      </c>
      <c r="H171" s="4098" t="s">
        <v>5489</v>
      </c>
      <c r="I171" s="4099" t="s">
        <v>5490</v>
      </c>
      <c r="J171" s="4100"/>
      <c r="K171" s="4097">
        <v>804</v>
      </c>
      <c r="L171" s="4093" t="s">
        <v>5491</v>
      </c>
      <c r="M171" s="4098" t="s">
        <v>5492</v>
      </c>
      <c r="N171" s="4099" t="s">
        <v>5493</v>
      </c>
      <c r="O171" s="4100"/>
      <c r="P171" s="4097">
        <v>1128</v>
      </c>
      <c r="Q171" s="4093" t="s">
        <v>5494</v>
      </c>
      <c r="R171" s="4098" t="s">
        <v>5495</v>
      </c>
      <c r="S171" s="4099" t="s">
        <v>5496</v>
      </c>
      <c r="T171" s="2139"/>
      <c r="U171" s="2139"/>
      <c r="V171" s="2139"/>
      <c r="W171" s="2139"/>
      <c r="X171" s="2139"/>
      <c r="Y171" s="2139"/>
      <c r="Z171" s="2139"/>
      <c r="AA171" s="2139"/>
      <c r="AB171" s="2139"/>
      <c r="AC171" s="2139"/>
      <c r="AD171" s="2139"/>
    </row>
    <row r="172" spans="1:30">
      <c r="A172" s="4097">
        <v>157</v>
      </c>
      <c r="B172" s="4093" t="s">
        <v>5497</v>
      </c>
      <c r="C172" s="4098" t="s">
        <v>5498</v>
      </c>
      <c r="D172" s="4099" t="s">
        <v>5499</v>
      </c>
      <c r="E172" s="4100"/>
      <c r="F172" s="4097">
        <v>481</v>
      </c>
      <c r="G172" s="4093" t="s">
        <v>5500</v>
      </c>
      <c r="H172" s="4098" t="s">
        <v>5501</v>
      </c>
      <c r="I172" s="4099" t="s">
        <v>5502</v>
      </c>
      <c r="J172" s="4100"/>
      <c r="K172" s="4097">
        <v>805</v>
      </c>
      <c r="L172" s="4093" t="s">
        <v>5503</v>
      </c>
      <c r="M172" s="4098" t="s">
        <v>5504</v>
      </c>
      <c r="N172" s="4099" t="s">
        <v>5505</v>
      </c>
      <c r="O172" s="4100"/>
      <c r="P172" s="4097">
        <v>1129</v>
      </c>
      <c r="Q172" s="4093" t="s">
        <v>5506</v>
      </c>
      <c r="R172" s="4098" t="s">
        <v>5507</v>
      </c>
      <c r="S172" s="4099" t="s">
        <v>5508</v>
      </c>
      <c r="T172" s="2139"/>
      <c r="U172" s="2139"/>
      <c r="V172" s="2139"/>
      <c r="W172" s="2139"/>
      <c r="X172" s="2139"/>
      <c r="Y172" s="2139"/>
      <c r="Z172" s="2139"/>
      <c r="AA172" s="2139"/>
      <c r="AB172" s="2139"/>
      <c r="AC172" s="2139"/>
      <c r="AD172" s="2139"/>
    </row>
    <row r="173" spans="1:30" ht="25.5">
      <c r="A173" s="4097">
        <v>158</v>
      </c>
      <c r="B173" s="4093" t="s">
        <v>5509</v>
      </c>
      <c r="C173" s="4098" t="s">
        <v>5510</v>
      </c>
      <c r="D173" s="4099" t="s">
        <v>5511</v>
      </c>
      <c r="E173" s="4100"/>
      <c r="F173" s="4097">
        <v>482</v>
      </c>
      <c r="G173" s="4093" t="s">
        <v>5512</v>
      </c>
      <c r="H173" s="4098" t="s">
        <v>5513</v>
      </c>
      <c r="I173" s="4099" t="s">
        <v>5514</v>
      </c>
      <c r="J173" s="4100"/>
      <c r="K173" s="4097">
        <v>806</v>
      </c>
      <c r="L173" s="4093" t="s">
        <v>5515</v>
      </c>
      <c r="M173" s="4098" t="s">
        <v>5516</v>
      </c>
      <c r="N173" s="4099" t="s">
        <v>5517</v>
      </c>
      <c r="O173" s="4100"/>
      <c r="P173" s="4097">
        <v>1130</v>
      </c>
      <c r="Q173" s="4093" t="s">
        <v>5518</v>
      </c>
      <c r="R173" s="4098" t="s">
        <v>5519</v>
      </c>
      <c r="S173" s="4099" t="s">
        <v>5520</v>
      </c>
      <c r="T173" s="2139"/>
      <c r="U173" s="2139"/>
      <c r="V173" s="2139"/>
      <c r="W173" s="2139"/>
      <c r="X173" s="2139"/>
      <c r="Y173" s="2139"/>
      <c r="Z173" s="2139"/>
      <c r="AA173" s="2139"/>
      <c r="AB173" s="2139"/>
      <c r="AC173" s="2139"/>
      <c r="AD173" s="2139"/>
    </row>
    <row r="174" spans="1:30">
      <c r="A174" s="4097">
        <v>159</v>
      </c>
      <c r="B174" s="4093" t="s">
        <v>5521</v>
      </c>
      <c r="C174" s="4098" t="s">
        <v>5522</v>
      </c>
      <c r="D174" s="4099" t="s">
        <v>5523</v>
      </c>
      <c r="E174" s="4100"/>
      <c r="F174" s="4097">
        <v>483</v>
      </c>
      <c r="G174" s="4093" t="s">
        <v>5524</v>
      </c>
      <c r="H174" s="4098" t="s">
        <v>5525</v>
      </c>
      <c r="I174" s="4099" t="s">
        <v>5526</v>
      </c>
      <c r="J174" s="4100"/>
      <c r="K174" s="4097">
        <v>807</v>
      </c>
      <c r="L174" s="4093" t="s">
        <v>5527</v>
      </c>
      <c r="M174" s="4098" t="s">
        <v>5528</v>
      </c>
      <c r="N174" s="4099" t="s">
        <v>5529</v>
      </c>
      <c r="O174" s="4100"/>
      <c r="P174" s="4097">
        <v>1131</v>
      </c>
      <c r="Q174" s="4093" t="s">
        <v>5530</v>
      </c>
      <c r="R174" s="4098" t="s">
        <v>3719</v>
      </c>
      <c r="S174" s="4099" t="s">
        <v>5531</v>
      </c>
      <c r="T174" s="2139"/>
      <c r="U174" s="2139"/>
      <c r="V174" s="2139"/>
      <c r="W174" s="2139"/>
      <c r="X174" s="2139"/>
      <c r="Y174" s="2139"/>
      <c r="Z174" s="2139"/>
      <c r="AA174" s="2139"/>
      <c r="AB174" s="2139"/>
      <c r="AC174" s="2139"/>
      <c r="AD174" s="2139"/>
    </row>
    <row r="175" spans="1:30" ht="25.5">
      <c r="A175" s="4097">
        <v>160</v>
      </c>
      <c r="B175" s="4093" t="s">
        <v>5532</v>
      </c>
      <c r="C175" s="4098" t="s">
        <v>5533</v>
      </c>
      <c r="D175" s="4099" t="s">
        <v>5534</v>
      </c>
      <c r="E175" s="4100"/>
      <c r="F175" s="4097">
        <v>484</v>
      </c>
      <c r="G175" s="4093" t="s">
        <v>5535</v>
      </c>
      <c r="H175" s="4098" t="s">
        <v>5536</v>
      </c>
      <c r="I175" s="4099" t="s">
        <v>5537</v>
      </c>
      <c r="J175" s="4100"/>
      <c r="K175" s="4097">
        <v>808</v>
      </c>
      <c r="L175" s="4093" t="s">
        <v>5538</v>
      </c>
      <c r="M175" s="4098" t="s">
        <v>5539</v>
      </c>
      <c r="N175" s="4099" t="s">
        <v>5540</v>
      </c>
      <c r="O175" s="4100"/>
      <c r="P175" s="4097">
        <v>1132</v>
      </c>
      <c r="Q175" s="4093" t="s">
        <v>5541</v>
      </c>
      <c r="R175" s="4098" t="s">
        <v>5542</v>
      </c>
      <c r="S175" s="4099" t="s">
        <v>5543</v>
      </c>
      <c r="T175" s="2139"/>
      <c r="U175" s="2139"/>
      <c r="V175" s="2139"/>
      <c r="W175" s="2139"/>
      <c r="X175" s="2139"/>
      <c r="Y175" s="2139"/>
      <c r="Z175" s="2139"/>
      <c r="AA175" s="2139"/>
      <c r="AB175" s="2139"/>
      <c r="AC175" s="2139"/>
      <c r="AD175" s="2139"/>
    </row>
    <row r="176" spans="1:30" ht="25.5">
      <c r="A176" s="4097">
        <v>161</v>
      </c>
      <c r="B176" s="4093" t="s">
        <v>5544</v>
      </c>
      <c r="C176" s="4098" t="s">
        <v>5545</v>
      </c>
      <c r="D176" s="4099" t="s">
        <v>5546</v>
      </c>
      <c r="E176" s="4100"/>
      <c r="F176" s="4097">
        <v>485</v>
      </c>
      <c r="G176" s="4093" t="s">
        <v>5547</v>
      </c>
      <c r="H176" s="4098" t="s">
        <v>5548</v>
      </c>
      <c r="I176" s="4099" t="s">
        <v>5549</v>
      </c>
      <c r="J176" s="4100"/>
      <c r="K176" s="4097">
        <v>809</v>
      </c>
      <c r="L176" s="4093" t="s">
        <v>5550</v>
      </c>
      <c r="M176" s="4098" t="s">
        <v>5551</v>
      </c>
      <c r="N176" s="4099" t="s">
        <v>5552</v>
      </c>
      <c r="O176" s="4100"/>
      <c r="P176" s="4097">
        <v>1133</v>
      </c>
      <c r="Q176" s="4093" t="s">
        <v>5553</v>
      </c>
      <c r="R176" s="4098" t="s">
        <v>5554</v>
      </c>
      <c r="S176" s="4099" t="s">
        <v>5555</v>
      </c>
      <c r="T176" s="2139"/>
      <c r="U176" s="2139"/>
      <c r="V176" s="2139"/>
      <c r="W176" s="2139"/>
      <c r="X176" s="2139"/>
      <c r="Y176" s="2139"/>
      <c r="Z176" s="2139"/>
      <c r="AA176" s="2139"/>
      <c r="AB176" s="2139"/>
      <c r="AC176" s="2139"/>
      <c r="AD176" s="2139"/>
    </row>
    <row r="177" spans="1:30">
      <c r="A177" s="4097">
        <v>162</v>
      </c>
      <c r="B177" s="4093" t="s">
        <v>5556</v>
      </c>
      <c r="C177" s="4098" t="s">
        <v>5557</v>
      </c>
      <c r="D177" s="4099" t="s">
        <v>5558</v>
      </c>
      <c r="E177" s="4100"/>
      <c r="F177" s="4097">
        <v>486</v>
      </c>
      <c r="G177" s="4093" t="s">
        <v>5559</v>
      </c>
      <c r="H177" s="4098" t="s">
        <v>5560</v>
      </c>
      <c r="I177" s="4099" t="s">
        <v>5561</v>
      </c>
      <c r="J177" s="4100"/>
      <c r="K177" s="4097">
        <v>810</v>
      </c>
      <c r="L177" s="4093" t="s">
        <v>5562</v>
      </c>
      <c r="M177" s="4098" t="s">
        <v>5563</v>
      </c>
      <c r="N177" s="4099" t="s">
        <v>5062</v>
      </c>
      <c r="O177" s="4100"/>
      <c r="P177" s="4097">
        <v>1134</v>
      </c>
      <c r="Q177" s="4093" t="s">
        <v>5564</v>
      </c>
      <c r="R177" s="4098" t="s">
        <v>3718</v>
      </c>
      <c r="S177" s="4099" t="s">
        <v>5565</v>
      </c>
      <c r="T177" s="2139"/>
      <c r="U177" s="2139"/>
      <c r="V177" s="2139"/>
      <c r="W177" s="2139"/>
      <c r="X177" s="2139"/>
      <c r="Y177" s="2139"/>
      <c r="Z177" s="2139"/>
      <c r="AA177" s="2139"/>
      <c r="AB177" s="2139"/>
      <c r="AC177" s="2139"/>
      <c r="AD177" s="2139"/>
    </row>
    <row r="178" spans="1:30">
      <c r="A178" s="4097">
        <v>163</v>
      </c>
      <c r="B178" s="4093" t="s">
        <v>5566</v>
      </c>
      <c r="C178" s="4098" t="s">
        <v>5567</v>
      </c>
      <c r="D178" s="4099" t="s">
        <v>5568</v>
      </c>
      <c r="E178" s="4100"/>
      <c r="F178" s="4097">
        <v>487</v>
      </c>
      <c r="G178" s="4093" t="s">
        <v>5569</v>
      </c>
      <c r="H178" s="4098" t="s">
        <v>5570</v>
      </c>
      <c r="I178" s="4099" t="s">
        <v>5571</v>
      </c>
      <c r="J178" s="4100"/>
      <c r="K178" s="4097">
        <v>811</v>
      </c>
      <c r="L178" s="4093" t="s">
        <v>5572</v>
      </c>
      <c r="M178" s="4098" t="s">
        <v>5573</v>
      </c>
      <c r="N178" s="4099" t="s">
        <v>5574</v>
      </c>
      <c r="O178" s="4100"/>
      <c r="P178" s="4097">
        <v>1135</v>
      </c>
      <c r="Q178" s="4093" t="s">
        <v>5575</v>
      </c>
      <c r="R178" s="4098" t="s">
        <v>5576</v>
      </c>
      <c r="S178" s="4099" t="s">
        <v>5577</v>
      </c>
      <c r="T178" s="2139"/>
      <c r="U178" s="2139"/>
      <c r="V178" s="2139"/>
      <c r="W178" s="2139"/>
      <c r="X178" s="2139"/>
      <c r="Y178" s="2139"/>
      <c r="Z178" s="2139"/>
      <c r="AA178" s="2139"/>
      <c r="AB178" s="2139"/>
      <c r="AC178" s="2139"/>
      <c r="AD178" s="2139"/>
    </row>
    <row r="179" spans="1:30">
      <c r="A179" s="4097">
        <v>164</v>
      </c>
      <c r="B179" s="4093" t="s">
        <v>5578</v>
      </c>
      <c r="C179" s="4098" t="s">
        <v>5579</v>
      </c>
      <c r="D179" s="4099" t="s">
        <v>5580</v>
      </c>
      <c r="E179" s="4100"/>
      <c r="F179" s="4097">
        <v>488</v>
      </c>
      <c r="G179" s="4093" t="s">
        <v>5581</v>
      </c>
      <c r="H179" s="4098" t="s">
        <v>5582</v>
      </c>
      <c r="I179" s="4099" t="s">
        <v>5583</v>
      </c>
      <c r="J179" s="4100"/>
      <c r="K179" s="4097">
        <v>812</v>
      </c>
      <c r="L179" s="4093" t="s">
        <v>5584</v>
      </c>
      <c r="M179" s="4098" t="s">
        <v>5585</v>
      </c>
      <c r="N179" s="4099" t="s">
        <v>5586</v>
      </c>
      <c r="O179" s="4100"/>
      <c r="P179" s="4097">
        <v>1136</v>
      </c>
      <c r="Q179" s="4093" t="s">
        <v>5587</v>
      </c>
      <c r="R179" s="4098" t="s">
        <v>5588</v>
      </c>
      <c r="S179" s="4099" t="s">
        <v>5589</v>
      </c>
      <c r="T179" s="2139"/>
      <c r="U179" s="2139"/>
      <c r="V179" s="2139"/>
      <c r="W179" s="2139"/>
      <c r="X179" s="2139"/>
      <c r="Y179" s="2139"/>
      <c r="Z179" s="2139"/>
      <c r="AA179" s="2139"/>
      <c r="AB179" s="2139"/>
      <c r="AC179" s="2139"/>
      <c r="AD179" s="2139"/>
    </row>
    <row r="180" spans="1:30" ht="25.5">
      <c r="A180" s="4097">
        <v>165</v>
      </c>
      <c r="B180" s="4093">
        <v>30</v>
      </c>
      <c r="C180" s="4098" t="s">
        <v>3005</v>
      </c>
      <c r="D180" s="4099" t="s">
        <v>5590</v>
      </c>
      <c r="E180" s="4100"/>
      <c r="F180" s="4097">
        <v>489</v>
      </c>
      <c r="G180" s="4093" t="s">
        <v>5591</v>
      </c>
      <c r="H180" s="4098" t="s">
        <v>5592</v>
      </c>
      <c r="I180" s="4099" t="s">
        <v>5593</v>
      </c>
      <c r="J180" s="4100"/>
      <c r="K180" s="4097">
        <v>813</v>
      </c>
      <c r="L180" s="4093" t="s">
        <v>5594</v>
      </c>
      <c r="M180" s="4098" t="s">
        <v>5595</v>
      </c>
      <c r="N180" s="4099" t="s">
        <v>5596</v>
      </c>
      <c r="O180" s="4100"/>
      <c r="P180" s="4097">
        <v>1137</v>
      </c>
      <c r="Q180" s="4093" t="s">
        <v>5597</v>
      </c>
      <c r="R180" s="4098" t="s">
        <v>5598</v>
      </c>
      <c r="S180" s="4099" t="s">
        <v>5599</v>
      </c>
      <c r="T180" s="2139"/>
      <c r="U180" s="2139"/>
      <c r="V180" s="2139"/>
      <c r="W180" s="2139"/>
      <c r="X180" s="2139"/>
      <c r="Y180" s="2139"/>
      <c r="Z180" s="2139"/>
      <c r="AA180" s="2139"/>
      <c r="AB180" s="2139"/>
      <c r="AC180" s="2139"/>
      <c r="AD180" s="2139"/>
    </row>
    <row r="181" spans="1:30" ht="25.5">
      <c r="A181" s="4097">
        <v>166</v>
      </c>
      <c r="B181" s="4093">
        <v>2139</v>
      </c>
      <c r="C181" s="4098" t="s">
        <v>5600</v>
      </c>
      <c r="D181" s="4099" t="s">
        <v>5601</v>
      </c>
      <c r="E181" s="4100"/>
      <c r="F181" s="4097">
        <v>490</v>
      </c>
      <c r="G181" s="4093" t="s">
        <v>5602</v>
      </c>
      <c r="H181" s="4098" t="s">
        <v>5603</v>
      </c>
      <c r="I181" s="4099" t="s">
        <v>5604</v>
      </c>
      <c r="J181" s="4100"/>
      <c r="K181" s="4097">
        <v>814</v>
      </c>
      <c r="L181" s="4093" t="s">
        <v>5605</v>
      </c>
      <c r="M181" s="4098" t="s">
        <v>5606</v>
      </c>
      <c r="N181" s="4099" t="s">
        <v>5607</v>
      </c>
      <c r="O181" s="4100"/>
      <c r="P181" s="4097">
        <v>1138</v>
      </c>
      <c r="Q181" s="4093" t="s">
        <v>5608</v>
      </c>
      <c r="R181" s="4098" t="s">
        <v>5609</v>
      </c>
      <c r="S181" s="4099" t="s">
        <v>5610</v>
      </c>
      <c r="T181" s="2139"/>
      <c r="U181" s="2139"/>
      <c r="V181" s="2139"/>
      <c r="W181" s="2139"/>
      <c r="X181" s="2139"/>
      <c r="Y181" s="2139"/>
      <c r="Z181" s="2139"/>
      <c r="AA181" s="2139"/>
      <c r="AB181" s="2139"/>
      <c r="AC181" s="2139"/>
      <c r="AD181" s="2139"/>
    </row>
    <row r="182" spans="1:30">
      <c r="A182" s="4097">
        <v>167</v>
      </c>
      <c r="B182" s="4093" t="s">
        <v>5611</v>
      </c>
      <c r="C182" s="4098" t="s">
        <v>720</v>
      </c>
      <c r="D182" s="4099" t="s">
        <v>5612</v>
      </c>
      <c r="E182" s="4100"/>
      <c r="F182" s="4097">
        <v>491</v>
      </c>
      <c r="G182" s="4093" t="s">
        <v>5613</v>
      </c>
      <c r="H182" s="4098" t="s">
        <v>5614</v>
      </c>
      <c r="I182" s="4099" t="s">
        <v>5615</v>
      </c>
      <c r="J182" s="4100"/>
      <c r="K182" s="4097">
        <v>815</v>
      </c>
      <c r="L182" s="4093" t="s">
        <v>5616</v>
      </c>
      <c r="M182" s="4098" t="s">
        <v>5617</v>
      </c>
      <c r="N182" s="4099" t="s">
        <v>5618</v>
      </c>
      <c r="O182" s="4100"/>
      <c r="P182" s="4097">
        <v>1139</v>
      </c>
      <c r="Q182" s="4093" t="s">
        <v>5619</v>
      </c>
      <c r="R182" s="4098" t="s">
        <v>5620</v>
      </c>
      <c r="T182" s="2139"/>
      <c r="U182" s="2139"/>
      <c r="V182" s="2139"/>
      <c r="W182" s="2139"/>
      <c r="X182" s="2139"/>
      <c r="Y182" s="2139"/>
      <c r="Z182" s="2139"/>
      <c r="AA182" s="2139"/>
      <c r="AB182" s="2139"/>
      <c r="AC182" s="2139"/>
      <c r="AD182" s="2139"/>
    </row>
    <row r="183" spans="1:30">
      <c r="A183" s="4097">
        <v>168</v>
      </c>
      <c r="B183" s="4093">
        <v>2122</v>
      </c>
      <c r="C183" s="4098" t="s">
        <v>5621</v>
      </c>
      <c r="D183" s="4099" t="s">
        <v>5622</v>
      </c>
      <c r="E183" s="4100"/>
      <c r="F183" s="4097">
        <v>492</v>
      </c>
      <c r="G183" s="4093" t="s">
        <v>5623</v>
      </c>
      <c r="H183" s="4098" t="s">
        <v>5624</v>
      </c>
      <c r="I183" s="4099" t="s">
        <v>5625</v>
      </c>
      <c r="J183" s="4100"/>
      <c r="K183" s="4097">
        <v>816</v>
      </c>
      <c r="L183" s="4093" t="s">
        <v>5626</v>
      </c>
      <c r="M183" s="4098" t="s">
        <v>5627</v>
      </c>
      <c r="N183" s="4099" t="s">
        <v>5628</v>
      </c>
      <c r="O183" s="4100"/>
      <c r="P183" s="4097">
        <v>1140</v>
      </c>
      <c r="Q183" s="4093" t="s">
        <v>5629</v>
      </c>
      <c r="R183" s="4098" t="s">
        <v>5630</v>
      </c>
      <c r="S183" s="4099" t="s">
        <v>5631</v>
      </c>
      <c r="T183" s="2139"/>
      <c r="U183" s="2139"/>
      <c r="V183" s="2139"/>
      <c r="W183" s="2139"/>
      <c r="X183" s="2139"/>
      <c r="Y183" s="2139"/>
      <c r="Z183" s="2139"/>
      <c r="AA183" s="2139"/>
      <c r="AB183" s="2139"/>
      <c r="AC183" s="2139"/>
      <c r="AD183" s="2139"/>
    </row>
    <row r="184" spans="1:30" ht="25.5">
      <c r="A184" s="4097">
        <v>169</v>
      </c>
      <c r="B184" s="4093" t="s">
        <v>5632</v>
      </c>
      <c r="C184" s="4098" t="s">
        <v>5633</v>
      </c>
      <c r="D184" s="4099" t="s">
        <v>5634</v>
      </c>
      <c r="E184" s="4100"/>
      <c r="F184" s="4097">
        <v>493</v>
      </c>
      <c r="G184" s="4093" t="s">
        <v>5635</v>
      </c>
      <c r="H184" s="4098" t="s">
        <v>5636</v>
      </c>
      <c r="I184" s="4099" t="s">
        <v>5637</v>
      </c>
      <c r="J184" s="4100"/>
      <c r="K184" s="4097">
        <v>817</v>
      </c>
      <c r="L184" s="4093" t="s">
        <v>5638</v>
      </c>
      <c r="M184" s="4098" t="s">
        <v>5639</v>
      </c>
      <c r="N184" s="4099" t="s">
        <v>5640</v>
      </c>
      <c r="O184" s="4100"/>
      <c r="P184" s="4097">
        <v>1141</v>
      </c>
      <c r="Q184" s="4093" t="s">
        <v>5641</v>
      </c>
      <c r="R184" s="4098" t="s">
        <v>5642</v>
      </c>
      <c r="S184" s="4099" t="s">
        <v>5643</v>
      </c>
      <c r="T184" s="2139"/>
      <c r="U184" s="2139"/>
      <c r="V184" s="2139"/>
      <c r="W184" s="2139"/>
      <c r="X184" s="2139"/>
      <c r="Y184" s="2139"/>
      <c r="Z184" s="2139"/>
      <c r="AA184" s="2139"/>
      <c r="AB184" s="2139"/>
      <c r="AC184" s="2139"/>
      <c r="AD184" s="2139"/>
    </row>
    <row r="185" spans="1:30">
      <c r="A185" s="4097">
        <v>170</v>
      </c>
      <c r="B185" s="4093" t="s">
        <v>5644</v>
      </c>
      <c r="C185" s="4098" t="s">
        <v>5645</v>
      </c>
      <c r="D185" s="4099" t="s">
        <v>5646</v>
      </c>
      <c r="E185" s="4100"/>
      <c r="F185" s="4097">
        <v>494</v>
      </c>
      <c r="G185" s="4093" t="s">
        <v>5647</v>
      </c>
      <c r="H185" s="4098" t="s">
        <v>5648</v>
      </c>
      <c r="I185" s="4099" t="s">
        <v>5649</v>
      </c>
      <c r="J185" s="4100"/>
      <c r="K185" s="4097">
        <v>818</v>
      </c>
      <c r="L185" s="4093" t="s">
        <v>5650</v>
      </c>
      <c r="M185" s="4098" t="s">
        <v>5651</v>
      </c>
      <c r="N185" s="4099" t="s">
        <v>5652</v>
      </c>
      <c r="O185" s="4100"/>
      <c r="P185" s="4097">
        <v>1142</v>
      </c>
      <c r="Q185" s="4093" t="s">
        <v>5653</v>
      </c>
      <c r="R185" s="4098" t="s">
        <v>5654</v>
      </c>
      <c r="S185" s="4099" t="s">
        <v>5655</v>
      </c>
      <c r="T185" s="2139"/>
      <c r="U185" s="2139"/>
      <c r="V185" s="2139"/>
      <c r="W185" s="2139"/>
      <c r="X185" s="2139"/>
      <c r="Y185" s="2139"/>
      <c r="Z185" s="2139"/>
      <c r="AA185" s="2139"/>
      <c r="AB185" s="2139"/>
      <c r="AC185" s="2139"/>
      <c r="AD185" s="2139"/>
    </row>
    <row r="186" spans="1:30" ht="25.5">
      <c r="A186" s="4097">
        <v>171</v>
      </c>
      <c r="B186" s="4093" t="s">
        <v>5656</v>
      </c>
      <c r="C186" s="4098" t="s">
        <v>5657</v>
      </c>
      <c r="D186" s="4099" t="s">
        <v>5658</v>
      </c>
      <c r="E186" s="4100"/>
      <c r="F186" s="4097">
        <v>495</v>
      </c>
      <c r="G186" s="4093" t="s">
        <v>5659</v>
      </c>
      <c r="H186" s="4098" t="s">
        <v>5660</v>
      </c>
      <c r="I186" s="4099" t="s">
        <v>5661</v>
      </c>
      <c r="J186" s="4100"/>
      <c r="K186" s="4097">
        <v>819</v>
      </c>
      <c r="L186" s="4093" t="s">
        <v>5662</v>
      </c>
      <c r="M186" s="4098" t="s">
        <v>5663</v>
      </c>
      <c r="N186" s="4099" t="s">
        <v>5664</v>
      </c>
      <c r="O186" s="4100"/>
      <c r="P186" s="4097">
        <v>1143</v>
      </c>
      <c r="Q186" s="4093" t="s">
        <v>5665</v>
      </c>
      <c r="R186" s="4098" t="s">
        <v>5666</v>
      </c>
      <c r="S186" s="4099" t="s">
        <v>5667</v>
      </c>
      <c r="T186" s="2139"/>
      <c r="U186" s="2139"/>
      <c r="V186" s="2139"/>
      <c r="W186" s="2139"/>
      <c r="X186" s="2139"/>
      <c r="Y186" s="2139"/>
      <c r="Z186" s="2139"/>
      <c r="AA186" s="2139"/>
      <c r="AB186" s="2139"/>
      <c r="AC186" s="2139"/>
      <c r="AD186" s="2139"/>
    </row>
    <row r="187" spans="1:30" ht="25.5">
      <c r="A187" s="4097">
        <v>172</v>
      </c>
      <c r="B187" s="4093" t="s">
        <v>5668</v>
      </c>
      <c r="C187" s="4098" t="s">
        <v>5669</v>
      </c>
      <c r="D187" s="4099" t="s">
        <v>5670</v>
      </c>
      <c r="E187" s="4100"/>
      <c r="F187" s="4097">
        <v>496</v>
      </c>
      <c r="G187" s="4093" t="s">
        <v>5671</v>
      </c>
      <c r="H187" s="4098" t="s">
        <v>5672</v>
      </c>
      <c r="I187" s="4099" t="s">
        <v>5673</v>
      </c>
      <c r="J187" s="4100"/>
      <c r="K187" s="4097">
        <v>820</v>
      </c>
      <c r="L187" s="4093" t="s">
        <v>5674</v>
      </c>
      <c r="M187" s="4098" t="s">
        <v>5675</v>
      </c>
      <c r="N187" s="4099" t="s">
        <v>5676</v>
      </c>
      <c r="O187" s="4100"/>
      <c r="P187" s="4097">
        <v>1144</v>
      </c>
      <c r="Q187" s="4093" t="s">
        <v>5677</v>
      </c>
      <c r="R187" s="4098" t="s">
        <v>5678</v>
      </c>
      <c r="S187" s="4099" t="s">
        <v>5679</v>
      </c>
      <c r="T187" s="2139"/>
      <c r="U187" s="2139"/>
      <c r="V187" s="2139"/>
      <c r="W187" s="2139"/>
      <c r="X187" s="2139"/>
      <c r="Y187" s="2139"/>
      <c r="Z187" s="2139"/>
      <c r="AA187" s="2139"/>
      <c r="AB187" s="2139"/>
      <c r="AC187" s="2139"/>
      <c r="AD187" s="2139"/>
    </row>
    <row r="188" spans="1:30" ht="25.5">
      <c r="A188" s="4097">
        <v>173</v>
      </c>
      <c r="B188" s="4093" t="s">
        <v>5680</v>
      </c>
      <c r="C188" s="4098" t="s">
        <v>5681</v>
      </c>
      <c r="D188" s="4099" t="s">
        <v>5682</v>
      </c>
      <c r="E188" s="4100"/>
      <c r="F188" s="4097">
        <v>497</v>
      </c>
      <c r="G188" s="4093" t="s">
        <v>5683</v>
      </c>
      <c r="H188" s="4098" t="s">
        <v>5684</v>
      </c>
      <c r="I188" s="4099" t="s">
        <v>5685</v>
      </c>
      <c r="J188" s="4100"/>
      <c r="K188" s="4097">
        <v>821</v>
      </c>
      <c r="L188" s="4093" t="s">
        <v>5686</v>
      </c>
      <c r="M188" s="4098" t="s">
        <v>5687</v>
      </c>
      <c r="N188" s="4099" t="s">
        <v>5688</v>
      </c>
      <c r="O188" s="4100"/>
      <c r="P188" s="4097">
        <v>1145</v>
      </c>
      <c r="Q188" s="4093" t="s">
        <v>5689</v>
      </c>
      <c r="R188" s="4098" t="s">
        <v>5690</v>
      </c>
      <c r="S188" s="4099" t="s">
        <v>5691</v>
      </c>
      <c r="T188" s="2139"/>
      <c r="U188" s="2139"/>
      <c r="V188" s="2139"/>
      <c r="W188" s="2139"/>
      <c r="X188" s="2139"/>
      <c r="Y188" s="2139"/>
      <c r="Z188" s="2139"/>
      <c r="AA188" s="2139"/>
      <c r="AB188" s="2139"/>
      <c r="AC188" s="2139"/>
      <c r="AD188" s="2139"/>
    </row>
    <row r="189" spans="1:30">
      <c r="A189" s="4097">
        <v>174</v>
      </c>
      <c r="B189" s="4093" t="s">
        <v>5692</v>
      </c>
      <c r="C189" s="4098" t="s">
        <v>5693</v>
      </c>
      <c r="D189" s="4099" t="s">
        <v>5694</v>
      </c>
      <c r="E189" s="4100"/>
      <c r="F189" s="4097">
        <v>498</v>
      </c>
      <c r="G189" s="4093" t="s">
        <v>5695</v>
      </c>
      <c r="H189" s="4098" t="s">
        <v>5696</v>
      </c>
      <c r="I189" s="4099" t="s">
        <v>5697</v>
      </c>
      <c r="J189" s="4100"/>
      <c r="K189" s="4097">
        <v>822</v>
      </c>
      <c r="L189" s="4093" t="s">
        <v>5698</v>
      </c>
      <c r="M189" s="4098" t="s">
        <v>5699</v>
      </c>
      <c r="N189" s="4099" t="s">
        <v>5700</v>
      </c>
      <c r="O189" s="4100"/>
      <c r="P189" s="4097">
        <v>1146</v>
      </c>
      <c r="Q189" s="4093" t="s">
        <v>5701</v>
      </c>
      <c r="R189" s="4098" t="s">
        <v>5702</v>
      </c>
      <c r="S189" s="4099" t="s">
        <v>5703</v>
      </c>
      <c r="T189" s="2139"/>
      <c r="U189" s="2139"/>
      <c r="V189" s="2139"/>
      <c r="W189" s="2139"/>
      <c r="X189" s="2139"/>
      <c r="Y189" s="2139"/>
      <c r="Z189" s="2139"/>
      <c r="AA189" s="2139"/>
      <c r="AB189" s="2139"/>
      <c r="AC189" s="2139"/>
      <c r="AD189" s="2139"/>
    </row>
    <row r="190" spans="1:30" ht="25.5">
      <c r="A190" s="4097">
        <v>175</v>
      </c>
      <c r="B190" s="4093" t="s">
        <v>5704</v>
      </c>
      <c r="C190" s="4098" t="s">
        <v>5705</v>
      </c>
      <c r="D190" s="4099" t="s">
        <v>5706</v>
      </c>
      <c r="E190" s="4100"/>
      <c r="F190" s="4097">
        <v>499</v>
      </c>
      <c r="G190" s="4093" t="s">
        <v>5707</v>
      </c>
      <c r="H190" s="4098" t="s">
        <v>5708</v>
      </c>
      <c r="I190" s="4099" t="s">
        <v>5709</v>
      </c>
      <c r="J190" s="4100"/>
      <c r="K190" s="4097">
        <v>823</v>
      </c>
      <c r="L190" s="4093" t="s">
        <v>5710</v>
      </c>
      <c r="M190" s="4098" t="s">
        <v>5711</v>
      </c>
      <c r="N190" s="4099" t="s">
        <v>5712</v>
      </c>
      <c r="O190" s="4100"/>
      <c r="P190" s="4097">
        <v>1147</v>
      </c>
      <c r="Q190" s="4093" t="s">
        <v>5713</v>
      </c>
      <c r="R190" s="4098" t="s">
        <v>5714</v>
      </c>
      <c r="S190" s="4099" t="s">
        <v>5715</v>
      </c>
      <c r="T190" s="2139"/>
      <c r="U190" s="2139"/>
      <c r="V190" s="2139"/>
      <c r="W190" s="2139"/>
      <c r="X190" s="2139"/>
      <c r="Y190" s="2139"/>
      <c r="Z190" s="2139"/>
      <c r="AA190" s="2139"/>
      <c r="AB190" s="2139"/>
      <c r="AC190" s="2139"/>
      <c r="AD190" s="2139"/>
    </row>
    <row r="191" spans="1:30" ht="25.5">
      <c r="A191" s="4097">
        <v>176</v>
      </c>
      <c r="B191" s="4093" t="s">
        <v>5716</v>
      </c>
      <c r="C191" s="4098" t="s">
        <v>5717</v>
      </c>
      <c r="D191" s="4099" t="s">
        <v>5718</v>
      </c>
      <c r="E191" s="4100"/>
      <c r="F191" s="4097">
        <v>500</v>
      </c>
      <c r="G191" s="4093" t="s">
        <v>5719</v>
      </c>
      <c r="H191" s="4098" t="s">
        <v>5720</v>
      </c>
      <c r="I191" s="4099" t="s">
        <v>5721</v>
      </c>
      <c r="J191" s="4100"/>
      <c r="K191" s="4097">
        <v>824</v>
      </c>
      <c r="L191" s="4093" t="s">
        <v>5722</v>
      </c>
      <c r="M191" s="4098" t="s">
        <v>5723</v>
      </c>
      <c r="N191" s="4099" t="s">
        <v>5724</v>
      </c>
      <c r="O191" s="4100"/>
      <c r="P191" s="4097">
        <v>1148</v>
      </c>
      <c r="Q191" s="4093" t="s">
        <v>5725</v>
      </c>
      <c r="R191" s="4098" t="s">
        <v>5726</v>
      </c>
      <c r="S191" s="4099" t="s">
        <v>5727</v>
      </c>
      <c r="T191" s="2139"/>
      <c r="U191" s="2139"/>
      <c r="V191" s="2139"/>
      <c r="W191" s="2139"/>
      <c r="X191" s="2139"/>
      <c r="Y191" s="2139"/>
      <c r="Z191" s="2139"/>
      <c r="AA191" s="2139"/>
      <c r="AB191" s="2139"/>
      <c r="AC191" s="2139"/>
      <c r="AD191" s="2139"/>
    </row>
    <row r="192" spans="1:30">
      <c r="A192" s="4097">
        <v>177</v>
      </c>
      <c r="B192" s="4093" t="s">
        <v>5728</v>
      </c>
      <c r="C192" s="4098" t="s">
        <v>5729</v>
      </c>
      <c r="D192" s="4099" t="s">
        <v>5730</v>
      </c>
      <c r="E192" s="4100"/>
      <c r="F192" s="4097">
        <v>501</v>
      </c>
      <c r="G192" s="4093" t="s">
        <v>5731</v>
      </c>
      <c r="H192" s="4098" t="s">
        <v>5732</v>
      </c>
      <c r="I192" s="4099" t="s">
        <v>5733</v>
      </c>
      <c r="J192" s="4100"/>
      <c r="K192" s="4097">
        <v>825</v>
      </c>
      <c r="L192" s="4093" t="s">
        <v>5734</v>
      </c>
      <c r="M192" s="4098" t="s">
        <v>5735</v>
      </c>
      <c r="N192" s="4099" t="s">
        <v>5736</v>
      </c>
      <c r="O192" s="4100"/>
      <c r="P192" s="4097">
        <v>1149</v>
      </c>
      <c r="Q192" s="4093" t="s">
        <v>5737</v>
      </c>
      <c r="R192" s="4098" t="s">
        <v>5738</v>
      </c>
      <c r="S192" s="4099" t="s">
        <v>5739</v>
      </c>
      <c r="T192" s="2139"/>
      <c r="U192" s="2139"/>
      <c r="V192" s="2139"/>
      <c r="W192" s="2139"/>
      <c r="X192" s="2139"/>
      <c r="Y192" s="2139"/>
      <c r="Z192" s="2139"/>
      <c r="AA192" s="2139"/>
      <c r="AB192" s="2139"/>
      <c r="AC192" s="2139"/>
      <c r="AD192" s="2139"/>
    </row>
    <row r="193" spans="1:30" ht="25.5">
      <c r="A193" s="4097">
        <v>178</v>
      </c>
      <c r="B193" s="4093" t="s">
        <v>5740</v>
      </c>
      <c r="C193" s="4098" t="s">
        <v>5741</v>
      </c>
      <c r="D193" s="4099" t="s">
        <v>5742</v>
      </c>
      <c r="E193" s="4100"/>
      <c r="F193" s="4097">
        <v>502</v>
      </c>
      <c r="G193" s="4093" t="s">
        <v>5743</v>
      </c>
      <c r="H193" s="4098" t="s">
        <v>5744</v>
      </c>
      <c r="I193" s="4099" t="s">
        <v>5745</v>
      </c>
      <c r="J193" s="4100"/>
      <c r="K193" s="4097">
        <v>826</v>
      </c>
      <c r="L193" s="4093" t="s">
        <v>5746</v>
      </c>
      <c r="M193" s="4098" t="s">
        <v>5747</v>
      </c>
      <c r="N193" s="4099" t="s">
        <v>5748</v>
      </c>
      <c r="O193" s="4100"/>
      <c r="P193" s="4097">
        <v>1150</v>
      </c>
      <c r="Q193" s="4093" t="s">
        <v>5749</v>
      </c>
      <c r="R193" s="4098" t="s">
        <v>5750</v>
      </c>
      <c r="S193" s="4099" t="s">
        <v>5751</v>
      </c>
      <c r="T193" s="2139"/>
      <c r="U193" s="2139"/>
      <c r="V193" s="2139"/>
      <c r="W193" s="2139"/>
      <c r="X193" s="2139"/>
      <c r="Y193" s="2139"/>
      <c r="Z193" s="2139"/>
      <c r="AA193" s="2139"/>
      <c r="AB193" s="2139"/>
      <c r="AC193" s="2139"/>
      <c r="AD193" s="2139"/>
    </row>
    <row r="194" spans="1:30">
      <c r="A194" s="4097">
        <v>179</v>
      </c>
      <c r="B194" s="4093" t="s">
        <v>5752</v>
      </c>
      <c r="C194" s="4098" t="s">
        <v>5753</v>
      </c>
      <c r="D194" s="4099" t="s">
        <v>5754</v>
      </c>
      <c r="E194" s="4100"/>
      <c r="F194" s="4097">
        <v>503</v>
      </c>
      <c r="G194" s="4093" t="s">
        <v>5755</v>
      </c>
      <c r="H194" s="4098" t="s">
        <v>5756</v>
      </c>
      <c r="I194" s="4099" t="s">
        <v>5757</v>
      </c>
      <c r="J194" s="4100"/>
      <c r="K194" s="4097">
        <v>827</v>
      </c>
      <c r="L194" s="4093" t="s">
        <v>5758</v>
      </c>
      <c r="M194" s="4098" t="s">
        <v>5759</v>
      </c>
      <c r="N194" s="4099" t="s">
        <v>5760</v>
      </c>
      <c r="O194" s="4100"/>
      <c r="P194" s="4097">
        <v>1151</v>
      </c>
      <c r="Q194" s="4093" t="s">
        <v>5761</v>
      </c>
      <c r="R194" s="4098" t="s">
        <v>5762</v>
      </c>
      <c r="S194" s="4099" t="s">
        <v>5763</v>
      </c>
      <c r="T194" s="2139"/>
      <c r="U194" s="2139"/>
      <c r="V194" s="2139"/>
      <c r="W194" s="2139"/>
      <c r="X194" s="2139"/>
      <c r="Y194" s="2139"/>
      <c r="Z194" s="2139"/>
      <c r="AA194" s="2139"/>
      <c r="AB194" s="2139"/>
      <c r="AC194" s="2139"/>
      <c r="AD194" s="2139"/>
    </row>
    <row r="195" spans="1:30">
      <c r="A195" s="4097">
        <v>180</v>
      </c>
      <c r="B195" s="4093" t="s">
        <v>5764</v>
      </c>
      <c r="C195" s="4098" t="s">
        <v>5765</v>
      </c>
      <c r="D195" s="4099" t="s">
        <v>5766</v>
      </c>
      <c r="E195" s="4100"/>
      <c r="F195" s="4097">
        <v>504</v>
      </c>
      <c r="G195" s="4093" t="s">
        <v>5767</v>
      </c>
      <c r="H195" s="4098" t="s">
        <v>5768</v>
      </c>
      <c r="I195" s="4099" t="s">
        <v>5769</v>
      </c>
      <c r="J195" s="4100"/>
      <c r="K195" s="4097">
        <v>828</v>
      </c>
      <c r="L195" s="4093" t="s">
        <v>5770</v>
      </c>
      <c r="M195" s="4098" t="s">
        <v>5771</v>
      </c>
      <c r="N195" s="4099" t="s">
        <v>5772</v>
      </c>
      <c r="O195" s="4100"/>
      <c r="P195" s="4097">
        <v>1152</v>
      </c>
      <c r="Q195" s="4093" t="s">
        <v>5773</v>
      </c>
      <c r="R195" s="4098" t="s">
        <v>5774</v>
      </c>
      <c r="S195" s="4099" t="s">
        <v>5775</v>
      </c>
      <c r="T195" s="2139"/>
      <c r="U195" s="2139"/>
      <c r="V195" s="2139"/>
      <c r="W195" s="2139"/>
      <c r="X195" s="2139"/>
      <c r="Y195" s="2139"/>
      <c r="Z195" s="2139"/>
      <c r="AA195" s="2139"/>
      <c r="AB195" s="2139"/>
      <c r="AC195" s="2139"/>
      <c r="AD195" s="2139"/>
    </row>
    <row r="196" spans="1:30">
      <c r="A196" s="4097">
        <v>181</v>
      </c>
      <c r="B196" s="4093" t="s">
        <v>5776</v>
      </c>
      <c r="C196" s="4098" t="s">
        <v>5777</v>
      </c>
      <c r="D196" s="4099" t="s">
        <v>5778</v>
      </c>
      <c r="E196" s="4100"/>
      <c r="F196" s="4097">
        <v>505</v>
      </c>
      <c r="G196" s="4093" t="s">
        <v>5779</v>
      </c>
      <c r="H196" s="4098" t="s">
        <v>5780</v>
      </c>
      <c r="I196" s="4099" t="s">
        <v>5781</v>
      </c>
      <c r="J196" s="4100"/>
      <c r="K196" s="4097">
        <v>829</v>
      </c>
      <c r="L196" s="4093" t="s">
        <v>5782</v>
      </c>
      <c r="M196" s="4098" t="s">
        <v>5783</v>
      </c>
      <c r="N196" s="4099" t="s">
        <v>5784</v>
      </c>
      <c r="O196" s="4100"/>
      <c r="P196" s="4097">
        <v>1153</v>
      </c>
      <c r="Q196" s="4093" t="s">
        <v>5785</v>
      </c>
      <c r="R196" s="4098" t="s">
        <v>5786</v>
      </c>
      <c r="S196" s="4099" t="s">
        <v>5787</v>
      </c>
      <c r="T196" s="2139"/>
      <c r="U196" s="2139"/>
      <c r="V196" s="2139"/>
      <c r="W196" s="2139"/>
      <c r="X196" s="2139"/>
      <c r="Y196" s="2139"/>
      <c r="Z196" s="2139"/>
      <c r="AA196" s="2139"/>
      <c r="AB196" s="2139"/>
      <c r="AC196" s="2139"/>
      <c r="AD196" s="2139"/>
    </row>
    <row r="197" spans="1:30">
      <c r="A197" s="4097">
        <v>182</v>
      </c>
      <c r="B197" s="4093" t="s">
        <v>5788</v>
      </c>
      <c r="C197" s="4098" t="s">
        <v>5789</v>
      </c>
      <c r="D197" s="4099" t="s">
        <v>5790</v>
      </c>
      <c r="E197" s="4100"/>
      <c r="F197" s="4097">
        <v>506</v>
      </c>
      <c r="G197" s="4093" t="s">
        <v>5791</v>
      </c>
      <c r="H197" s="4098" t="s">
        <v>5792</v>
      </c>
      <c r="I197" s="4099" t="s">
        <v>5793</v>
      </c>
      <c r="J197" s="4100"/>
      <c r="K197" s="4097">
        <v>830</v>
      </c>
      <c r="L197" s="4093" t="s">
        <v>5794</v>
      </c>
      <c r="M197" s="4098" t="s">
        <v>5795</v>
      </c>
      <c r="N197" s="4099" t="s">
        <v>5796</v>
      </c>
      <c r="O197" s="4100"/>
      <c r="P197" s="4097">
        <v>1154</v>
      </c>
      <c r="Q197" s="4093" t="s">
        <v>5797</v>
      </c>
      <c r="R197" s="4098" t="s">
        <v>5798</v>
      </c>
      <c r="S197" s="4099" t="s">
        <v>5799</v>
      </c>
      <c r="T197" s="2139"/>
      <c r="U197" s="2139"/>
      <c r="V197" s="2139"/>
      <c r="W197" s="2139"/>
      <c r="X197" s="2139"/>
      <c r="Y197" s="2139"/>
      <c r="Z197" s="2139"/>
      <c r="AA197" s="2139"/>
      <c r="AB197" s="2139"/>
      <c r="AC197" s="2139"/>
      <c r="AD197" s="2139"/>
    </row>
    <row r="198" spans="1:30">
      <c r="A198" s="4097">
        <v>183</v>
      </c>
      <c r="B198" s="4093" t="s">
        <v>5800</v>
      </c>
      <c r="C198" s="4098" t="s">
        <v>5801</v>
      </c>
      <c r="D198" s="4099" t="s">
        <v>5802</v>
      </c>
      <c r="E198" s="4100"/>
      <c r="F198" s="4097">
        <v>507</v>
      </c>
      <c r="G198" s="4093" t="s">
        <v>5803</v>
      </c>
      <c r="H198" s="4098" t="s">
        <v>5804</v>
      </c>
      <c r="I198" s="4099" t="s">
        <v>5805</v>
      </c>
      <c r="J198" s="4100"/>
      <c r="K198" s="4097">
        <v>831</v>
      </c>
      <c r="L198" s="4093" t="s">
        <v>5806</v>
      </c>
      <c r="M198" s="4098" t="s">
        <v>5807</v>
      </c>
      <c r="N198" s="4099" t="s">
        <v>5808</v>
      </c>
      <c r="O198" s="4100"/>
      <c r="P198" s="4097">
        <v>1155</v>
      </c>
      <c r="Q198" s="4093" t="s">
        <v>5809</v>
      </c>
      <c r="R198" s="4098" t="s">
        <v>5810</v>
      </c>
      <c r="S198" s="4099" t="s">
        <v>5811</v>
      </c>
      <c r="T198" s="2139"/>
      <c r="U198" s="2139"/>
      <c r="V198" s="2139"/>
      <c r="W198" s="2139"/>
      <c r="X198" s="2139"/>
      <c r="Y198" s="2139"/>
      <c r="Z198" s="2139"/>
      <c r="AA198" s="2139"/>
      <c r="AB198" s="2139"/>
      <c r="AC198" s="2139"/>
      <c r="AD198" s="2139"/>
    </row>
    <row r="199" spans="1:30">
      <c r="A199" s="4097">
        <v>184</v>
      </c>
      <c r="B199" s="4093" t="s">
        <v>5812</v>
      </c>
      <c r="C199" s="4098" t="s">
        <v>5813</v>
      </c>
      <c r="D199" s="4099" t="s">
        <v>5814</v>
      </c>
      <c r="E199" s="4100"/>
      <c r="F199" s="4097">
        <v>508</v>
      </c>
      <c r="G199" s="4093" t="s">
        <v>5815</v>
      </c>
      <c r="H199" s="4098" t="s">
        <v>5816</v>
      </c>
      <c r="I199" s="4099" t="s">
        <v>5817</v>
      </c>
      <c r="J199" s="4100"/>
      <c r="K199" s="4097">
        <v>832</v>
      </c>
      <c r="L199" s="4093" t="s">
        <v>5818</v>
      </c>
      <c r="M199" s="4098" t="s">
        <v>5819</v>
      </c>
      <c r="N199" s="4099" t="s">
        <v>5820</v>
      </c>
      <c r="O199" s="4100"/>
      <c r="P199" s="4097">
        <v>1156</v>
      </c>
      <c r="Q199" s="4093" t="s">
        <v>5821</v>
      </c>
      <c r="R199" s="4098" t="s">
        <v>5822</v>
      </c>
      <c r="S199" s="4099" t="s">
        <v>5823</v>
      </c>
      <c r="T199" s="2139"/>
      <c r="U199" s="2139"/>
      <c r="V199" s="2139"/>
      <c r="W199" s="2139"/>
      <c r="X199" s="2139"/>
      <c r="Y199" s="2139"/>
      <c r="Z199" s="2139"/>
      <c r="AA199" s="2139"/>
      <c r="AB199" s="2139"/>
      <c r="AC199" s="2139"/>
      <c r="AD199" s="2139"/>
    </row>
    <row r="200" spans="1:30">
      <c r="A200" s="4097">
        <v>185</v>
      </c>
      <c r="B200" s="4093" t="s">
        <v>5824</v>
      </c>
      <c r="C200" s="4098" t="s">
        <v>5825</v>
      </c>
      <c r="D200" s="4099" t="s">
        <v>5826</v>
      </c>
      <c r="E200" s="4100"/>
      <c r="F200" s="4097">
        <v>509</v>
      </c>
      <c r="G200" s="4093" t="s">
        <v>5827</v>
      </c>
      <c r="H200" s="4098" t="s">
        <v>5828</v>
      </c>
      <c r="I200" s="4099" t="s">
        <v>5829</v>
      </c>
      <c r="J200" s="4100"/>
      <c r="K200" s="4097">
        <v>833</v>
      </c>
      <c r="L200" s="4093" t="s">
        <v>5830</v>
      </c>
      <c r="M200" s="4098" t="s">
        <v>5831</v>
      </c>
      <c r="N200" s="4099" t="s">
        <v>5832</v>
      </c>
      <c r="O200" s="4100"/>
      <c r="P200" s="4097">
        <v>1157</v>
      </c>
      <c r="Q200" s="4093" t="s">
        <v>5833</v>
      </c>
      <c r="R200" s="4098" t="s">
        <v>5834</v>
      </c>
      <c r="S200" s="4099" t="s">
        <v>5835</v>
      </c>
      <c r="T200" s="2139"/>
      <c r="U200" s="2139"/>
      <c r="V200" s="2139"/>
      <c r="W200" s="2139"/>
      <c r="X200" s="2139"/>
      <c r="Y200" s="2139"/>
      <c r="Z200" s="2139"/>
      <c r="AA200" s="2139"/>
      <c r="AB200" s="2139"/>
      <c r="AC200" s="2139"/>
      <c r="AD200" s="2139"/>
    </row>
    <row r="201" spans="1:30" ht="25.5">
      <c r="A201" s="4097">
        <v>186</v>
      </c>
      <c r="B201" s="4093" t="s">
        <v>5836</v>
      </c>
      <c r="C201" s="4098" t="s">
        <v>5837</v>
      </c>
      <c r="D201" s="4099" t="s">
        <v>5838</v>
      </c>
      <c r="E201" s="4100"/>
      <c r="F201" s="4097">
        <v>510</v>
      </c>
      <c r="G201" s="4093" t="s">
        <v>5839</v>
      </c>
      <c r="H201" s="4098" t="s">
        <v>5840</v>
      </c>
      <c r="I201" s="4099" t="s">
        <v>5841</v>
      </c>
      <c r="J201" s="4100"/>
      <c r="K201" s="4097">
        <v>834</v>
      </c>
      <c r="L201" s="4093" t="s">
        <v>5830</v>
      </c>
      <c r="M201" s="4098" t="s">
        <v>5831</v>
      </c>
      <c r="N201" s="4099" t="s">
        <v>5842</v>
      </c>
      <c r="O201" s="4100"/>
      <c r="P201" s="4097">
        <v>1158</v>
      </c>
      <c r="Q201" s="4093" t="s">
        <v>5843</v>
      </c>
      <c r="R201" s="4098" t="s">
        <v>5844</v>
      </c>
      <c r="S201" s="4099" t="s">
        <v>5845</v>
      </c>
      <c r="T201" s="2139"/>
      <c r="U201" s="2139"/>
      <c r="V201" s="2139"/>
      <c r="W201" s="2139"/>
      <c r="X201" s="2139"/>
      <c r="Y201" s="2139"/>
      <c r="Z201" s="2139"/>
      <c r="AA201" s="2139"/>
      <c r="AB201" s="2139"/>
      <c r="AC201" s="2139"/>
      <c r="AD201" s="2139"/>
    </row>
    <row r="202" spans="1:30" ht="38.25">
      <c r="A202" s="4097">
        <v>187</v>
      </c>
      <c r="B202" s="4093" t="s">
        <v>5846</v>
      </c>
      <c r="C202" s="4098" t="s">
        <v>5847</v>
      </c>
      <c r="D202" s="4099" t="s">
        <v>5848</v>
      </c>
      <c r="E202" s="4100"/>
      <c r="F202" s="4097">
        <v>511</v>
      </c>
      <c r="G202" s="4093" t="s">
        <v>5849</v>
      </c>
      <c r="H202" s="4098" t="s">
        <v>5850</v>
      </c>
      <c r="I202" s="4099" t="s">
        <v>5851</v>
      </c>
      <c r="J202" s="4100"/>
      <c r="K202" s="4097">
        <v>835</v>
      </c>
      <c r="L202" s="4093" t="s">
        <v>5852</v>
      </c>
      <c r="M202" s="4098" t="s">
        <v>3720</v>
      </c>
      <c r="N202" s="4099" t="s">
        <v>5853</v>
      </c>
      <c r="O202" s="4100"/>
      <c r="P202" s="4097">
        <v>1159</v>
      </c>
      <c r="Q202" s="4093" t="s">
        <v>5854</v>
      </c>
      <c r="R202" s="4098" t="s">
        <v>5855</v>
      </c>
      <c r="S202" s="4099" t="s">
        <v>5856</v>
      </c>
      <c r="T202" s="2139"/>
      <c r="U202" s="2139"/>
      <c r="V202" s="2139"/>
      <c r="W202" s="2139"/>
      <c r="X202" s="2139"/>
      <c r="Y202" s="2139"/>
      <c r="Z202" s="2139"/>
      <c r="AA202" s="2139"/>
      <c r="AB202" s="2139"/>
      <c r="AC202" s="2139"/>
      <c r="AD202" s="2139"/>
    </row>
    <row r="203" spans="1:30" ht="25.5">
      <c r="A203" s="4097">
        <v>188</v>
      </c>
      <c r="B203" s="4093" t="s">
        <v>5857</v>
      </c>
      <c r="C203" s="4098" t="s">
        <v>5858</v>
      </c>
      <c r="D203" s="4099" t="s">
        <v>5859</v>
      </c>
      <c r="E203" s="4100"/>
      <c r="F203" s="4097">
        <v>512</v>
      </c>
      <c r="G203" s="4093" t="s">
        <v>5860</v>
      </c>
      <c r="H203" s="4098" t="s">
        <v>5861</v>
      </c>
      <c r="I203" s="4099" t="s">
        <v>5862</v>
      </c>
      <c r="J203" s="4100"/>
      <c r="K203" s="4097">
        <v>836</v>
      </c>
      <c r="L203" s="4093" t="s">
        <v>5863</v>
      </c>
      <c r="M203" s="4098" t="s">
        <v>3722</v>
      </c>
      <c r="N203" s="4099" t="s">
        <v>5864</v>
      </c>
      <c r="O203" s="4100"/>
      <c r="P203" s="4097">
        <v>1160</v>
      </c>
      <c r="Q203" s="4093" t="s">
        <v>5865</v>
      </c>
      <c r="R203" s="4098" t="s">
        <v>5866</v>
      </c>
      <c r="S203" s="4099" t="s">
        <v>5867</v>
      </c>
      <c r="T203" s="2139"/>
      <c r="U203" s="2139"/>
      <c r="V203" s="2139"/>
      <c r="W203" s="2139"/>
      <c r="X203" s="2139"/>
      <c r="Y203" s="2139"/>
      <c r="Z203" s="2139"/>
      <c r="AA203" s="2139"/>
      <c r="AB203" s="2139"/>
      <c r="AC203" s="2139"/>
      <c r="AD203" s="2139"/>
    </row>
    <row r="204" spans="1:30" ht="25.5">
      <c r="A204" s="4097">
        <v>189</v>
      </c>
      <c r="B204" s="4093" t="s">
        <v>5868</v>
      </c>
      <c r="C204" s="4098" t="s">
        <v>5869</v>
      </c>
      <c r="D204" s="4099" t="s">
        <v>5870</v>
      </c>
      <c r="E204" s="4100"/>
      <c r="F204" s="4097">
        <v>513</v>
      </c>
      <c r="G204" s="4093" t="s">
        <v>5871</v>
      </c>
      <c r="H204" s="4098" t="s">
        <v>5872</v>
      </c>
      <c r="I204" s="4099" t="s">
        <v>5873</v>
      </c>
      <c r="J204" s="4100"/>
      <c r="K204" s="4097">
        <v>837</v>
      </c>
      <c r="L204" s="4093" t="s">
        <v>5874</v>
      </c>
      <c r="M204" s="4098" t="s">
        <v>3721</v>
      </c>
      <c r="O204" s="4100"/>
      <c r="P204" s="4097">
        <v>1161</v>
      </c>
      <c r="Q204" s="4093" t="s">
        <v>5875</v>
      </c>
      <c r="R204" s="4098" t="s">
        <v>5876</v>
      </c>
      <c r="S204" s="4099" t="s">
        <v>5877</v>
      </c>
      <c r="T204" s="2139"/>
      <c r="U204" s="2139"/>
      <c r="V204" s="2139"/>
      <c r="W204" s="2139"/>
      <c r="X204" s="2139"/>
      <c r="Y204" s="2139"/>
      <c r="Z204" s="2139"/>
      <c r="AA204" s="2139"/>
      <c r="AB204" s="2139"/>
      <c r="AC204" s="2139"/>
      <c r="AD204" s="2139"/>
    </row>
    <row r="205" spans="1:30" ht="38.25">
      <c r="A205" s="4097">
        <v>190</v>
      </c>
      <c r="B205" s="4093" t="s">
        <v>5878</v>
      </c>
      <c r="C205" s="4098" t="s">
        <v>5879</v>
      </c>
      <c r="D205" s="4099" t="s">
        <v>5880</v>
      </c>
      <c r="E205" s="4100"/>
      <c r="F205" s="4097">
        <v>514</v>
      </c>
      <c r="G205" s="4093" t="s">
        <v>5881</v>
      </c>
      <c r="H205" s="4098" t="s">
        <v>5882</v>
      </c>
      <c r="I205" s="4099" t="s">
        <v>5883</v>
      </c>
      <c r="J205" s="4100"/>
      <c r="K205" s="4097">
        <v>838</v>
      </c>
      <c r="L205" s="4093" t="s">
        <v>5874</v>
      </c>
      <c r="M205" s="4098" t="s">
        <v>3721</v>
      </c>
      <c r="N205" s="4099" t="s">
        <v>5884</v>
      </c>
      <c r="O205" s="4100"/>
      <c r="P205" s="4097">
        <v>1162</v>
      </c>
      <c r="Q205" s="4093" t="s">
        <v>5885</v>
      </c>
      <c r="R205" s="4098" t="s">
        <v>5886</v>
      </c>
      <c r="S205" s="4099" t="s">
        <v>5887</v>
      </c>
      <c r="T205" s="2139"/>
      <c r="U205" s="2139"/>
      <c r="V205" s="2139"/>
      <c r="W205" s="2139"/>
      <c r="X205" s="2139"/>
      <c r="Y205" s="2139"/>
      <c r="Z205" s="2139"/>
      <c r="AA205" s="2139"/>
      <c r="AB205" s="2139"/>
      <c r="AC205" s="2139"/>
      <c r="AD205" s="2139"/>
    </row>
    <row r="206" spans="1:30" ht="38.25">
      <c r="A206" s="4097">
        <v>191</v>
      </c>
      <c r="B206" s="4093" t="s">
        <v>5888</v>
      </c>
      <c r="C206" s="4098" t="s">
        <v>5889</v>
      </c>
      <c r="D206" s="4099" t="s">
        <v>5890</v>
      </c>
      <c r="E206" s="4100"/>
      <c r="F206" s="4097">
        <v>515</v>
      </c>
      <c r="G206" s="4093" t="s">
        <v>5891</v>
      </c>
      <c r="H206" s="4098" t="s">
        <v>5892</v>
      </c>
      <c r="I206" s="4099" t="s">
        <v>5893</v>
      </c>
      <c r="J206" s="4100"/>
      <c r="K206" s="4097">
        <v>839</v>
      </c>
      <c r="L206" s="4093" t="s">
        <v>5894</v>
      </c>
      <c r="M206" s="4098" t="s">
        <v>5895</v>
      </c>
      <c r="N206" s="4099" t="s">
        <v>5896</v>
      </c>
      <c r="O206" s="4100"/>
      <c r="P206" s="4097">
        <v>1163</v>
      </c>
      <c r="Q206" s="4093" t="s">
        <v>5897</v>
      </c>
      <c r="R206" s="4098" t="s">
        <v>5898</v>
      </c>
      <c r="S206" s="4099" t="s">
        <v>5899</v>
      </c>
      <c r="T206" s="2139"/>
      <c r="U206" s="2139"/>
      <c r="V206" s="2139"/>
      <c r="W206" s="2139"/>
      <c r="X206" s="2139"/>
      <c r="Y206" s="2139"/>
      <c r="Z206" s="2139"/>
      <c r="AA206" s="2139"/>
      <c r="AB206" s="2139"/>
      <c r="AC206" s="2139"/>
      <c r="AD206" s="2139"/>
    </row>
    <row r="207" spans="1:30" ht="25.5">
      <c r="A207" s="4097">
        <v>192</v>
      </c>
      <c r="B207" s="4093" t="s">
        <v>5900</v>
      </c>
      <c r="C207" s="4098" t="s">
        <v>5901</v>
      </c>
      <c r="D207" s="4099" t="s">
        <v>5902</v>
      </c>
      <c r="E207" s="4100"/>
      <c r="F207" s="4097">
        <v>516</v>
      </c>
      <c r="G207" s="4093" t="s">
        <v>5903</v>
      </c>
      <c r="H207" s="4098" t="s">
        <v>5904</v>
      </c>
      <c r="I207" s="4099" t="s">
        <v>5905</v>
      </c>
      <c r="J207" s="4100"/>
      <c r="K207" s="4097">
        <v>840</v>
      </c>
      <c r="L207" s="4093" t="s">
        <v>5906</v>
      </c>
      <c r="M207" s="4098" t="s">
        <v>5907</v>
      </c>
      <c r="N207" s="4099" t="s">
        <v>5908</v>
      </c>
      <c r="O207" s="4100"/>
      <c r="P207" s="4097">
        <v>1164</v>
      </c>
      <c r="Q207" s="4093" t="s">
        <v>5909</v>
      </c>
      <c r="R207" s="4098" t="s">
        <v>5910</v>
      </c>
      <c r="S207" s="4099" t="s">
        <v>5911</v>
      </c>
      <c r="T207" s="2139"/>
      <c r="U207" s="2139"/>
      <c r="V207" s="2139"/>
      <c r="W207" s="2139"/>
      <c r="X207" s="2139"/>
      <c r="Y207" s="2139"/>
      <c r="Z207" s="2139"/>
      <c r="AA207" s="2139"/>
      <c r="AB207" s="2139"/>
      <c r="AC207" s="2139"/>
      <c r="AD207" s="2139"/>
    </row>
    <row r="208" spans="1:30" ht="25.5">
      <c r="A208" s="4097">
        <v>193</v>
      </c>
      <c r="B208" s="4093" t="s">
        <v>5912</v>
      </c>
      <c r="C208" s="4098" t="s">
        <v>5913</v>
      </c>
      <c r="D208" s="4099" t="s">
        <v>5914</v>
      </c>
      <c r="E208" s="4100"/>
      <c r="F208" s="4097">
        <v>517</v>
      </c>
      <c r="G208" s="4093" t="s">
        <v>5915</v>
      </c>
      <c r="H208" s="4098" t="s">
        <v>5916</v>
      </c>
      <c r="I208" s="4099" t="s">
        <v>5917</v>
      </c>
      <c r="J208" s="4100"/>
      <c r="K208" s="4097">
        <v>841</v>
      </c>
      <c r="L208" s="4093" t="s">
        <v>5918</v>
      </c>
      <c r="M208" s="4098" t="s">
        <v>5919</v>
      </c>
      <c r="N208" s="4099" t="s">
        <v>5920</v>
      </c>
      <c r="O208" s="4100"/>
      <c r="P208" s="4097">
        <v>1165</v>
      </c>
      <c r="Q208" s="4093" t="s">
        <v>5921</v>
      </c>
      <c r="R208" s="4098" t="s">
        <v>5922</v>
      </c>
      <c r="S208" s="4099" t="s">
        <v>5923</v>
      </c>
      <c r="T208" s="2139"/>
      <c r="U208" s="2139"/>
      <c r="V208" s="2139"/>
      <c r="W208" s="2139"/>
      <c r="X208" s="2139"/>
      <c r="Y208" s="2139"/>
      <c r="Z208" s="2139"/>
      <c r="AA208" s="2139"/>
      <c r="AB208" s="2139"/>
      <c r="AC208" s="2139"/>
      <c r="AD208" s="2139"/>
    </row>
    <row r="209" spans="1:30" ht="25.5">
      <c r="A209" s="4097">
        <v>194</v>
      </c>
      <c r="B209" s="4093" t="s">
        <v>5924</v>
      </c>
      <c r="C209" s="4098" t="s">
        <v>5925</v>
      </c>
      <c r="D209" s="4099" t="s">
        <v>5926</v>
      </c>
      <c r="E209" s="4100"/>
      <c r="F209" s="4097">
        <v>518</v>
      </c>
      <c r="G209" s="4093" t="s">
        <v>5927</v>
      </c>
      <c r="H209" s="4098" t="s">
        <v>5928</v>
      </c>
      <c r="I209" s="4099" t="s">
        <v>5929</v>
      </c>
      <c r="J209" s="4100"/>
      <c r="K209" s="4097">
        <v>842</v>
      </c>
      <c r="L209" s="4093" t="s">
        <v>5930</v>
      </c>
      <c r="M209" s="4098" t="s">
        <v>5931</v>
      </c>
      <c r="N209" s="4099" t="s">
        <v>5932</v>
      </c>
      <c r="O209" s="4100"/>
      <c r="P209" s="4097">
        <v>1166</v>
      </c>
      <c r="Q209" s="4093" t="s">
        <v>5933</v>
      </c>
      <c r="R209" s="4098" t="s">
        <v>5934</v>
      </c>
      <c r="S209" s="4099" t="s">
        <v>5935</v>
      </c>
      <c r="T209" s="2139"/>
      <c r="U209" s="2139"/>
      <c r="V209" s="2139"/>
      <c r="W209" s="2139"/>
      <c r="X209" s="2139"/>
      <c r="Y209" s="2139"/>
      <c r="Z209" s="2139"/>
      <c r="AA209" s="2139"/>
      <c r="AB209" s="2139"/>
      <c r="AC209" s="2139"/>
      <c r="AD209" s="2139"/>
    </row>
    <row r="210" spans="1:30" ht="25.5">
      <c r="A210" s="4097">
        <v>195</v>
      </c>
      <c r="B210" s="4093" t="s">
        <v>5936</v>
      </c>
      <c r="C210" s="4098" t="s">
        <v>5937</v>
      </c>
      <c r="D210" s="4099" t="s">
        <v>5938</v>
      </c>
      <c r="E210" s="4100"/>
      <c r="F210" s="4097">
        <v>519</v>
      </c>
      <c r="G210" s="4093" t="s">
        <v>5939</v>
      </c>
      <c r="H210" s="4098" t="s">
        <v>5940</v>
      </c>
      <c r="I210" s="4099" t="s">
        <v>5941</v>
      </c>
      <c r="J210" s="4100"/>
      <c r="K210" s="4097">
        <v>843</v>
      </c>
      <c r="L210" s="4093" t="s">
        <v>5942</v>
      </c>
      <c r="M210" s="4098" t="s">
        <v>5943</v>
      </c>
      <c r="N210" s="4099" t="s">
        <v>5944</v>
      </c>
      <c r="O210" s="4100"/>
      <c r="P210" s="4097">
        <v>1167</v>
      </c>
      <c r="Q210" s="4093" t="s">
        <v>5945</v>
      </c>
      <c r="R210" s="4098" t="s">
        <v>5946</v>
      </c>
      <c r="S210" s="4099" t="s">
        <v>5947</v>
      </c>
      <c r="T210" s="2139"/>
      <c r="U210" s="2139"/>
      <c r="V210" s="2139"/>
      <c r="W210" s="2139"/>
      <c r="X210" s="2139"/>
      <c r="Y210" s="2139"/>
      <c r="Z210" s="2139"/>
      <c r="AA210" s="2139"/>
      <c r="AB210" s="2139"/>
      <c r="AC210" s="2139"/>
      <c r="AD210" s="2139"/>
    </row>
    <row r="211" spans="1:30" ht="25.5">
      <c r="A211" s="4097">
        <v>196</v>
      </c>
      <c r="B211" s="4093" t="s">
        <v>5948</v>
      </c>
      <c r="C211" s="4098" t="s">
        <v>5949</v>
      </c>
      <c r="D211" s="4099" t="s">
        <v>5950</v>
      </c>
      <c r="E211" s="4100"/>
      <c r="F211" s="4097">
        <v>520</v>
      </c>
      <c r="G211" s="4093" t="s">
        <v>5951</v>
      </c>
      <c r="H211" s="4098" t="s">
        <v>5952</v>
      </c>
      <c r="I211" s="4099" t="s">
        <v>5953</v>
      </c>
      <c r="J211" s="4100"/>
      <c r="K211" s="4097">
        <v>844</v>
      </c>
      <c r="L211" s="4093" t="s">
        <v>5954</v>
      </c>
      <c r="M211" s="4098" t="s">
        <v>5955</v>
      </c>
      <c r="N211" s="4099" t="s">
        <v>5956</v>
      </c>
      <c r="O211" s="4100"/>
      <c r="P211" s="4097">
        <v>1168</v>
      </c>
      <c r="Q211" s="4093" t="s">
        <v>5957</v>
      </c>
      <c r="R211" s="4098" t="s">
        <v>5958</v>
      </c>
      <c r="S211" s="4099" t="s">
        <v>5959</v>
      </c>
      <c r="T211" s="2139"/>
      <c r="U211" s="2139"/>
      <c r="V211" s="2139"/>
      <c r="W211" s="2139"/>
      <c r="X211" s="2139"/>
      <c r="Y211" s="2139"/>
      <c r="Z211" s="2139"/>
      <c r="AA211" s="2139"/>
      <c r="AB211" s="2139"/>
      <c r="AC211" s="2139"/>
      <c r="AD211" s="2139"/>
    </row>
    <row r="212" spans="1:30" ht="25.5">
      <c r="A212" s="4097">
        <v>197</v>
      </c>
      <c r="B212" s="4093" t="s">
        <v>5960</v>
      </c>
      <c r="C212" s="4098" t="s">
        <v>5961</v>
      </c>
      <c r="D212" s="4099" t="s">
        <v>5962</v>
      </c>
      <c r="E212" s="4100"/>
      <c r="F212" s="4097">
        <v>521</v>
      </c>
      <c r="G212" s="4093" t="s">
        <v>5963</v>
      </c>
      <c r="H212" s="4098" t="s">
        <v>5964</v>
      </c>
      <c r="I212" s="4099" t="s">
        <v>5965</v>
      </c>
      <c r="J212" s="4100"/>
      <c r="K212" s="4097">
        <v>845</v>
      </c>
      <c r="L212" s="4093" t="s">
        <v>5966</v>
      </c>
      <c r="M212" s="4098" t="s">
        <v>5967</v>
      </c>
      <c r="N212" s="4099" t="s">
        <v>5968</v>
      </c>
      <c r="O212" s="4100"/>
      <c r="P212" s="4097">
        <v>1169</v>
      </c>
      <c r="Q212" s="4093" t="s">
        <v>5969</v>
      </c>
      <c r="R212" s="4098" t="s">
        <v>5970</v>
      </c>
      <c r="S212" s="4099" t="s">
        <v>5971</v>
      </c>
      <c r="T212" s="2139"/>
      <c r="U212" s="2139"/>
      <c r="V212" s="2139"/>
      <c r="W212" s="2139"/>
      <c r="X212" s="2139"/>
      <c r="Y212" s="2139"/>
      <c r="Z212" s="2139"/>
      <c r="AA212" s="2139"/>
      <c r="AB212" s="2139"/>
      <c r="AC212" s="2139"/>
      <c r="AD212" s="2139"/>
    </row>
    <row r="213" spans="1:30" ht="25.5">
      <c r="A213" s="4097">
        <v>198</v>
      </c>
      <c r="B213" s="4093" t="s">
        <v>5972</v>
      </c>
      <c r="C213" s="4098" t="s">
        <v>5973</v>
      </c>
      <c r="D213" s="4099" t="s">
        <v>5974</v>
      </c>
      <c r="E213" s="4100"/>
      <c r="F213" s="4097">
        <v>522</v>
      </c>
      <c r="G213" s="4093" t="s">
        <v>5975</v>
      </c>
      <c r="H213" s="4098" t="s">
        <v>5976</v>
      </c>
      <c r="I213" s="4099" t="s">
        <v>5977</v>
      </c>
      <c r="J213" s="4100"/>
      <c r="K213" s="4097">
        <v>846</v>
      </c>
      <c r="L213" s="4093" t="s">
        <v>5978</v>
      </c>
      <c r="M213" s="4098" t="s">
        <v>5979</v>
      </c>
      <c r="N213" s="4099" t="s">
        <v>5980</v>
      </c>
      <c r="O213" s="4100"/>
      <c r="P213" s="4097">
        <v>1170</v>
      </c>
      <c r="Q213" s="4093" t="s">
        <v>5981</v>
      </c>
      <c r="R213" s="4098" t="s">
        <v>5982</v>
      </c>
      <c r="S213" s="4099" t="s">
        <v>5983</v>
      </c>
      <c r="T213" s="2139"/>
      <c r="U213" s="2139"/>
      <c r="V213" s="2139"/>
      <c r="W213" s="2139"/>
      <c r="X213" s="2139"/>
      <c r="Y213" s="2139"/>
      <c r="Z213" s="2139"/>
      <c r="AA213" s="2139"/>
      <c r="AB213" s="2139"/>
      <c r="AC213" s="2139"/>
      <c r="AD213" s="2139"/>
    </row>
    <row r="214" spans="1:30" ht="25.5">
      <c r="A214" s="4097">
        <v>199</v>
      </c>
      <c r="B214" s="4093" t="s">
        <v>5984</v>
      </c>
      <c r="C214" s="4098" t="s">
        <v>5985</v>
      </c>
      <c r="D214" s="4099" t="s">
        <v>5986</v>
      </c>
      <c r="E214" s="4100"/>
      <c r="F214" s="4097">
        <v>523</v>
      </c>
      <c r="G214" s="4093" t="s">
        <v>5987</v>
      </c>
      <c r="H214" s="4098" t="s">
        <v>5988</v>
      </c>
      <c r="I214" s="4099" t="s">
        <v>5989</v>
      </c>
      <c r="J214" s="4100"/>
      <c r="K214" s="4097">
        <v>847</v>
      </c>
      <c r="L214" s="4093" t="s">
        <v>5990</v>
      </c>
      <c r="M214" s="4098" t="s">
        <v>5991</v>
      </c>
      <c r="N214" s="4099" t="s">
        <v>5992</v>
      </c>
      <c r="O214" s="4100"/>
      <c r="P214" s="4097">
        <v>1171</v>
      </c>
      <c r="Q214" s="4093" t="s">
        <v>5993</v>
      </c>
      <c r="R214" s="4098" t="s">
        <v>5994</v>
      </c>
      <c r="S214" s="4099" t="s">
        <v>5995</v>
      </c>
      <c r="T214" s="2139"/>
      <c r="U214" s="2139"/>
      <c r="V214" s="2139"/>
      <c r="W214" s="2139"/>
      <c r="X214" s="2139"/>
      <c r="Y214" s="2139"/>
      <c r="Z214" s="2139"/>
      <c r="AA214" s="2139"/>
      <c r="AB214" s="2139"/>
      <c r="AC214" s="2139"/>
      <c r="AD214" s="2139"/>
    </row>
    <row r="215" spans="1:30" ht="25.5">
      <c r="A215" s="4097">
        <v>200</v>
      </c>
      <c r="B215" s="4093" t="s">
        <v>5996</v>
      </c>
      <c r="C215" s="4098" t="s">
        <v>5997</v>
      </c>
      <c r="D215" s="4099" t="s">
        <v>5998</v>
      </c>
      <c r="E215" s="4100"/>
      <c r="F215" s="4097">
        <v>524</v>
      </c>
      <c r="G215" s="4093" t="s">
        <v>5999</v>
      </c>
      <c r="H215" s="4098" t="s">
        <v>6000</v>
      </c>
      <c r="I215" s="4099" t="s">
        <v>6001</v>
      </c>
      <c r="J215" s="4100"/>
      <c r="K215" s="4097">
        <v>848</v>
      </c>
      <c r="L215" s="4093" t="s">
        <v>6002</v>
      </c>
      <c r="M215" s="4098" t="s">
        <v>6003</v>
      </c>
      <c r="N215" s="4099" t="s">
        <v>6004</v>
      </c>
      <c r="O215" s="4100"/>
      <c r="P215" s="4097">
        <v>1172</v>
      </c>
      <c r="Q215" s="4093" t="s">
        <v>6005</v>
      </c>
      <c r="R215" s="4098" t="s">
        <v>6006</v>
      </c>
      <c r="S215" s="4099" t="s">
        <v>6007</v>
      </c>
      <c r="T215" s="2139"/>
      <c r="U215" s="2139"/>
      <c r="V215" s="2139"/>
      <c r="W215" s="2139"/>
      <c r="X215" s="2139"/>
      <c r="Y215" s="2139"/>
      <c r="Z215" s="2139"/>
      <c r="AA215" s="2139"/>
      <c r="AB215" s="2139"/>
      <c r="AC215" s="2139"/>
      <c r="AD215" s="2139"/>
    </row>
    <row r="216" spans="1:30" ht="25.5">
      <c r="A216" s="4097">
        <v>201</v>
      </c>
      <c r="B216" s="4093" t="s">
        <v>6008</v>
      </c>
      <c r="C216" s="4098" t="s">
        <v>6009</v>
      </c>
      <c r="D216" s="4099" t="s">
        <v>6010</v>
      </c>
      <c r="E216" s="4100"/>
      <c r="F216" s="4097">
        <v>525</v>
      </c>
      <c r="G216" s="4093" t="s">
        <v>6011</v>
      </c>
      <c r="H216" s="4098" t="s">
        <v>6012</v>
      </c>
      <c r="I216" s="4099" t="s">
        <v>6013</v>
      </c>
      <c r="J216" s="4100"/>
      <c r="K216" s="4097">
        <v>849</v>
      </c>
      <c r="L216" s="4093" t="s">
        <v>6014</v>
      </c>
      <c r="M216" s="4098" t="s">
        <v>6015</v>
      </c>
      <c r="N216" s="4099" t="s">
        <v>6016</v>
      </c>
      <c r="O216" s="4100"/>
      <c r="P216" s="4097">
        <v>1173</v>
      </c>
      <c r="Q216" s="4093" t="s">
        <v>6017</v>
      </c>
      <c r="R216" s="4098" t="s">
        <v>6018</v>
      </c>
      <c r="S216" s="4099" t="s">
        <v>6019</v>
      </c>
      <c r="T216" s="2139"/>
      <c r="U216" s="2139"/>
      <c r="V216" s="2139"/>
      <c r="W216" s="2139"/>
      <c r="X216" s="2139"/>
      <c r="Y216" s="2139"/>
      <c r="Z216" s="2139"/>
      <c r="AA216" s="2139"/>
      <c r="AB216" s="2139"/>
      <c r="AC216" s="2139"/>
      <c r="AD216" s="2139"/>
    </row>
    <row r="217" spans="1:30">
      <c r="A217" s="4097">
        <v>202</v>
      </c>
      <c r="B217" s="4093" t="s">
        <v>6020</v>
      </c>
      <c r="C217" s="4098" t="s">
        <v>6021</v>
      </c>
      <c r="D217" s="4099" t="s">
        <v>6022</v>
      </c>
      <c r="E217" s="4100"/>
      <c r="F217" s="4097">
        <v>526</v>
      </c>
      <c r="G217" s="4093" t="s">
        <v>6023</v>
      </c>
      <c r="H217" s="4098" t="s">
        <v>6024</v>
      </c>
      <c r="I217" s="4099" t="s">
        <v>6025</v>
      </c>
      <c r="J217" s="4100"/>
      <c r="K217" s="4097">
        <v>850</v>
      </c>
      <c r="L217" s="4093" t="s">
        <v>6026</v>
      </c>
      <c r="M217" s="4098" t="s">
        <v>6027</v>
      </c>
      <c r="N217" s="4099" t="s">
        <v>4490</v>
      </c>
      <c r="O217" s="4100"/>
      <c r="P217" s="4097">
        <v>1174</v>
      </c>
      <c r="Q217" s="4093" t="s">
        <v>6028</v>
      </c>
      <c r="R217" s="4098" t="s">
        <v>6029</v>
      </c>
      <c r="S217" s="4099" t="s">
        <v>6030</v>
      </c>
      <c r="T217" s="2139"/>
      <c r="U217" s="2139"/>
      <c r="V217" s="2139"/>
      <c r="W217" s="2139"/>
      <c r="X217" s="2139"/>
      <c r="Y217" s="2139"/>
      <c r="Z217" s="2139"/>
      <c r="AA217" s="2139"/>
      <c r="AB217" s="2139"/>
      <c r="AC217" s="2139"/>
      <c r="AD217" s="2139"/>
    </row>
    <row r="218" spans="1:30">
      <c r="A218" s="4097">
        <v>203</v>
      </c>
      <c r="B218" s="4093" t="s">
        <v>6031</v>
      </c>
      <c r="C218" s="4098" t="s">
        <v>6032</v>
      </c>
      <c r="D218" s="4099" t="s">
        <v>6033</v>
      </c>
      <c r="E218" s="4100"/>
      <c r="F218" s="4097">
        <v>527</v>
      </c>
      <c r="G218" s="4093" t="s">
        <v>6034</v>
      </c>
      <c r="H218" s="4098" t="s">
        <v>6035</v>
      </c>
      <c r="I218" s="4099" t="s">
        <v>6036</v>
      </c>
      <c r="J218" s="4100"/>
      <c r="K218" s="4097">
        <v>851</v>
      </c>
      <c r="L218" s="4093" t="s">
        <v>6037</v>
      </c>
      <c r="M218" s="4098" t="s">
        <v>6038</v>
      </c>
      <c r="N218" s="4099" t="s">
        <v>6039</v>
      </c>
      <c r="O218" s="4100"/>
      <c r="P218" s="4097">
        <v>1175</v>
      </c>
      <c r="Q218" s="4093" t="s">
        <v>6040</v>
      </c>
      <c r="R218" s="4098" t="s">
        <v>6041</v>
      </c>
      <c r="S218" s="4099" t="s">
        <v>6042</v>
      </c>
      <c r="T218" s="2139"/>
      <c r="U218" s="2139"/>
      <c r="V218" s="2139"/>
      <c r="W218" s="2139"/>
      <c r="X218" s="2139"/>
      <c r="Y218" s="2139"/>
      <c r="Z218" s="2139"/>
      <c r="AA218" s="2139"/>
      <c r="AB218" s="2139"/>
      <c r="AC218" s="2139"/>
      <c r="AD218" s="2139"/>
    </row>
    <row r="219" spans="1:30" ht="25.5">
      <c r="A219" s="4097">
        <v>204</v>
      </c>
      <c r="B219" s="4093" t="s">
        <v>6043</v>
      </c>
      <c r="C219" s="4098" t="s">
        <v>6044</v>
      </c>
      <c r="D219" s="4099" t="s">
        <v>6045</v>
      </c>
      <c r="E219" s="4100"/>
      <c r="F219" s="4097">
        <v>528</v>
      </c>
      <c r="G219" s="4093" t="s">
        <v>6046</v>
      </c>
      <c r="H219" s="4098" t="s">
        <v>6047</v>
      </c>
      <c r="I219" s="4099" t="s">
        <v>6048</v>
      </c>
      <c r="J219" s="4100"/>
      <c r="K219" s="4097">
        <v>852</v>
      </c>
      <c r="L219" s="4093" t="s">
        <v>6049</v>
      </c>
      <c r="M219" s="4098" t="s">
        <v>6050</v>
      </c>
      <c r="N219" s="4099" t="s">
        <v>6051</v>
      </c>
      <c r="O219" s="4100"/>
      <c r="P219" s="4097">
        <v>1176</v>
      </c>
      <c r="Q219" s="4093" t="s">
        <v>6052</v>
      </c>
      <c r="R219" s="4098" t="s">
        <v>6053</v>
      </c>
      <c r="S219" s="4099" t="s">
        <v>6054</v>
      </c>
      <c r="T219" s="2139"/>
      <c r="U219" s="2139"/>
      <c r="V219" s="2139"/>
      <c r="W219" s="2139"/>
      <c r="X219" s="2139"/>
      <c r="Y219" s="2139"/>
      <c r="Z219" s="2139"/>
      <c r="AA219" s="2139"/>
      <c r="AB219" s="2139"/>
      <c r="AC219" s="2139"/>
      <c r="AD219" s="2139"/>
    </row>
    <row r="220" spans="1:30" ht="25.5">
      <c r="A220" s="4097">
        <v>205</v>
      </c>
      <c r="B220" s="4093" t="s">
        <v>6055</v>
      </c>
      <c r="C220" s="4098" t="s">
        <v>6056</v>
      </c>
      <c r="D220" s="4099" t="s">
        <v>6057</v>
      </c>
      <c r="E220" s="4100"/>
      <c r="F220" s="4097">
        <v>529</v>
      </c>
      <c r="G220" s="4093" t="s">
        <v>6058</v>
      </c>
      <c r="H220" s="4098" t="s">
        <v>6059</v>
      </c>
      <c r="I220" s="4099" t="s">
        <v>6060</v>
      </c>
      <c r="J220" s="4100"/>
      <c r="K220" s="4097">
        <v>853</v>
      </c>
      <c r="L220" s="4093" t="s">
        <v>6061</v>
      </c>
      <c r="M220" s="4098" t="s">
        <v>6062</v>
      </c>
      <c r="N220" s="4099" t="s">
        <v>6063</v>
      </c>
      <c r="O220" s="4100"/>
      <c r="P220" s="4097">
        <v>1177</v>
      </c>
      <c r="Q220" s="4093" t="s">
        <v>6064</v>
      </c>
      <c r="R220" s="4098" t="s">
        <v>6065</v>
      </c>
      <c r="S220" s="4099" t="s">
        <v>6066</v>
      </c>
      <c r="T220" s="2139"/>
      <c r="U220" s="2139"/>
      <c r="V220" s="2139"/>
      <c r="W220" s="2139"/>
      <c r="X220" s="2139"/>
      <c r="Y220" s="2139"/>
      <c r="Z220" s="2139"/>
      <c r="AA220" s="2139"/>
      <c r="AB220" s="2139"/>
      <c r="AC220" s="2139"/>
      <c r="AD220" s="2139"/>
    </row>
    <row r="221" spans="1:30" ht="25.5">
      <c r="A221" s="4097">
        <v>206</v>
      </c>
      <c r="B221" s="4093" t="s">
        <v>6067</v>
      </c>
      <c r="C221" s="4098" t="s">
        <v>6068</v>
      </c>
      <c r="D221" s="4099" t="s">
        <v>6069</v>
      </c>
      <c r="E221" s="4100"/>
      <c r="F221" s="4097">
        <v>530</v>
      </c>
      <c r="G221" s="4093" t="s">
        <v>6070</v>
      </c>
      <c r="H221" s="4098" t="s">
        <v>6071</v>
      </c>
      <c r="I221" s="4099" t="s">
        <v>6072</v>
      </c>
      <c r="J221" s="4100"/>
      <c r="K221" s="4097">
        <v>854</v>
      </c>
      <c r="L221" s="4093" t="s">
        <v>6073</v>
      </c>
      <c r="M221" s="4098" t="s">
        <v>6074</v>
      </c>
      <c r="N221" s="4099" t="s">
        <v>6075</v>
      </c>
      <c r="O221" s="4100"/>
      <c r="P221" s="4097">
        <v>1178</v>
      </c>
      <c r="Q221" s="4093" t="s">
        <v>6076</v>
      </c>
      <c r="R221" s="4098" t="s">
        <v>6077</v>
      </c>
      <c r="S221" s="4099" t="s">
        <v>6078</v>
      </c>
      <c r="T221" s="2139"/>
      <c r="U221" s="2139"/>
      <c r="V221" s="2139"/>
      <c r="W221" s="2139"/>
      <c r="X221" s="2139"/>
      <c r="Y221" s="2139"/>
      <c r="Z221" s="2139"/>
      <c r="AA221" s="2139"/>
      <c r="AB221" s="2139"/>
      <c r="AC221" s="2139"/>
      <c r="AD221" s="2139"/>
    </row>
    <row r="222" spans="1:30" ht="25.5">
      <c r="A222" s="4097">
        <v>207</v>
      </c>
      <c r="B222" s="4093" t="s">
        <v>6079</v>
      </c>
      <c r="C222" s="4098" t="s">
        <v>6080</v>
      </c>
      <c r="D222" s="4099" t="s">
        <v>6081</v>
      </c>
      <c r="E222" s="4100"/>
      <c r="F222" s="4097">
        <v>531</v>
      </c>
      <c r="G222" s="4093" t="s">
        <v>6082</v>
      </c>
      <c r="H222" s="4098" t="s">
        <v>6083</v>
      </c>
      <c r="I222" s="4099" t="s">
        <v>6084</v>
      </c>
      <c r="J222" s="4100"/>
      <c r="K222" s="4097">
        <v>855</v>
      </c>
      <c r="L222" s="4093" t="s">
        <v>6085</v>
      </c>
      <c r="M222" s="4098" t="s">
        <v>6086</v>
      </c>
      <c r="N222" s="4099" t="s">
        <v>6087</v>
      </c>
      <c r="O222" s="4100"/>
      <c r="P222" s="4097">
        <v>1179</v>
      </c>
      <c r="Q222" s="4093" t="s">
        <v>6088</v>
      </c>
      <c r="R222" s="4098" t="s">
        <v>6089</v>
      </c>
      <c r="S222" s="4099" t="s">
        <v>6090</v>
      </c>
      <c r="T222" s="2139"/>
      <c r="U222" s="2139"/>
      <c r="V222" s="2139"/>
      <c r="W222" s="2139"/>
      <c r="X222" s="2139"/>
      <c r="Y222" s="2139"/>
      <c r="Z222" s="2139"/>
      <c r="AA222" s="2139"/>
      <c r="AB222" s="2139"/>
      <c r="AC222" s="2139"/>
      <c r="AD222" s="2139"/>
    </row>
    <row r="223" spans="1:30">
      <c r="A223" s="4097">
        <v>208</v>
      </c>
      <c r="B223" s="4093" t="s">
        <v>6091</v>
      </c>
      <c r="C223" s="4098" t="s">
        <v>6092</v>
      </c>
      <c r="D223" s="4099" t="s">
        <v>6093</v>
      </c>
      <c r="E223" s="4100"/>
      <c r="F223" s="4097">
        <v>532</v>
      </c>
      <c r="G223" s="4093" t="s">
        <v>6094</v>
      </c>
      <c r="H223" s="4098" t="s">
        <v>6095</v>
      </c>
      <c r="I223" s="4099" t="s">
        <v>6096</v>
      </c>
      <c r="J223" s="4100"/>
      <c r="K223" s="4097">
        <v>856</v>
      </c>
      <c r="L223" s="4093" t="s">
        <v>6097</v>
      </c>
      <c r="M223" s="4098" t="s">
        <v>6098</v>
      </c>
      <c r="N223" s="4099" t="s">
        <v>6099</v>
      </c>
      <c r="O223" s="4100"/>
      <c r="P223" s="4097">
        <v>1180</v>
      </c>
      <c r="Q223" s="4093" t="s">
        <v>6100</v>
      </c>
      <c r="R223" s="4098" t="s">
        <v>6101</v>
      </c>
      <c r="S223" s="4099" t="s">
        <v>6102</v>
      </c>
      <c r="T223" s="2139"/>
      <c r="U223" s="2139"/>
      <c r="V223" s="2139"/>
      <c r="W223" s="2139"/>
      <c r="X223" s="2139"/>
      <c r="Y223" s="2139"/>
      <c r="Z223" s="2139"/>
      <c r="AA223" s="2139"/>
      <c r="AB223" s="2139"/>
      <c r="AC223" s="2139"/>
      <c r="AD223" s="2139"/>
    </row>
    <row r="224" spans="1:30">
      <c r="A224" s="4097">
        <v>209</v>
      </c>
      <c r="B224" s="4093" t="s">
        <v>6103</v>
      </c>
      <c r="C224" s="4098" t="s">
        <v>6104</v>
      </c>
      <c r="D224" s="4099" t="s">
        <v>6105</v>
      </c>
      <c r="E224" s="4100"/>
      <c r="F224" s="4097">
        <v>533</v>
      </c>
      <c r="G224" s="4093" t="s">
        <v>6106</v>
      </c>
      <c r="H224" s="4098" t="s">
        <v>6107</v>
      </c>
      <c r="I224" s="4099" t="s">
        <v>6108</v>
      </c>
      <c r="J224" s="4100"/>
      <c r="K224" s="4097">
        <v>857</v>
      </c>
      <c r="L224" s="4093" t="s">
        <v>6109</v>
      </c>
      <c r="M224" s="4098" t="s">
        <v>6110</v>
      </c>
      <c r="N224" s="4099" t="s">
        <v>6099</v>
      </c>
      <c r="O224" s="4100"/>
      <c r="P224" s="4097">
        <v>1181</v>
      </c>
      <c r="Q224" s="4093" t="s">
        <v>6111</v>
      </c>
      <c r="R224" s="4098" t="s">
        <v>6112</v>
      </c>
      <c r="S224" s="4099" t="s">
        <v>6113</v>
      </c>
      <c r="T224" s="2139"/>
      <c r="U224" s="2139"/>
      <c r="V224" s="2139"/>
      <c r="W224" s="2139"/>
      <c r="X224" s="2139"/>
      <c r="Y224" s="2139"/>
      <c r="Z224" s="2139"/>
      <c r="AA224" s="2139"/>
      <c r="AB224" s="2139"/>
      <c r="AC224" s="2139"/>
      <c r="AD224" s="2139"/>
    </row>
    <row r="225" spans="1:30">
      <c r="A225" s="4097">
        <v>210</v>
      </c>
      <c r="B225" s="4093" t="s">
        <v>6114</v>
      </c>
      <c r="C225" s="4098" t="s">
        <v>6115</v>
      </c>
      <c r="D225" s="4099" t="s">
        <v>6116</v>
      </c>
      <c r="E225" s="4100"/>
      <c r="F225" s="4097">
        <v>534</v>
      </c>
      <c r="G225" s="4093" t="s">
        <v>6117</v>
      </c>
      <c r="H225" s="4098" t="s">
        <v>6118</v>
      </c>
      <c r="I225" s="4099" t="s">
        <v>6119</v>
      </c>
      <c r="J225" s="4100"/>
      <c r="K225" s="4097">
        <v>858</v>
      </c>
      <c r="L225" s="4093" t="s">
        <v>6120</v>
      </c>
      <c r="M225" s="4098" t="s">
        <v>6121</v>
      </c>
      <c r="N225" s="4099" t="s">
        <v>6122</v>
      </c>
      <c r="O225" s="4100"/>
      <c r="P225" s="4097">
        <v>1182</v>
      </c>
      <c r="Q225" s="4093" t="s">
        <v>6123</v>
      </c>
      <c r="R225" s="4098" t="s">
        <v>6124</v>
      </c>
      <c r="S225" s="4099" t="s">
        <v>6125</v>
      </c>
      <c r="T225" s="2139"/>
      <c r="U225" s="2139"/>
      <c r="V225" s="2139"/>
      <c r="W225" s="2139"/>
      <c r="X225" s="2139"/>
      <c r="Y225" s="2139"/>
      <c r="Z225" s="2139"/>
      <c r="AA225" s="2139"/>
      <c r="AB225" s="2139"/>
      <c r="AC225" s="2139"/>
      <c r="AD225" s="2139"/>
    </row>
    <row r="226" spans="1:30" ht="25.5">
      <c r="A226" s="4097">
        <v>211</v>
      </c>
      <c r="B226" s="4093" t="s">
        <v>6126</v>
      </c>
      <c r="C226" s="4098" t="s">
        <v>6127</v>
      </c>
      <c r="D226" s="4099" t="s">
        <v>6128</v>
      </c>
      <c r="E226" s="4100"/>
      <c r="F226" s="4097">
        <v>535</v>
      </c>
      <c r="G226" s="4093" t="s">
        <v>6129</v>
      </c>
      <c r="H226" s="4098" t="s">
        <v>6130</v>
      </c>
      <c r="I226" s="4099" t="s">
        <v>6131</v>
      </c>
      <c r="J226" s="4100"/>
      <c r="K226" s="4097">
        <v>859</v>
      </c>
      <c r="L226" s="4093" t="s">
        <v>6132</v>
      </c>
      <c r="M226" s="4098" t="s">
        <v>6133</v>
      </c>
      <c r="N226" s="4099" t="s">
        <v>6134</v>
      </c>
      <c r="O226" s="4100"/>
      <c r="P226" s="4097">
        <v>1183</v>
      </c>
      <c r="Q226" s="4093" t="s">
        <v>6135</v>
      </c>
      <c r="R226" s="4098" t="s">
        <v>6136</v>
      </c>
      <c r="S226" s="4099" t="s">
        <v>6137</v>
      </c>
      <c r="T226" s="2139"/>
      <c r="U226" s="2139"/>
      <c r="V226" s="2139"/>
      <c r="W226" s="2139"/>
      <c r="X226" s="2139"/>
      <c r="Y226" s="2139"/>
      <c r="Z226" s="2139"/>
      <c r="AA226" s="2139"/>
      <c r="AB226" s="2139"/>
      <c r="AC226" s="2139"/>
      <c r="AD226" s="2139"/>
    </row>
    <row r="227" spans="1:30" ht="38.25">
      <c r="A227" s="4097">
        <v>212</v>
      </c>
      <c r="B227" s="4093" t="s">
        <v>6138</v>
      </c>
      <c r="C227" s="4098" t="s">
        <v>6139</v>
      </c>
      <c r="D227" s="4099" t="s">
        <v>6140</v>
      </c>
      <c r="E227" s="4100"/>
      <c r="F227" s="4097">
        <v>536</v>
      </c>
      <c r="G227" s="4093" t="s">
        <v>6141</v>
      </c>
      <c r="H227" s="4098" t="s">
        <v>6142</v>
      </c>
      <c r="I227" s="4099" t="s">
        <v>6143</v>
      </c>
      <c r="J227" s="4100"/>
      <c r="K227" s="4097">
        <v>860</v>
      </c>
      <c r="L227" s="4093" t="s">
        <v>6144</v>
      </c>
      <c r="M227" s="4098" t="s">
        <v>6145</v>
      </c>
      <c r="N227" s="4099" t="s">
        <v>6146</v>
      </c>
      <c r="O227" s="4100"/>
      <c r="P227" s="4097">
        <v>1184</v>
      </c>
      <c r="Q227" s="4093" t="s">
        <v>6147</v>
      </c>
      <c r="R227" s="4098" t="s">
        <v>6148</v>
      </c>
      <c r="S227" s="4099" t="s">
        <v>6149</v>
      </c>
      <c r="T227" s="2139"/>
      <c r="U227" s="2139"/>
      <c r="V227" s="2139"/>
      <c r="W227" s="2139"/>
      <c r="X227" s="2139"/>
      <c r="Y227" s="2139"/>
      <c r="Z227" s="2139"/>
      <c r="AA227" s="2139"/>
      <c r="AB227" s="2139"/>
      <c r="AC227" s="2139"/>
      <c r="AD227" s="2139"/>
    </row>
    <row r="228" spans="1:30" ht="25.5">
      <c r="A228" s="4097">
        <v>213</v>
      </c>
      <c r="B228" s="4093" t="s">
        <v>6150</v>
      </c>
      <c r="C228" s="4098" t="s">
        <v>6151</v>
      </c>
      <c r="D228" s="4099" t="s">
        <v>6152</v>
      </c>
      <c r="E228" s="4100"/>
      <c r="F228" s="4097">
        <v>537</v>
      </c>
      <c r="G228" s="4093" t="s">
        <v>6153</v>
      </c>
      <c r="H228" s="4098" t="s">
        <v>6154</v>
      </c>
      <c r="I228" s="4099" t="s">
        <v>6155</v>
      </c>
      <c r="J228" s="4100"/>
      <c r="K228" s="4097">
        <v>861</v>
      </c>
      <c r="L228" s="4093" t="s">
        <v>6156</v>
      </c>
      <c r="M228" s="4098" t="s">
        <v>6157</v>
      </c>
      <c r="N228" s="4099" t="s">
        <v>6158</v>
      </c>
      <c r="O228" s="4100"/>
      <c r="P228" s="4097">
        <v>1185</v>
      </c>
      <c r="Q228" s="4093" t="s">
        <v>6159</v>
      </c>
      <c r="R228" s="4098" t="s">
        <v>6160</v>
      </c>
      <c r="S228" s="4099" t="s">
        <v>6161</v>
      </c>
      <c r="T228" s="2139"/>
      <c r="U228" s="2139"/>
      <c r="V228" s="2139"/>
      <c r="W228" s="2139"/>
      <c r="X228" s="2139"/>
      <c r="Y228" s="2139"/>
      <c r="Z228" s="2139"/>
      <c r="AA228" s="2139"/>
      <c r="AB228" s="2139"/>
      <c r="AC228" s="2139"/>
      <c r="AD228" s="2139"/>
    </row>
    <row r="229" spans="1:30" ht="25.5">
      <c r="A229" s="4097">
        <v>214</v>
      </c>
      <c r="B229" s="4093" t="s">
        <v>6162</v>
      </c>
      <c r="C229" s="4098" t="s">
        <v>6163</v>
      </c>
      <c r="D229" s="4099" t="s">
        <v>6164</v>
      </c>
      <c r="E229" s="4100"/>
      <c r="F229" s="4097">
        <v>538</v>
      </c>
      <c r="G229" s="4093" t="s">
        <v>6165</v>
      </c>
      <c r="H229" s="4098" t="s">
        <v>6166</v>
      </c>
      <c r="I229" s="4099" t="s">
        <v>6167</v>
      </c>
      <c r="J229" s="4100"/>
      <c r="K229" s="4097">
        <v>862</v>
      </c>
      <c r="L229" s="4093" t="s">
        <v>6168</v>
      </c>
      <c r="M229" s="4098" t="s">
        <v>6169</v>
      </c>
      <c r="N229" s="4099" t="s">
        <v>6170</v>
      </c>
      <c r="O229" s="4100"/>
      <c r="P229" s="4097">
        <v>1186</v>
      </c>
      <c r="Q229" s="4093" t="s">
        <v>6171</v>
      </c>
      <c r="R229" s="4098" t="s">
        <v>6172</v>
      </c>
      <c r="S229" s="4099" t="s">
        <v>6173</v>
      </c>
      <c r="T229" s="2139"/>
      <c r="U229" s="2139"/>
      <c r="V229" s="2139"/>
      <c r="W229" s="2139"/>
      <c r="X229" s="2139"/>
      <c r="Y229" s="2139"/>
      <c r="Z229" s="2139"/>
      <c r="AA229" s="2139"/>
      <c r="AB229" s="2139"/>
      <c r="AC229" s="2139"/>
      <c r="AD229" s="2139"/>
    </row>
    <row r="230" spans="1:30" ht="25.5">
      <c r="A230" s="4097">
        <v>215</v>
      </c>
      <c r="B230" s="4093" t="s">
        <v>6174</v>
      </c>
      <c r="C230" s="4098" t="s">
        <v>6175</v>
      </c>
      <c r="D230" s="4099" t="s">
        <v>6176</v>
      </c>
      <c r="E230" s="4100"/>
      <c r="F230" s="4097">
        <v>539</v>
      </c>
      <c r="G230" s="4093" t="s">
        <v>6177</v>
      </c>
      <c r="H230" s="4098" t="s">
        <v>6178</v>
      </c>
      <c r="I230" s="4099" t="s">
        <v>6179</v>
      </c>
      <c r="J230" s="4100"/>
      <c r="K230" s="4097">
        <v>863</v>
      </c>
      <c r="L230" s="4093" t="s">
        <v>6180</v>
      </c>
      <c r="M230" s="4098" t="s">
        <v>6181</v>
      </c>
      <c r="N230" s="4099" t="s">
        <v>6182</v>
      </c>
      <c r="O230" s="4100"/>
      <c r="P230" s="4097">
        <v>1187</v>
      </c>
      <c r="Q230" s="4093" t="s">
        <v>6183</v>
      </c>
      <c r="R230" s="4098" t="s">
        <v>6184</v>
      </c>
      <c r="S230" s="4099" t="s">
        <v>6185</v>
      </c>
      <c r="T230" s="2139"/>
      <c r="U230" s="2139"/>
      <c r="V230" s="2139"/>
      <c r="W230" s="2139"/>
      <c r="X230" s="2139"/>
      <c r="Y230" s="2139"/>
      <c r="Z230" s="2139"/>
      <c r="AA230" s="2139"/>
      <c r="AB230" s="2139"/>
      <c r="AC230" s="2139"/>
      <c r="AD230" s="2139"/>
    </row>
    <row r="231" spans="1:30" ht="25.5">
      <c r="A231" s="4097">
        <v>216</v>
      </c>
      <c r="B231" s="4093" t="s">
        <v>6186</v>
      </c>
      <c r="C231" s="4098" t="s">
        <v>6187</v>
      </c>
      <c r="D231" s="4099" t="s">
        <v>6188</v>
      </c>
      <c r="E231" s="4100"/>
      <c r="F231" s="4097">
        <v>540</v>
      </c>
      <c r="G231" s="4093" t="s">
        <v>6189</v>
      </c>
      <c r="H231" s="4098" t="s">
        <v>6190</v>
      </c>
      <c r="I231" s="4099" t="s">
        <v>6191</v>
      </c>
      <c r="J231" s="4100"/>
      <c r="K231" s="4097">
        <v>864</v>
      </c>
      <c r="L231" s="4093" t="s">
        <v>6192</v>
      </c>
      <c r="M231" s="4098" t="s">
        <v>6193</v>
      </c>
      <c r="N231" s="4099" t="s">
        <v>6194</v>
      </c>
      <c r="O231" s="4100"/>
      <c r="P231" s="4097">
        <v>1188</v>
      </c>
      <c r="Q231" s="4093" t="s">
        <v>6195</v>
      </c>
      <c r="R231" s="4098" t="s">
        <v>6196</v>
      </c>
      <c r="S231" s="4099" t="s">
        <v>6197</v>
      </c>
      <c r="T231" s="2139"/>
      <c r="U231" s="2139"/>
      <c r="V231" s="2139"/>
      <c r="W231" s="2139"/>
      <c r="X231" s="2139"/>
      <c r="Y231" s="2139"/>
      <c r="Z231" s="2139"/>
      <c r="AA231" s="2139"/>
      <c r="AB231" s="2139"/>
      <c r="AC231" s="2139"/>
      <c r="AD231" s="2139"/>
    </row>
    <row r="232" spans="1:30">
      <c r="A232" s="4097">
        <v>217</v>
      </c>
      <c r="B232" s="4093" t="s">
        <v>6198</v>
      </c>
      <c r="C232" s="4098" t="s">
        <v>6199</v>
      </c>
      <c r="D232" s="4099" t="s">
        <v>6200</v>
      </c>
      <c r="E232" s="4100"/>
      <c r="F232" s="4097">
        <v>541</v>
      </c>
      <c r="G232" s="4093" t="s">
        <v>6201</v>
      </c>
      <c r="H232" s="4098" t="s">
        <v>6202</v>
      </c>
      <c r="I232" s="4099" t="s">
        <v>6203</v>
      </c>
      <c r="J232" s="4100"/>
      <c r="K232" s="4097">
        <v>865</v>
      </c>
      <c r="L232" s="4093" t="s">
        <v>6204</v>
      </c>
      <c r="M232" s="4098" t="s">
        <v>6205</v>
      </c>
      <c r="N232" s="4099" t="s">
        <v>6206</v>
      </c>
      <c r="O232" s="4100"/>
      <c r="P232" s="4097">
        <v>1189</v>
      </c>
      <c r="Q232" s="4093" t="s">
        <v>6207</v>
      </c>
      <c r="R232" s="4098" t="s">
        <v>6208</v>
      </c>
      <c r="S232" s="4099" t="s">
        <v>6209</v>
      </c>
      <c r="T232" s="2139"/>
      <c r="U232" s="2139"/>
      <c r="V232" s="2139"/>
      <c r="W232" s="2139"/>
      <c r="X232" s="2139"/>
      <c r="Y232" s="2139"/>
      <c r="Z232" s="2139"/>
      <c r="AA232" s="2139"/>
      <c r="AB232" s="2139"/>
      <c r="AC232" s="2139"/>
      <c r="AD232" s="2139"/>
    </row>
    <row r="233" spans="1:30">
      <c r="A233" s="4097">
        <v>218</v>
      </c>
      <c r="B233" s="4093" t="s">
        <v>6210</v>
      </c>
      <c r="C233" s="4098" t="s">
        <v>6211</v>
      </c>
      <c r="D233" s="4099" t="s">
        <v>6212</v>
      </c>
      <c r="E233" s="4100"/>
      <c r="F233" s="4097">
        <v>542</v>
      </c>
      <c r="G233" s="4093" t="s">
        <v>6213</v>
      </c>
      <c r="H233" s="4098" t="s">
        <v>6214</v>
      </c>
      <c r="I233" s="4099" t="s">
        <v>6215</v>
      </c>
      <c r="J233" s="4100"/>
      <c r="K233" s="4097">
        <v>866</v>
      </c>
      <c r="L233" s="4093" t="s">
        <v>6216</v>
      </c>
      <c r="M233" s="4098" t="s">
        <v>6217</v>
      </c>
      <c r="N233" s="4099" t="s">
        <v>6218</v>
      </c>
      <c r="O233" s="4100"/>
      <c r="P233" s="4097">
        <v>1190</v>
      </c>
      <c r="Q233" s="4093" t="s">
        <v>6219</v>
      </c>
      <c r="R233" s="4098" t="s">
        <v>6220</v>
      </c>
      <c r="S233" s="4099" t="s">
        <v>6221</v>
      </c>
      <c r="T233" s="2139"/>
      <c r="U233" s="2139"/>
      <c r="V233" s="2139"/>
      <c r="W233" s="2139"/>
      <c r="X233" s="2139"/>
      <c r="Y233" s="2139"/>
      <c r="Z233" s="2139"/>
      <c r="AA233" s="2139"/>
      <c r="AB233" s="2139"/>
      <c r="AC233" s="2139"/>
      <c r="AD233" s="2139"/>
    </row>
    <row r="234" spans="1:30">
      <c r="A234" s="4097">
        <v>219</v>
      </c>
      <c r="B234" s="4093" t="s">
        <v>6222</v>
      </c>
      <c r="C234" s="4098" t="s">
        <v>6223</v>
      </c>
      <c r="D234" s="4099" t="s">
        <v>6224</v>
      </c>
      <c r="E234" s="4100"/>
      <c r="F234" s="4097">
        <v>543</v>
      </c>
      <c r="G234" s="4093" t="s">
        <v>6225</v>
      </c>
      <c r="H234" s="4098" t="s">
        <v>6226</v>
      </c>
      <c r="I234" s="4099" t="s">
        <v>6227</v>
      </c>
      <c r="J234" s="4100"/>
      <c r="K234" s="4097">
        <v>867</v>
      </c>
      <c r="L234" s="4093" t="s">
        <v>6228</v>
      </c>
      <c r="M234" s="4098" t="s">
        <v>6229</v>
      </c>
      <c r="N234" s="4099" t="s">
        <v>6230</v>
      </c>
      <c r="O234" s="4100"/>
      <c r="P234" s="4097">
        <v>1191</v>
      </c>
      <c r="Q234" s="4093" t="s">
        <v>6231</v>
      </c>
      <c r="R234" s="4098" t="s">
        <v>6232</v>
      </c>
      <c r="S234" s="4099" t="s">
        <v>6233</v>
      </c>
      <c r="T234" s="2139"/>
      <c r="U234" s="2139"/>
      <c r="V234" s="2139"/>
      <c r="W234" s="2139"/>
      <c r="X234" s="2139"/>
      <c r="Y234" s="2139"/>
      <c r="Z234" s="2139"/>
      <c r="AA234" s="2139"/>
      <c r="AB234" s="2139"/>
      <c r="AC234" s="2139"/>
      <c r="AD234" s="2139"/>
    </row>
    <row r="235" spans="1:30" ht="25.5">
      <c r="A235" s="4097">
        <v>220</v>
      </c>
      <c r="B235" s="4093" t="s">
        <v>6234</v>
      </c>
      <c r="C235" s="4098" t="s">
        <v>6235</v>
      </c>
      <c r="D235" s="4099" t="s">
        <v>6236</v>
      </c>
      <c r="E235" s="4100"/>
      <c r="F235" s="4097">
        <v>544</v>
      </c>
      <c r="G235" s="4093" t="s">
        <v>6237</v>
      </c>
      <c r="H235" s="4098" t="s">
        <v>6238</v>
      </c>
      <c r="I235" s="4099" t="s">
        <v>6239</v>
      </c>
      <c r="J235" s="4100"/>
      <c r="K235" s="4097">
        <v>868</v>
      </c>
      <c r="L235" s="4093" t="s">
        <v>6240</v>
      </c>
      <c r="M235" s="4098" t="s">
        <v>6241</v>
      </c>
      <c r="N235" s="4099" t="s">
        <v>6242</v>
      </c>
      <c r="O235" s="4100"/>
      <c r="P235" s="4097">
        <v>1192</v>
      </c>
      <c r="Q235" s="4093" t="s">
        <v>6243</v>
      </c>
      <c r="R235" s="4098" t="s">
        <v>6244</v>
      </c>
      <c r="S235" s="4099" t="s">
        <v>6245</v>
      </c>
      <c r="T235" s="2139"/>
      <c r="U235" s="2139"/>
      <c r="V235" s="2139"/>
      <c r="W235" s="2139"/>
      <c r="X235" s="2139"/>
      <c r="Y235" s="2139"/>
      <c r="Z235" s="2139"/>
      <c r="AA235" s="2139"/>
      <c r="AB235" s="2139"/>
      <c r="AC235" s="2139"/>
      <c r="AD235" s="2139"/>
    </row>
    <row r="236" spans="1:30">
      <c r="A236" s="4097">
        <v>221</v>
      </c>
      <c r="B236" s="4093" t="s">
        <v>6246</v>
      </c>
      <c r="C236" s="4098" t="s">
        <v>6247</v>
      </c>
      <c r="D236" s="4099" t="s">
        <v>6248</v>
      </c>
      <c r="E236" s="4100"/>
      <c r="F236" s="4097">
        <v>545</v>
      </c>
      <c r="G236" s="4093" t="s">
        <v>6249</v>
      </c>
      <c r="H236" s="4098" t="s">
        <v>6250</v>
      </c>
      <c r="I236" s="4099" t="s">
        <v>6251</v>
      </c>
      <c r="J236" s="4100"/>
      <c r="K236" s="4097">
        <v>869</v>
      </c>
      <c r="L236" s="4093" t="s">
        <v>6252</v>
      </c>
      <c r="M236" s="4098" t="s">
        <v>6253</v>
      </c>
      <c r="N236" s="4099" t="s">
        <v>6254</v>
      </c>
      <c r="O236" s="4100"/>
      <c r="P236" s="4097">
        <v>1193</v>
      </c>
      <c r="Q236" s="4093" t="s">
        <v>6255</v>
      </c>
      <c r="R236" s="4098" t="s">
        <v>6256</v>
      </c>
      <c r="S236" s="4099" t="s">
        <v>6257</v>
      </c>
      <c r="T236" s="2139"/>
      <c r="U236" s="2139"/>
      <c r="V236" s="2139"/>
      <c r="W236" s="2139"/>
      <c r="X236" s="2139"/>
      <c r="Y236" s="2139"/>
      <c r="Z236" s="2139"/>
      <c r="AA236" s="2139"/>
      <c r="AB236" s="2139"/>
      <c r="AC236" s="2139"/>
      <c r="AD236" s="2139"/>
    </row>
    <row r="237" spans="1:30">
      <c r="A237" s="4097">
        <v>222</v>
      </c>
      <c r="B237" s="4093" t="s">
        <v>6258</v>
      </c>
      <c r="C237" s="4098" t="s">
        <v>6259</v>
      </c>
      <c r="D237" s="4099" t="s">
        <v>6260</v>
      </c>
      <c r="E237" s="4100"/>
      <c r="F237" s="4097">
        <v>546</v>
      </c>
      <c r="G237" s="4093" t="s">
        <v>6261</v>
      </c>
      <c r="H237" s="4098" t="s">
        <v>6262</v>
      </c>
      <c r="I237" s="4099" t="s">
        <v>6263</v>
      </c>
      <c r="J237" s="4100"/>
      <c r="K237" s="4097">
        <v>870</v>
      </c>
      <c r="L237" s="4093" t="s">
        <v>6264</v>
      </c>
      <c r="M237" s="4098" t="s">
        <v>6265</v>
      </c>
      <c r="N237" s="4099" t="s">
        <v>6266</v>
      </c>
      <c r="O237" s="4100"/>
      <c r="P237" s="4097">
        <v>1194</v>
      </c>
      <c r="Q237" s="4093" t="s">
        <v>6267</v>
      </c>
      <c r="R237" s="4098" t="s">
        <v>6268</v>
      </c>
      <c r="S237" s="4099" t="s">
        <v>6269</v>
      </c>
      <c r="T237" s="2139"/>
      <c r="U237" s="2139"/>
      <c r="V237" s="2139"/>
      <c r="W237" s="2139"/>
      <c r="X237" s="2139"/>
      <c r="Y237" s="2139"/>
      <c r="Z237" s="2139"/>
      <c r="AA237" s="2139"/>
      <c r="AB237" s="2139"/>
      <c r="AC237" s="2139"/>
      <c r="AD237" s="2139"/>
    </row>
    <row r="238" spans="1:30" ht="25.5">
      <c r="A238" s="4097">
        <v>223</v>
      </c>
      <c r="B238" s="4093" t="s">
        <v>6270</v>
      </c>
      <c r="C238" s="4098" t="s">
        <v>6271</v>
      </c>
      <c r="D238" s="4099" t="s">
        <v>6272</v>
      </c>
      <c r="E238" s="4100"/>
      <c r="F238" s="4097">
        <v>547</v>
      </c>
      <c r="G238" s="4093" t="s">
        <v>6273</v>
      </c>
      <c r="H238" s="4098" t="s">
        <v>6274</v>
      </c>
      <c r="I238" s="4099" t="s">
        <v>6275</v>
      </c>
      <c r="J238" s="4100"/>
      <c r="K238" s="4097">
        <v>871</v>
      </c>
      <c r="L238" s="4093" t="s">
        <v>6276</v>
      </c>
      <c r="M238" s="4098" t="s">
        <v>6277</v>
      </c>
      <c r="N238" s="4099" t="s">
        <v>6278</v>
      </c>
      <c r="O238" s="4100"/>
      <c r="P238" s="4097">
        <v>1195</v>
      </c>
      <c r="Q238" s="4093" t="s">
        <v>6279</v>
      </c>
      <c r="R238" s="4098" t="s">
        <v>6280</v>
      </c>
      <c r="S238" s="4099" t="s">
        <v>6281</v>
      </c>
      <c r="T238" s="2139"/>
      <c r="U238" s="2139"/>
      <c r="V238" s="2139"/>
      <c r="W238" s="2139"/>
      <c r="X238" s="2139"/>
      <c r="Y238" s="2139"/>
      <c r="Z238" s="2139"/>
      <c r="AA238" s="2139"/>
      <c r="AB238" s="2139"/>
      <c r="AC238" s="2139"/>
      <c r="AD238" s="2139"/>
    </row>
    <row r="239" spans="1:30" ht="25.5">
      <c r="A239" s="4097">
        <v>224</v>
      </c>
      <c r="B239" s="4093" t="s">
        <v>6282</v>
      </c>
      <c r="C239" s="4098" t="s">
        <v>6283</v>
      </c>
      <c r="D239" s="4099" t="s">
        <v>6284</v>
      </c>
      <c r="E239" s="4100"/>
      <c r="F239" s="4097">
        <v>548</v>
      </c>
      <c r="G239" s="4093" t="s">
        <v>6285</v>
      </c>
      <c r="H239" s="4098" t="s">
        <v>6286</v>
      </c>
      <c r="I239" s="4099" t="s">
        <v>6287</v>
      </c>
      <c r="J239" s="4100"/>
      <c r="K239" s="4097">
        <v>872</v>
      </c>
      <c r="L239" s="4093" t="s">
        <v>6288</v>
      </c>
      <c r="M239" s="4098" t="s">
        <v>6289</v>
      </c>
      <c r="N239" s="4099" t="s">
        <v>6290</v>
      </c>
      <c r="O239" s="4100"/>
      <c r="P239" s="4097">
        <v>1196</v>
      </c>
      <c r="Q239" s="4093" t="s">
        <v>6291</v>
      </c>
      <c r="R239" s="4098" t="s">
        <v>6292</v>
      </c>
      <c r="S239" s="4099" t="s">
        <v>6293</v>
      </c>
      <c r="T239" s="2139"/>
      <c r="U239" s="2139"/>
      <c r="V239" s="2139"/>
      <c r="W239" s="2139"/>
      <c r="X239" s="2139"/>
      <c r="Y239" s="2139"/>
      <c r="Z239" s="2139"/>
      <c r="AA239" s="2139"/>
      <c r="AB239" s="2139"/>
      <c r="AC239" s="2139"/>
      <c r="AD239" s="2139"/>
    </row>
    <row r="240" spans="1:30" ht="38.25">
      <c r="A240" s="4097">
        <v>225</v>
      </c>
      <c r="B240" s="4093" t="s">
        <v>6294</v>
      </c>
      <c r="C240" s="4098" t="s">
        <v>6295</v>
      </c>
      <c r="D240" s="4099" t="s">
        <v>6296</v>
      </c>
      <c r="E240" s="4100"/>
      <c r="F240" s="4097">
        <v>549</v>
      </c>
      <c r="G240" s="4093" t="s">
        <v>6297</v>
      </c>
      <c r="H240" s="4098" t="s">
        <v>6298</v>
      </c>
      <c r="I240" s="4099" t="s">
        <v>6299</v>
      </c>
      <c r="J240" s="4100"/>
      <c r="K240" s="4097">
        <v>873</v>
      </c>
      <c r="L240" s="4093" t="s">
        <v>6300</v>
      </c>
      <c r="M240" s="4098" t="s">
        <v>6301</v>
      </c>
      <c r="N240" s="4099" t="s">
        <v>6302</v>
      </c>
      <c r="O240" s="4100"/>
      <c r="P240" s="4097">
        <v>1197</v>
      </c>
      <c r="Q240" s="4093" t="s">
        <v>6303</v>
      </c>
      <c r="R240" s="4098" t="s">
        <v>6304</v>
      </c>
      <c r="S240" s="4099" t="s">
        <v>6305</v>
      </c>
      <c r="T240" s="2139"/>
      <c r="U240" s="2139"/>
      <c r="V240" s="2139"/>
      <c r="W240" s="2139"/>
      <c r="X240" s="2139"/>
      <c r="Y240" s="2139"/>
      <c r="Z240" s="2139"/>
      <c r="AA240" s="2139"/>
      <c r="AB240" s="2139"/>
      <c r="AC240" s="2139"/>
      <c r="AD240" s="2139"/>
    </row>
    <row r="241" spans="1:30" ht="25.5">
      <c r="A241" s="4097">
        <v>226</v>
      </c>
      <c r="B241" s="4093" t="s">
        <v>6306</v>
      </c>
      <c r="C241" s="4098" t="s">
        <v>6307</v>
      </c>
      <c r="D241" s="4099" t="s">
        <v>5150</v>
      </c>
      <c r="E241" s="4100"/>
      <c r="F241" s="4097">
        <v>550</v>
      </c>
      <c r="G241" s="4093" t="s">
        <v>6308</v>
      </c>
      <c r="H241" s="4098" t="s">
        <v>6309</v>
      </c>
      <c r="I241" s="4099" t="s">
        <v>6310</v>
      </c>
      <c r="J241" s="4100"/>
      <c r="K241" s="4097">
        <v>874</v>
      </c>
      <c r="L241" s="4093" t="s">
        <v>6311</v>
      </c>
      <c r="M241" s="4098" t="s">
        <v>6312</v>
      </c>
      <c r="N241" s="4099" t="s">
        <v>6313</v>
      </c>
      <c r="O241" s="4100"/>
      <c r="P241" s="4097">
        <v>1198</v>
      </c>
      <c r="Q241" s="4093" t="s">
        <v>6314</v>
      </c>
      <c r="R241" s="4098" t="s">
        <v>6315</v>
      </c>
      <c r="S241" s="4099" t="s">
        <v>6316</v>
      </c>
      <c r="T241" s="2139"/>
      <c r="U241" s="2139"/>
      <c r="V241" s="2139"/>
      <c r="W241" s="2139"/>
      <c r="X241" s="2139"/>
      <c r="Y241" s="2139"/>
      <c r="Z241" s="2139"/>
      <c r="AA241" s="2139"/>
      <c r="AB241" s="2139"/>
      <c r="AC241" s="2139"/>
      <c r="AD241" s="2139"/>
    </row>
    <row r="242" spans="1:30" ht="25.5">
      <c r="A242" s="4097">
        <v>227</v>
      </c>
      <c r="B242" s="4093" t="s">
        <v>6317</v>
      </c>
      <c r="C242" s="4098" t="s">
        <v>6318</v>
      </c>
      <c r="D242" s="4099" t="s">
        <v>6319</v>
      </c>
      <c r="E242" s="4100"/>
      <c r="F242" s="4097">
        <v>551</v>
      </c>
      <c r="G242" s="4093" t="s">
        <v>6320</v>
      </c>
      <c r="H242" s="4098" t="s">
        <v>6321</v>
      </c>
      <c r="I242" s="4099" t="s">
        <v>6322</v>
      </c>
      <c r="J242" s="4100"/>
      <c r="K242" s="4097">
        <v>875</v>
      </c>
      <c r="L242" s="4093" t="s">
        <v>6323</v>
      </c>
      <c r="M242" s="4098" t="s">
        <v>6324</v>
      </c>
      <c r="N242" s="4099" t="s">
        <v>6325</v>
      </c>
      <c r="O242" s="4100"/>
      <c r="P242" s="4097">
        <v>1199</v>
      </c>
      <c r="Q242" s="4093" t="s">
        <v>6326</v>
      </c>
      <c r="R242" s="4098" t="s">
        <v>6327</v>
      </c>
      <c r="S242" s="4099" t="s">
        <v>6328</v>
      </c>
      <c r="T242" s="2139"/>
      <c r="U242" s="2139"/>
      <c r="V242" s="2139"/>
      <c r="W242" s="2139"/>
      <c r="X242" s="2139"/>
      <c r="Y242" s="2139"/>
      <c r="Z242" s="2139"/>
      <c r="AA242" s="2139"/>
      <c r="AB242" s="2139"/>
      <c r="AC242" s="2139"/>
      <c r="AD242" s="2139"/>
    </row>
    <row r="243" spans="1:30" ht="25.5">
      <c r="A243" s="4097">
        <v>228</v>
      </c>
      <c r="B243" s="4093" t="s">
        <v>6329</v>
      </c>
      <c r="C243" s="4098" t="s">
        <v>6330</v>
      </c>
      <c r="D243" s="4099" t="s">
        <v>6331</v>
      </c>
      <c r="E243" s="4100"/>
      <c r="F243" s="4097">
        <v>552</v>
      </c>
      <c r="G243" s="4093" t="s">
        <v>6332</v>
      </c>
      <c r="H243" s="4098" t="s">
        <v>6333</v>
      </c>
      <c r="I243" s="4099" t="s">
        <v>6334</v>
      </c>
      <c r="J243" s="4100"/>
      <c r="K243" s="4097">
        <v>876</v>
      </c>
      <c r="L243" s="4093" t="s">
        <v>6335</v>
      </c>
      <c r="M243" s="4098" t="s">
        <v>6336</v>
      </c>
      <c r="N243" s="4099" t="s">
        <v>6337</v>
      </c>
      <c r="O243" s="4100"/>
      <c r="P243" s="4097">
        <v>1200</v>
      </c>
      <c r="Q243" s="4093" t="s">
        <v>6338</v>
      </c>
      <c r="R243" s="4098" t="s">
        <v>6339</v>
      </c>
      <c r="S243" s="4099" t="s">
        <v>758</v>
      </c>
      <c r="T243" s="2139"/>
      <c r="U243" s="2139"/>
      <c r="V243" s="2139"/>
      <c r="W243" s="2139"/>
      <c r="X243" s="2139"/>
      <c r="Y243" s="2139"/>
      <c r="Z243" s="2139"/>
      <c r="AA243" s="2139"/>
      <c r="AB243" s="2139"/>
      <c r="AC243" s="2139"/>
      <c r="AD243" s="2139"/>
    </row>
    <row r="244" spans="1:30" ht="25.5">
      <c r="A244" s="4097">
        <v>229</v>
      </c>
      <c r="B244" s="4093" t="s">
        <v>6340</v>
      </c>
      <c r="C244" s="4098" t="s">
        <v>6341</v>
      </c>
      <c r="D244" s="4099" t="s">
        <v>6342</v>
      </c>
      <c r="E244" s="4100"/>
      <c r="F244" s="4097">
        <v>553</v>
      </c>
      <c r="G244" s="4093" t="s">
        <v>6343</v>
      </c>
      <c r="H244" s="4098" t="s">
        <v>6344</v>
      </c>
      <c r="I244" s="4099" t="s">
        <v>6345</v>
      </c>
      <c r="J244" s="4100"/>
      <c r="K244" s="4097">
        <v>877</v>
      </c>
      <c r="L244" s="4093" t="s">
        <v>6346</v>
      </c>
      <c r="M244" s="4098" t="s">
        <v>6347</v>
      </c>
      <c r="N244" s="4099" t="s">
        <v>6348</v>
      </c>
      <c r="O244" s="4100"/>
      <c r="P244" s="4097">
        <v>1201</v>
      </c>
      <c r="Q244" s="4093" t="s">
        <v>6349</v>
      </c>
      <c r="R244" s="4098" t="s">
        <v>6350</v>
      </c>
      <c r="S244" s="4099" t="s">
        <v>6351</v>
      </c>
      <c r="T244" s="2139"/>
      <c r="U244" s="2139"/>
      <c r="V244" s="2139"/>
      <c r="W244" s="2139"/>
      <c r="X244" s="2139"/>
      <c r="Y244" s="2139"/>
      <c r="Z244" s="2139"/>
      <c r="AA244" s="2139"/>
      <c r="AB244" s="2139"/>
      <c r="AC244" s="2139"/>
      <c r="AD244" s="2139"/>
    </row>
    <row r="245" spans="1:30">
      <c r="A245" s="4097">
        <v>230</v>
      </c>
      <c r="B245" s="4093" t="s">
        <v>6352</v>
      </c>
      <c r="C245" s="4098" t="s">
        <v>6353</v>
      </c>
      <c r="D245" s="4099" t="s">
        <v>6354</v>
      </c>
      <c r="E245" s="4100"/>
      <c r="F245" s="4097">
        <v>554</v>
      </c>
      <c r="G245" s="4093" t="s">
        <v>6355</v>
      </c>
      <c r="H245" s="4098" t="s">
        <v>6356</v>
      </c>
      <c r="I245" s="4099" t="s">
        <v>6357</v>
      </c>
      <c r="J245" s="4100"/>
      <c r="K245" s="4097">
        <v>878</v>
      </c>
      <c r="L245" s="4093" t="s">
        <v>6358</v>
      </c>
      <c r="M245" s="4098" t="s">
        <v>6359</v>
      </c>
      <c r="N245" s="4099" t="s">
        <v>6337</v>
      </c>
      <c r="O245" s="4100"/>
      <c r="P245" s="4097">
        <v>1202</v>
      </c>
      <c r="Q245" s="4093" t="s">
        <v>6360</v>
      </c>
      <c r="R245" s="4098" t="s">
        <v>6361</v>
      </c>
      <c r="S245" s="4099" t="s">
        <v>6362</v>
      </c>
      <c r="T245" s="2139"/>
      <c r="U245" s="2139"/>
      <c r="V245" s="2139"/>
      <c r="W245" s="2139"/>
      <c r="X245" s="2139"/>
      <c r="Y245" s="2139"/>
      <c r="Z245" s="2139"/>
      <c r="AA245" s="2139"/>
      <c r="AB245" s="2139"/>
      <c r="AC245" s="2139"/>
      <c r="AD245" s="2139"/>
    </row>
    <row r="246" spans="1:30" ht="25.5">
      <c r="A246" s="4097">
        <v>231</v>
      </c>
      <c r="B246" s="4093" t="s">
        <v>6363</v>
      </c>
      <c r="C246" s="4098" t="s">
        <v>6364</v>
      </c>
      <c r="D246" s="4099" t="s">
        <v>6365</v>
      </c>
      <c r="E246" s="4100"/>
      <c r="F246" s="4097">
        <v>555</v>
      </c>
      <c r="G246" s="4093" t="s">
        <v>6366</v>
      </c>
      <c r="H246" s="4098" t="s">
        <v>6367</v>
      </c>
      <c r="I246" s="4099" t="s">
        <v>6368</v>
      </c>
      <c r="J246" s="4100"/>
      <c r="K246" s="4097">
        <v>879</v>
      </c>
      <c r="L246" s="4093" t="s">
        <v>6369</v>
      </c>
      <c r="M246" s="4098" t="s">
        <v>6370</v>
      </c>
      <c r="N246" s="4099" t="s">
        <v>6371</v>
      </c>
      <c r="O246" s="4100"/>
      <c r="P246" s="4097">
        <v>1203</v>
      </c>
      <c r="Q246" s="4093" t="s">
        <v>6372</v>
      </c>
      <c r="R246" s="4098" t="s">
        <v>6373</v>
      </c>
      <c r="S246" s="4099" t="s">
        <v>6374</v>
      </c>
      <c r="T246" s="2139"/>
      <c r="U246" s="2139"/>
      <c r="V246" s="2139"/>
      <c r="W246" s="2139"/>
      <c r="X246" s="2139"/>
      <c r="Y246" s="2139"/>
      <c r="Z246" s="2139"/>
      <c r="AA246" s="2139"/>
      <c r="AB246" s="2139"/>
      <c r="AC246" s="2139"/>
      <c r="AD246" s="2139"/>
    </row>
    <row r="247" spans="1:30">
      <c r="A247" s="4097">
        <v>232</v>
      </c>
      <c r="B247" s="4093" t="s">
        <v>6375</v>
      </c>
      <c r="C247" s="4098" t="s">
        <v>6376</v>
      </c>
      <c r="D247" s="4099" t="s">
        <v>6377</v>
      </c>
      <c r="E247" s="4100"/>
      <c r="F247" s="4097">
        <v>556</v>
      </c>
      <c r="G247" s="4093" t="s">
        <v>6378</v>
      </c>
      <c r="H247" s="4098" t="s">
        <v>6379</v>
      </c>
      <c r="I247" s="4099" t="s">
        <v>6380</v>
      </c>
      <c r="J247" s="4100"/>
      <c r="K247" s="4097">
        <v>880</v>
      </c>
      <c r="L247" s="4093" t="s">
        <v>6381</v>
      </c>
      <c r="M247" s="4098" t="s">
        <v>6382</v>
      </c>
      <c r="N247" s="4099" t="s">
        <v>6383</v>
      </c>
      <c r="O247" s="4100"/>
      <c r="P247" s="4097">
        <v>1204</v>
      </c>
      <c r="Q247" s="4093" t="s">
        <v>6384</v>
      </c>
      <c r="R247" s="4098" t="s">
        <v>6385</v>
      </c>
      <c r="S247" s="4099" t="s">
        <v>6386</v>
      </c>
      <c r="T247" s="2139"/>
      <c r="U247" s="2139"/>
      <c r="V247" s="2139"/>
      <c r="W247" s="2139"/>
      <c r="X247" s="2139"/>
      <c r="Y247" s="2139"/>
      <c r="Z247" s="2139"/>
      <c r="AA247" s="2139"/>
      <c r="AB247" s="2139"/>
      <c r="AC247" s="2139"/>
      <c r="AD247" s="2139"/>
    </row>
    <row r="248" spans="1:30" ht="25.5">
      <c r="A248" s="4097">
        <v>233</v>
      </c>
      <c r="B248" s="4093" t="s">
        <v>6387</v>
      </c>
      <c r="C248" s="4098" t="s">
        <v>6388</v>
      </c>
      <c r="D248" s="4099" t="s">
        <v>6389</v>
      </c>
      <c r="E248" s="4100"/>
      <c r="F248" s="4097">
        <v>557</v>
      </c>
      <c r="G248" s="4093" t="s">
        <v>6390</v>
      </c>
      <c r="H248" s="4098" t="s">
        <v>6391</v>
      </c>
      <c r="I248" s="4099" t="s">
        <v>6392</v>
      </c>
      <c r="J248" s="4100"/>
      <c r="K248" s="4097">
        <v>881</v>
      </c>
      <c r="L248" s="4093" t="s">
        <v>6393</v>
      </c>
      <c r="M248" s="4098" t="s">
        <v>6394</v>
      </c>
      <c r="N248" s="4099" t="s">
        <v>6395</v>
      </c>
      <c r="O248" s="4100"/>
      <c r="P248" s="4097">
        <v>1205</v>
      </c>
      <c r="Q248" s="4093" t="s">
        <v>6396</v>
      </c>
      <c r="R248" s="4098" t="s">
        <v>6397</v>
      </c>
      <c r="S248" s="4099" t="s">
        <v>6398</v>
      </c>
      <c r="T248" s="2139"/>
      <c r="U248" s="2139"/>
      <c r="V248" s="2139"/>
      <c r="W248" s="2139"/>
      <c r="X248" s="2139"/>
      <c r="Y248" s="2139"/>
      <c r="Z248" s="2139"/>
      <c r="AA248" s="2139"/>
      <c r="AB248" s="2139"/>
      <c r="AC248" s="2139"/>
      <c r="AD248" s="2139"/>
    </row>
    <row r="249" spans="1:30" ht="25.5">
      <c r="A249" s="4097">
        <v>234</v>
      </c>
      <c r="B249" s="4093" t="s">
        <v>6399</v>
      </c>
      <c r="C249" s="4098" t="s">
        <v>6400</v>
      </c>
      <c r="D249" s="4099" t="s">
        <v>6401</v>
      </c>
      <c r="E249" s="4100"/>
      <c r="F249" s="4097">
        <v>558</v>
      </c>
      <c r="G249" s="4093" t="s">
        <v>6402</v>
      </c>
      <c r="H249" s="4098" t="s">
        <v>6403</v>
      </c>
      <c r="I249" s="4099" t="s">
        <v>6404</v>
      </c>
      <c r="J249" s="4100"/>
      <c r="K249" s="4097">
        <v>882</v>
      </c>
      <c r="L249" s="4093" t="s">
        <v>6405</v>
      </c>
      <c r="M249" s="4098" t="s">
        <v>6406</v>
      </c>
      <c r="N249" s="4099" t="s">
        <v>6407</v>
      </c>
      <c r="O249" s="4100"/>
      <c r="P249" s="4097">
        <v>1206</v>
      </c>
      <c r="Q249" s="4093" t="s">
        <v>6408</v>
      </c>
      <c r="R249" s="4098" t="s">
        <v>6409</v>
      </c>
      <c r="S249" s="4099" t="s">
        <v>6410</v>
      </c>
      <c r="T249" s="2139"/>
      <c r="U249" s="2139"/>
      <c r="V249" s="2139"/>
      <c r="W249" s="2139"/>
      <c r="X249" s="2139"/>
      <c r="Y249" s="2139"/>
      <c r="Z249" s="2139"/>
      <c r="AA249" s="2139"/>
      <c r="AB249" s="2139"/>
      <c r="AC249" s="2139"/>
      <c r="AD249" s="2139"/>
    </row>
    <row r="250" spans="1:30" ht="25.5">
      <c r="A250" s="4097">
        <v>235</v>
      </c>
      <c r="B250" s="4093" t="s">
        <v>6411</v>
      </c>
      <c r="C250" s="4098" t="s">
        <v>6412</v>
      </c>
      <c r="D250" s="4099" t="s">
        <v>6413</v>
      </c>
      <c r="E250" s="4100"/>
      <c r="F250" s="4097">
        <v>559</v>
      </c>
      <c r="G250" s="4093" t="s">
        <v>6414</v>
      </c>
      <c r="H250" s="4098" t="s">
        <v>6415</v>
      </c>
      <c r="I250" s="4099" t="s">
        <v>6416</v>
      </c>
      <c r="J250" s="4100"/>
      <c r="K250" s="4097">
        <v>883</v>
      </c>
      <c r="L250" s="4093" t="s">
        <v>6417</v>
      </c>
      <c r="M250" s="4098" t="s">
        <v>6418</v>
      </c>
      <c r="N250" s="4099" t="s">
        <v>6419</v>
      </c>
      <c r="O250" s="4100"/>
      <c r="P250" s="4097">
        <v>1207</v>
      </c>
      <c r="Q250" s="4093" t="s">
        <v>6420</v>
      </c>
      <c r="R250" s="4098" t="s">
        <v>6421</v>
      </c>
      <c r="S250" s="4099" t="s">
        <v>6422</v>
      </c>
      <c r="T250" s="2139"/>
      <c r="U250" s="2139"/>
      <c r="V250" s="2139"/>
      <c r="W250" s="2139"/>
      <c r="X250" s="2139"/>
      <c r="Y250" s="2139"/>
      <c r="Z250" s="2139"/>
      <c r="AA250" s="2139"/>
      <c r="AB250" s="2139"/>
      <c r="AC250" s="2139"/>
      <c r="AD250" s="2139"/>
    </row>
    <row r="251" spans="1:30" ht="25.5">
      <c r="A251" s="4097">
        <v>236</v>
      </c>
      <c r="B251" s="4093" t="s">
        <v>6423</v>
      </c>
      <c r="C251" s="4098" t="s">
        <v>6424</v>
      </c>
      <c r="D251" s="4099" t="s">
        <v>6425</v>
      </c>
      <c r="E251" s="4100"/>
      <c r="F251" s="4097">
        <v>560</v>
      </c>
      <c r="G251" s="4093" t="s">
        <v>6426</v>
      </c>
      <c r="H251" s="4098" t="s">
        <v>6427</v>
      </c>
      <c r="I251" s="4099" t="s">
        <v>6428</v>
      </c>
      <c r="J251" s="4100"/>
      <c r="K251" s="4097">
        <v>884</v>
      </c>
      <c r="L251" s="4093" t="s">
        <v>6429</v>
      </c>
      <c r="M251" s="4098" t="s">
        <v>6430</v>
      </c>
      <c r="N251" s="4099" t="s">
        <v>6431</v>
      </c>
      <c r="O251" s="4100"/>
      <c r="P251" s="4097">
        <v>1208</v>
      </c>
      <c r="Q251" s="4093" t="s">
        <v>6432</v>
      </c>
      <c r="R251" s="4098" t="s">
        <v>6433</v>
      </c>
      <c r="S251" s="4099" t="s">
        <v>6434</v>
      </c>
      <c r="T251" s="2139"/>
      <c r="U251" s="2139"/>
      <c r="V251" s="2139"/>
      <c r="W251" s="2139"/>
      <c r="X251" s="2139"/>
      <c r="Y251" s="2139"/>
      <c r="Z251" s="2139"/>
      <c r="AA251" s="2139"/>
      <c r="AB251" s="2139"/>
      <c r="AC251" s="2139"/>
      <c r="AD251" s="2139"/>
    </row>
    <row r="252" spans="1:30" ht="25.5">
      <c r="A252" s="4097">
        <v>237</v>
      </c>
      <c r="B252" s="4093" t="s">
        <v>6435</v>
      </c>
      <c r="C252" s="4098" t="s">
        <v>6436</v>
      </c>
      <c r="D252" s="4099" t="s">
        <v>6437</v>
      </c>
      <c r="E252" s="4100"/>
      <c r="F252" s="4097">
        <v>561</v>
      </c>
      <c r="G252" s="4093" t="s">
        <v>6438</v>
      </c>
      <c r="H252" s="4098" t="s">
        <v>6439</v>
      </c>
      <c r="I252" s="4099" t="s">
        <v>6440</v>
      </c>
      <c r="J252" s="4100"/>
      <c r="K252" s="4097">
        <v>885</v>
      </c>
      <c r="L252" s="4093" t="s">
        <v>6441</v>
      </c>
      <c r="M252" s="4098" t="s">
        <v>6442</v>
      </c>
      <c r="N252" s="4099" t="s">
        <v>6443</v>
      </c>
      <c r="O252" s="4100"/>
      <c r="P252" s="4097">
        <v>1209</v>
      </c>
      <c r="Q252" s="4093" t="s">
        <v>6444</v>
      </c>
      <c r="R252" s="4098" t="s">
        <v>6445</v>
      </c>
      <c r="S252" s="4099" t="s">
        <v>6446</v>
      </c>
      <c r="T252" s="2139"/>
      <c r="U252" s="2139"/>
      <c r="V252" s="2139"/>
      <c r="W252" s="2139"/>
      <c r="X252" s="2139"/>
      <c r="Y252" s="2139"/>
      <c r="Z252" s="2139"/>
      <c r="AA252" s="2139"/>
      <c r="AB252" s="2139"/>
      <c r="AC252" s="2139"/>
      <c r="AD252" s="2139"/>
    </row>
    <row r="253" spans="1:30">
      <c r="A253" s="4097">
        <v>238</v>
      </c>
      <c r="B253" s="4093" t="s">
        <v>6447</v>
      </c>
      <c r="C253" s="4098" t="s">
        <v>6448</v>
      </c>
      <c r="D253" s="4099" t="s">
        <v>6449</v>
      </c>
      <c r="E253" s="4100"/>
      <c r="F253" s="4097">
        <v>562</v>
      </c>
      <c r="G253" s="4093" t="s">
        <v>6450</v>
      </c>
      <c r="H253" s="4098" t="s">
        <v>6451</v>
      </c>
      <c r="I253" s="4099" t="s">
        <v>6452</v>
      </c>
      <c r="J253" s="4100"/>
      <c r="K253" s="4097">
        <v>886</v>
      </c>
      <c r="L253" s="4093" t="s">
        <v>6453</v>
      </c>
      <c r="M253" s="4098" t="s">
        <v>6454</v>
      </c>
      <c r="N253" s="4099" t="s">
        <v>6455</v>
      </c>
      <c r="O253" s="4100"/>
      <c r="P253" s="4097">
        <v>1210</v>
      </c>
      <c r="Q253" s="4093" t="s">
        <v>6456</v>
      </c>
      <c r="R253" s="4098" t="s">
        <v>6457</v>
      </c>
      <c r="S253" s="4099" t="s">
        <v>6458</v>
      </c>
      <c r="T253" s="2139"/>
      <c r="U253" s="2139"/>
      <c r="V253" s="2139"/>
      <c r="W253" s="2139"/>
      <c r="X253" s="2139"/>
      <c r="Y253" s="2139"/>
      <c r="Z253" s="2139"/>
      <c r="AA253" s="2139"/>
      <c r="AB253" s="2139"/>
      <c r="AC253" s="2139"/>
      <c r="AD253" s="2139"/>
    </row>
    <row r="254" spans="1:30">
      <c r="A254" s="4097">
        <v>239</v>
      </c>
      <c r="B254" s="4093" t="s">
        <v>6459</v>
      </c>
      <c r="C254" s="4098" t="s">
        <v>6460</v>
      </c>
      <c r="D254" s="4099" t="s">
        <v>6461</v>
      </c>
      <c r="E254" s="4100"/>
      <c r="F254" s="4097">
        <v>563</v>
      </c>
      <c r="G254" s="4093" t="s">
        <v>6462</v>
      </c>
      <c r="H254" s="4098" t="s">
        <v>6463</v>
      </c>
      <c r="I254" s="4099" t="s">
        <v>6464</v>
      </c>
      <c r="J254" s="4100"/>
      <c r="K254" s="4097">
        <v>887</v>
      </c>
      <c r="L254" s="4093" t="s">
        <v>6465</v>
      </c>
      <c r="M254" s="4098" t="s">
        <v>3724</v>
      </c>
      <c r="N254" s="4099" t="s">
        <v>6348</v>
      </c>
      <c r="O254" s="4100"/>
      <c r="P254" s="4097">
        <v>1211</v>
      </c>
      <c r="Q254" s="4093" t="s">
        <v>6466</v>
      </c>
      <c r="R254" s="4098" t="s">
        <v>6467</v>
      </c>
      <c r="S254" s="4099" t="s">
        <v>6468</v>
      </c>
      <c r="T254" s="2139"/>
      <c r="U254" s="2139"/>
      <c r="V254" s="2139"/>
      <c r="W254" s="2139"/>
      <c r="X254" s="2139"/>
      <c r="Y254" s="2139"/>
      <c r="Z254" s="2139"/>
      <c r="AA254" s="2139"/>
      <c r="AB254" s="2139"/>
      <c r="AC254" s="2139"/>
      <c r="AD254" s="2139"/>
    </row>
    <row r="255" spans="1:30" ht="25.5">
      <c r="A255" s="4097">
        <v>240</v>
      </c>
      <c r="B255" s="4093" t="s">
        <v>6469</v>
      </c>
      <c r="C255" s="4098" t="s">
        <v>6470</v>
      </c>
      <c r="D255" s="4099" t="s">
        <v>6471</v>
      </c>
      <c r="E255" s="4100"/>
      <c r="F255" s="4097">
        <v>564</v>
      </c>
      <c r="G255" s="4093" t="s">
        <v>6472</v>
      </c>
      <c r="H255" s="4098" t="s">
        <v>6473</v>
      </c>
      <c r="I255" s="4099" t="s">
        <v>6474</v>
      </c>
      <c r="J255" s="4100"/>
      <c r="K255" s="4097">
        <v>888</v>
      </c>
      <c r="L255" s="4093" t="s">
        <v>6475</v>
      </c>
      <c r="M255" s="4098" t="s">
        <v>6476</v>
      </c>
      <c r="N255" s="4099" t="s">
        <v>6477</v>
      </c>
      <c r="O255" s="4100"/>
      <c r="P255" s="4097">
        <v>1212</v>
      </c>
      <c r="Q255" s="4093" t="s">
        <v>6478</v>
      </c>
      <c r="R255" s="4098" t="s">
        <v>6479</v>
      </c>
      <c r="S255" s="4099" t="s">
        <v>493</v>
      </c>
      <c r="T255" s="2139"/>
      <c r="U255" s="2139"/>
      <c r="V255" s="2139"/>
      <c r="W255" s="2139"/>
      <c r="X255" s="2139"/>
      <c r="Y255" s="2139"/>
      <c r="Z255" s="2139"/>
      <c r="AA255" s="2139"/>
      <c r="AB255" s="2139"/>
      <c r="AC255" s="2139"/>
      <c r="AD255" s="2139"/>
    </row>
    <row r="256" spans="1:30">
      <c r="A256" s="4097">
        <v>241</v>
      </c>
      <c r="B256" s="4093" t="s">
        <v>6480</v>
      </c>
      <c r="C256" s="4098" t="s">
        <v>6481</v>
      </c>
      <c r="D256" s="4099" t="s">
        <v>6482</v>
      </c>
      <c r="E256" s="4100"/>
      <c r="F256" s="4097">
        <v>565</v>
      </c>
      <c r="G256" s="4093" t="s">
        <v>6483</v>
      </c>
      <c r="H256" s="4098" t="s">
        <v>6484</v>
      </c>
      <c r="I256" s="4099" t="s">
        <v>6485</v>
      </c>
      <c r="J256" s="4100"/>
      <c r="K256" s="4097">
        <v>889</v>
      </c>
      <c r="L256" s="4093" t="s">
        <v>6486</v>
      </c>
      <c r="M256" s="4098" t="s">
        <v>6487</v>
      </c>
      <c r="N256" s="4099" t="s">
        <v>6488</v>
      </c>
      <c r="O256" s="4100"/>
      <c r="P256" s="4097">
        <v>1213</v>
      </c>
      <c r="Q256" s="4093" t="s">
        <v>6489</v>
      </c>
      <c r="R256" s="4098" t="s">
        <v>6490</v>
      </c>
      <c r="S256" s="4099" t="s">
        <v>6491</v>
      </c>
      <c r="T256" s="2139"/>
      <c r="U256" s="2139"/>
      <c r="V256" s="2139"/>
      <c r="W256" s="2139"/>
      <c r="X256" s="2139"/>
      <c r="Y256" s="2139"/>
      <c r="Z256" s="2139"/>
      <c r="AA256" s="2139"/>
      <c r="AB256" s="2139"/>
      <c r="AC256" s="2139"/>
      <c r="AD256" s="2139"/>
    </row>
    <row r="257" spans="1:30" ht="25.5">
      <c r="A257" s="4097">
        <v>242</v>
      </c>
      <c r="B257" s="4093" t="s">
        <v>6492</v>
      </c>
      <c r="C257" s="4098" t="s">
        <v>6493</v>
      </c>
      <c r="D257" s="4099" t="s">
        <v>6351</v>
      </c>
      <c r="E257" s="4100"/>
      <c r="F257" s="4097">
        <v>566</v>
      </c>
      <c r="G257" s="4093" t="s">
        <v>6494</v>
      </c>
      <c r="H257" s="4098" t="s">
        <v>6495</v>
      </c>
      <c r="I257" s="4099" t="s">
        <v>6496</v>
      </c>
      <c r="J257" s="4100"/>
      <c r="K257" s="4097">
        <v>890</v>
      </c>
      <c r="L257" s="4093" t="s">
        <v>6497</v>
      </c>
      <c r="M257" s="4098" t="s">
        <v>6498</v>
      </c>
      <c r="N257" s="4099" t="s">
        <v>6499</v>
      </c>
      <c r="O257" s="4100"/>
      <c r="P257" s="4097">
        <v>1214</v>
      </c>
      <c r="Q257" s="4093" t="s">
        <v>6500</v>
      </c>
      <c r="R257" s="4098" t="s">
        <v>6501</v>
      </c>
      <c r="S257" s="4099" t="s">
        <v>6502</v>
      </c>
      <c r="T257" s="2139"/>
      <c r="U257" s="2139"/>
      <c r="V257" s="2139"/>
      <c r="W257" s="2139"/>
      <c r="X257" s="2139"/>
      <c r="Y257" s="2139"/>
      <c r="Z257" s="2139"/>
      <c r="AA257" s="2139"/>
      <c r="AB257" s="2139"/>
      <c r="AC257" s="2139"/>
      <c r="AD257" s="2139"/>
    </row>
    <row r="258" spans="1:30" ht="25.5">
      <c r="A258" s="4097">
        <v>243</v>
      </c>
      <c r="B258" s="4093" t="s">
        <v>6503</v>
      </c>
      <c r="C258" s="4098" t="s">
        <v>6504</v>
      </c>
      <c r="D258" s="4099" t="s">
        <v>6505</v>
      </c>
      <c r="E258" s="4100"/>
      <c r="F258" s="4097">
        <v>567</v>
      </c>
      <c r="G258" s="4093" t="s">
        <v>6506</v>
      </c>
      <c r="H258" s="4098" t="s">
        <v>6507</v>
      </c>
      <c r="I258" s="4099" t="s">
        <v>6508</v>
      </c>
      <c r="J258" s="4100"/>
      <c r="K258" s="4097">
        <v>891</v>
      </c>
      <c r="L258" s="4093" t="s">
        <v>6509</v>
      </c>
      <c r="M258" s="4098" t="s">
        <v>6510</v>
      </c>
      <c r="N258" s="4099" t="s">
        <v>6511</v>
      </c>
      <c r="O258" s="4100"/>
      <c r="P258" s="4097">
        <v>1215</v>
      </c>
      <c r="Q258" s="4093" t="s">
        <v>6512</v>
      </c>
      <c r="R258" s="4098" t="s">
        <v>6513</v>
      </c>
      <c r="S258" s="4099" t="s">
        <v>6514</v>
      </c>
      <c r="T258" s="2139"/>
      <c r="U258" s="2139"/>
      <c r="V258" s="2139"/>
      <c r="W258" s="2139"/>
      <c r="X258" s="2139"/>
      <c r="Y258" s="2139"/>
      <c r="Z258" s="2139"/>
      <c r="AA258" s="2139"/>
      <c r="AB258" s="2139"/>
      <c r="AC258" s="2139"/>
      <c r="AD258" s="2139"/>
    </row>
    <row r="259" spans="1:30" ht="25.5">
      <c r="A259" s="4097">
        <v>244</v>
      </c>
      <c r="B259" s="4093" t="s">
        <v>6515</v>
      </c>
      <c r="C259" s="4098" t="s">
        <v>6516</v>
      </c>
      <c r="D259" s="4099" t="s">
        <v>6517</v>
      </c>
      <c r="E259" s="4100"/>
      <c r="F259" s="4097">
        <v>568</v>
      </c>
      <c r="G259" s="4093" t="s">
        <v>6518</v>
      </c>
      <c r="H259" s="4098" t="s">
        <v>6519</v>
      </c>
      <c r="I259" s="4099" t="s">
        <v>6520</v>
      </c>
      <c r="J259" s="4100"/>
      <c r="K259" s="4097">
        <v>892</v>
      </c>
      <c r="L259" s="4093" t="s">
        <v>6521</v>
      </c>
      <c r="M259" s="4098" t="s">
        <v>6522</v>
      </c>
      <c r="N259" s="4099" t="s">
        <v>6523</v>
      </c>
      <c r="O259" s="4100"/>
      <c r="P259" s="4097">
        <v>1216</v>
      </c>
      <c r="Q259" s="4093" t="s">
        <v>6524</v>
      </c>
      <c r="R259" s="4098" t="s">
        <v>6525</v>
      </c>
      <c r="S259" s="4099" t="s">
        <v>6526</v>
      </c>
      <c r="T259" s="2139"/>
      <c r="U259" s="2139"/>
      <c r="V259" s="2139"/>
      <c r="W259" s="2139"/>
      <c r="X259" s="2139"/>
      <c r="Y259" s="2139"/>
      <c r="Z259" s="2139"/>
      <c r="AA259" s="2139"/>
      <c r="AB259" s="2139"/>
      <c r="AC259" s="2139"/>
      <c r="AD259" s="2139"/>
    </row>
    <row r="260" spans="1:30" ht="25.5">
      <c r="A260" s="4097">
        <v>245</v>
      </c>
      <c r="B260" s="4093" t="s">
        <v>6527</v>
      </c>
      <c r="C260" s="4098" t="s">
        <v>6528</v>
      </c>
      <c r="D260" s="4099" t="s">
        <v>6529</v>
      </c>
      <c r="E260" s="4100"/>
      <c r="F260" s="4097">
        <v>569</v>
      </c>
      <c r="G260" s="4093" t="s">
        <v>6530</v>
      </c>
      <c r="H260" s="4098" t="s">
        <v>6531</v>
      </c>
      <c r="I260" s="4099" t="s">
        <v>6532</v>
      </c>
      <c r="J260" s="4100"/>
      <c r="K260" s="4097">
        <v>893</v>
      </c>
      <c r="L260" s="4093" t="s">
        <v>6533</v>
      </c>
      <c r="M260" s="4098" t="s">
        <v>6534</v>
      </c>
      <c r="N260" s="4099" t="s">
        <v>6535</v>
      </c>
      <c r="O260" s="4100"/>
      <c r="P260" s="4097">
        <v>1217</v>
      </c>
      <c r="Q260" s="4093" t="s">
        <v>6536</v>
      </c>
      <c r="R260" s="4098" t="s">
        <v>6537</v>
      </c>
      <c r="S260" s="4099" t="s">
        <v>6538</v>
      </c>
      <c r="T260" s="2139"/>
      <c r="U260" s="2139"/>
      <c r="V260" s="2139"/>
      <c r="W260" s="2139"/>
      <c r="X260" s="2139"/>
      <c r="Y260" s="2139"/>
      <c r="Z260" s="2139"/>
      <c r="AA260" s="2139"/>
      <c r="AB260" s="2139"/>
      <c r="AC260" s="2139"/>
      <c r="AD260" s="2139"/>
    </row>
    <row r="261" spans="1:30" ht="25.5">
      <c r="A261" s="4097">
        <v>246</v>
      </c>
      <c r="B261" s="4093" t="s">
        <v>6539</v>
      </c>
      <c r="C261" s="4098" t="s">
        <v>6540</v>
      </c>
      <c r="D261" s="4099" t="s">
        <v>6541</v>
      </c>
      <c r="E261" s="4100"/>
      <c r="F261" s="4097">
        <v>570</v>
      </c>
      <c r="G261" s="4093" t="s">
        <v>6542</v>
      </c>
      <c r="H261" s="4098" t="s">
        <v>6543</v>
      </c>
      <c r="I261" s="4099" t="s">
        <v>6544</v>
      </c>
      <c r="J261" s="4100"/>
      <c r="K261" s="4097">
        <v>894</v>
      </c>
      <c r="L261" s="4093" t="s">
        <v>6545</v>
      </c>
      <c r="M261" s="4098" t="s">
        <v>6546</v>
      </c>
      <c r="N261" s="4099" t="s">
        <v>6547</v>
      </c>
      <c r="O261" s="4100"/>
      <c r="P261" s="4097">
        <v>1218</v>
      </c>
      <c r="Q261" s="4093" t="s">
        <v>6548</v>
      </c>
      <c r="R261" s="4098" t="s">
        <v>6549</v>
      </c>
      <c r="S261" s="4099" t="s">
        <v>448</v>
      </c>
      <c r="T261" s="2139"/>
      <c r="U261" s="2139"/>
      <c r="V261" s="2139"/>
      <c r="W261" s="2139"/>
      <c r="X261" s="2139"/>
      <c r="Y261" s="2139"/>
      <c r="Z261" s="2139"/>
      <c r="AA261" s="2139"/>
      <c r="AB261" s="2139"/>
      <c r="AC261" s="2139"/>
      <c r="AD261" s="2139"/>
    </row>
    <row r="262" spans="1:30" ht="25.5">
      <c r="A262" s="4097">
        <v>247</v>
      </c>
      <c r="B262" s="4093" t="s">
        <v>6550</v>
      </c>
      <c r="C262" s="4098" t="s">
        <v>6551</v>
      </c>
      <c r="D262" s="4099" t="s">
        <v>6552</v>
      </c>
      <c r="E262" s="4100"/>
      <c r="F262" s="4097">
        <v>571</v>
      </c>
      <c r="G262" s="4093" t="s">
        <v>6553</v>
      </c>
      <c r="H262" s="4098" t="s">
        <v>6554</v>
      </c>
      <c r="I262" s="4099" t="s">
        <v>6555</v>
      </c>
      <c r="J262" s="4100"/>
      <c r="K262" s="4097">
        <v>895</v>
      </c>
      <c r="L262" s="4093" t="s">
        <v>6556</v>
      </c>
      <c r="M262" s="4098" t="s">
        <v>6557</v>
      </c>
      <c r="N262" s="4099" t="s">
        <v>6558</v>
      </c>
      <c r="O262" s="4100"/>
      <c r="P262" s="4097">
        <v>1219</v>
      </c>
      <c r="Q262" s="4093" t="s">
        <v>6559</v>
      </c>
      <c r="R262" s="4098" t="s">
        <v>6560</v>
      </c>
      <c r="S262" s="4099" t="s">
        <v>6561</v>
      </c>
      <c r="T262" s="2139"/>
      <c r="U262" s="2139"/>
      <c r="V262" s="2139"/>
      <c r="W262" s="2139"/>
      <c r="X262" s="2139"/>
      <c r="Y262" s="2139"/>
      <c r="Z262" s="2139"/>
      <c r="AA262" s="2139"/>
      <c r="AB262" s="2139"/>
      <c r="AC262" s="2139"/>
      <c r="AD262" s="2139"/>
    </row>
    <row r="263" spans="1:30">
      <c r="A263" s="4097">
        <v>248</v>
      </c>
      <c r="B263" s="4093" t="s">
        <v>6562</v>
      </c>
      <c r="C263" s="4098" t="s">
        <v>6563</v>
      </c>
      <c r="D263" s="4099" t="s">
        <v>6564</v>
      </c>
      <c r="E263" s="4100"/>
      <c r="F263" s="4097">
        <v>572</v>
      </c>
      <c r="G263" s="4093" t="s">
        <v>6565</v>
      </c>
      <c r="H263" s="4098" t="s">
        <v>6566</v>
      </c>
      <c r="I263" s="4099" t="s">
        <v>6567</v>
      </c>
      <c r="J263" s="4100"/>
      <c r="K263" s="4097">
        <v>896</v>
      </c>
      <c r="L263" s="4093" t="s">
        <v>6568</v>
      </c>
      <c r="M263" s="4098" t="s">
        <v>6569</v>
      </c>
      <c r="N263" s="4099" t="s">
        <v>6570</v>
      </c>
      <c r="O263" s="4100"/>
      <c r="P263" s="4097">
        <v>1220</v>
      </c>
      <c r="Q263" s="4093" t="s">
        <v>6571</v>
      </c>
      <c r="R263" s="4098" t="s">
        <v>6572</v>
      </c>
      <c r="S263" s="4099" t="s">
        <v>6573</v>
      </c>
      <c r="T263" s="2139"/>
      <c r="U263" s="2139"/>
      <c r="V263" s="2139"/>
      <c r="W263" s="2139"/>
      <c r="X263" s="2139"/>
      <c r="Y263" s="2139"/>
      <c r="Z263" s="2139"/>
      <c r="AA263" s="2139"/>
      <c r="AB263" s="2139"/>
      <c r="AC263" s="2139"/>
      <c r="AD263" s="2139"/>
    </row>
    <row r="264" spans="1:30" ht="25.5">
      <c r="A264" s="4097">
        <v>249</v>
      </c>
      <c r="B264" s="4093" t="s">
        <v>6574</v>
      </c>
      <c r="C264" s="4098" t="s">
        <v>6575</v>
      </c>
      <c r="D264" s="4099" t="s">
        <v>6576</v>
      </c>
      <c r="E264" s="4100"/>
      <c r="F264" s="4097">
        <v>573</v>
      </c>
      <c r="G264" s="4093" t="s">
        <v>6577</v>
      </c>
      <c r="H264" s="4098" t="s">
        <v>6578</v>
      </c>
      <c r="I264" s="4099" t="s">
        <v>6579</v>
      </c>
      <c r="J264" s="4100"/>
      <c r="K264" s="4097">
        <v>897</v>
      </c>
      <c r="L264" s="4093" t="s">
        <v>6580</v>
      </c>
      <c r="M264" s="4098" t="s">
        <v>6581</v>
      </c>
      <c r="N264" s="4099" t="s">
        <v>6582</v>
      </c>
      <c r="O264" s="4100"/>
      <c r="P264" s="4097">
        <v>1221</v>
      </c>
      <c r="Q264" s="4093" t="s">
        <v>6583</v>
      </c>
      <c r="R264" s="4098" t="s">
        <v>6584</v>
      </c>
      <c r="S264" s="4099" t="s">
        <v>6585</v>
      </c>
      <c r="T264" s="2139"/>
      <c r="U264" s="2139"/>
      <c r="V264" s="2139"/>
      <c r="W264" s="2139"/>
      <c r="X264" s="2139"/>
      <c r="Y264" s="2139"/>
      <c r="Z264" s="2139"/>
      <c r="AA264" s="2139"/>
      <c r="AB264" s="2139"/>
      <c r="AC264" s="2139"/>
      <c r="AD264" s="2139"/>
    </row>
    <row r="265" spans="1:30">
      <c r="A265" s="4097">
        <v>250</v>
      </c>
      <c r="B265" s="4093" t="s">
        <v>6586</v>
      </c>
      <c r="C265" s="4098" t="s">
        <v>6587</v>
      </c>
      <c r="D265" s="4099" t="s">
        <v>6588</v>
      </c>
      <c r="E265" s="4100"/>
      <c r="F265" s="4097">
        <v>574</v>
      </c>
      <c r="G265" s="4093" t="s">
        <v>6589</v>
      </c>
      <c r="H265" s="4098" t="s">
        <v>6590</v>
      </c>
      <c r="I265" s="4099" t="s">
        <v>6591</v>
      </c>
      <c r="J265" s="4100"/>
      <c r="K265" s="4097">
        <v>898</v>
      </c>
      <c r="L265" s="4093" t="s">
        <v>6592</v>
      </c>
      <c r="M265" s="4098" t="s">
        <v>6593</v>
      </c>
      <c r="N265" s="4099" t="s">
        <v>6594</v>
      </c>
      <c r="O265" s="4100"/>
      <c r="P265" s="4097">
        <v>1222</v>
      </c>
      <c r="Q265" s="4093" t="s">
        <v>6595</v>
      </c>
      <c r="R265" s="4098" t="s">
        <v>6596</v>
      </c>
      <c r="T265" s="2139"/>
      <c r="U265" s="2139"/>
      <c r="V265" s="2139"/>
      <c r="W265" s="2139"/>
      <c r="X265" s="2139"/>
      <c r="Y265" s="2139"/>
      <c r="Z265" s="2139"/>
      <c r="AA265" s="2139"/>
      <c r="AB265" s="2139"/>
      <c r="AC265" s="2139"/>
      <c r="AD265" s="2139"/>
    </row>
    <row r="266" spans="1:30">
      <c r="A266" s="4097">
        <v>251</v>
      </c>
      <c r="B266" s="4093" t="s">
        <v>6597</v>
      </c>
      <c r="C266" s="4098" t="s">
        <v>6598</v>
      </c>
      <c r="D266" s="4099" t="s">
        <v>6599</v>
      </c>
      <c r="E266" s="4100"/>
      <c r="F266" s="4097">
        <v>575</v>
      </c>
      <c r="G266" s="4093" t="s">
        <v>6600</v>
      </c>
      <c r="H266" s="4098" t="s">
        <v>6601</v>
      </c>
      <c r="I266" s="4099" t="s">
        <v>6602</v>
      </c>
      <c r="J266" s="4100"/>
      <c r="K266" s="4097">
        <v>899</v>
      </c>
      <c r="L266" s="4093" t="s">
        <v>6603</v>
      </c>
      <c r="M266" s="4098" t="s">
        <v>6604</v>
      </c>
      <c r="N266" s="4099" t="s">
        <v>6605</v>
      </c>
      <c r="O266" s="4100"/>
      <c r="P266" s="4097">
        <v>1223</v>
      </c>
      <c r="Q266" s="4093" t="s">
        <v>6606</v>
      </c>
      <c r="R266" s="4098" t="s">
        <v>6607</v>
      </c>
      <c r="S266" s="4099" t="s">
        <v>6608</v>
      </c>
      <c r="T266" s="2139"/>
      <c r="U266" s="2139"/>
      <c r="V266" s="2139"/>
      <c r="W266" s="2139"/>
      <c r="X266" s="2139"/>
      <c r="Y266" s="2139"/>
      <c r="Z266" s="2139"/>
      <c r="AA266" s="2139"/>
      <c r="AB266" s="2139"/>
      <c r="AC266" s="2139"/>
      <c r="AD266" s="2139"/>
    </row>
    <row r="267" spans="1:30" ht="25.5">
      <c r="A267" s="4097">
        <v>252</v>
      </c>
      <c r="B267" s="4093" t="s">
        <v>6609</v>
      </c>
      <c r="C267" s="4098" t="s">
        <v>6610</v>
      </c>
      <c r="D267" s="4099" t="s">
        <v>6611</v>
      </c>
      <c r="E267" s="4100"/>
      <c r="F267" s="4097">
        <v>576</v>
      </c>
      <c r="G267" s="4093" t="s">
        <v>6612</v>
      </c>
      <c r="H267" s="4098" t="s">
        <v>6613</v>
      </c>
      <c r="I267" s="4099" t="s">
        <v>6614</v>
      </c>
      <c r="J267" s="4100"/>
      <c r="K267" s="4097">
        <v>900</v>
      </c>
      <c r="L267" s="4093" t="s">
        <v>6615</v>
      </c>
      <c r="M267" s="4098" t="s">
        <v>6616</v>
      </c>
      <c r="N267" s="4099" t="s">
        <v>6617</v>
      </c>
      <c r="O267" s="4100"/>
      <c r="P267" s="4097">
        <v>1224</v>
      </c>
      <c r="Q267" s="4093" t="s">
        <v>6618</v>
      </c>
      <c r="R267" s="4098" t="s">
        <v>6619</v>
      </c>
      <c r="S267" s="4099" t="s">
        <v>6620</v>
      </c>
      <c r="T267" s="2139"/>
      <c r="U267" s="2139"/>
      <c r="V267" s="2139"/>
      <c r="W267" s="2139"/>
      <c r="X267" s="2139"/>
      <c r="Y267" s="2139"/>
      <c r="Z267" s="2139"/>
      <c r="AA267" s="2139"/>
      <c r="AB267" s="2139"/>
      <c r="AC267" s="2139"/>
      <c r="AD267" s="2139"/>
    </row>
    <row r="268" spans="1:30" ht="25.5">
      <c r="A268" s="4097">
        <v>253</v>
      </c>
      <c r="B268" s="4093" t="s">
        <v>6621</v>
      </c>
      <c r="C268" s="4098" t="s">
        <v>6622</v>
      </c>
      <c r="D268" s="4099" t="s">
        <v>6623</v>
      </c>
      <c r="E268" s="4100"/>
      <c r="F268" s="4097">
        <v>577</v>
      </c>
      <c r="G268" s="4093" t="s">
        <v>6624</v>
      </c>
      <c r="H268" s="4098" t="s">
        <v>6625</v>
      </c>
      <c r="I268" s="4099" t="s">
        <v>6626</v>
      </c>
      <c r="J268" s="4100"/>
      <c r="K268" s="4097">
        <v>901</v>
      </c>
      <c r="L268" s="4093" t="s">
        <v>6627</v>
      </c>
      <c r="M268" s="4098" t="s">
        <v>6628</v>
      </c>
      <c r="N268" s="4099" t="s">
        <v>6629</v>
      </c>
      <c r="O268" s="4100"/>
      <c r="P268" s="4097">
        <v>1225</v>
      </c>
      <c r="Q268" s="4093" t="s">
        <v>6630</v>
      </c>
      <c r="R268" s="4098" t="s">
        <v>6631</v>
      </c>
      <c r="S268" s="4099" t="s">
        <v>6632</v>
      </c>
      <c r="T268" s="2139"/>
      <c r="U268" s="2139"/>
      <c r="V268" s="2139"/>
      <c r="W268" s="2139"/>
      <c r="X268" s="2139"/>
      <c r="Y268" s="2139"/>
      <c r="Z268" s="2139"/>
      <c r="AA268" s="2139"/>
      <c r="AB268" s="2139"/>
      <c r="AC268" s="2139"/>
      <c r="AD268" s="2139"/>
    </row>
    <row r="269" spans="1:30">
      <c r="A269" s="4097">
        <v>254</v>
      </c>
      <c r="B269" s="4093" t="s">
        <v>6633</v>
      </c>
      <c r="C269" s="4098" t="s">
        <v>6634</v>
      </c>
      <c r="D269" s="4099" t="s">
        <v>6635</v>
      </c>
      <c r="E269" s="4100"/>
      <c r="F269" s="4097">
        <v>578</v>
      </c>
      <c r="G269" s="4093" t="s">
        <v>6636</v>
      </c>
      <c r="H269" s="4098" t="s">
        <v>6637</v>
      </c>
      <c r="I269" s="4099" t="s">
        <v>6638</v>
      </c>
      <c r="J269" s="4100"/>
      <c r="K269" s="4097">
        <v>902</v>
      </c>
      <c r="L269" s="4093" t="s">
        <v>6639</v>
      </c>
      <c r="M269" s="4098" t="s">
        <v>6640</v>
      </c>
      <c r="N269" s="4099" t="s">
        <v>6641</v>
      </c>
      <c r="O269" s="4100"/>
      <c r="P269" s="4097">
        <v>1226</v>
      </c>
      <c r="Q269" s="4093" t="s">
        <v>6642</v>
      </c>
      <c r="R269" s="4098" t="s">
        <v>6643</v>
      </c>
      <c r="S269" s="4099" t="s">
        <v>6644</v>
      </c>
      <c r="T269" s="2139"/>
      <c r="U269" s="2139"/>
      <c r="V269" s="2139"/>
      <c r="W269" s="2139"/>
      <c r="X269" s="2139"/>
      <c r="Y269" s="2139"/>
      <c r="Z269" s="2139"/>
      <c r="AA269" s="2139"/>
      <c r="AB269" s="2139"/>
      <c r="AC269" s="2139"/>
      <c r="AD269" s="2139"/>
    </row>
    <row r="270" spans="1:30" ht="25.5">
      <c r="A270" s="4097">
        <v>255</v>
      </c>
      <c r="B270" s="4093" t="s">
        <v>6645</v>
      </c>
      <c r="C270" s="4098" t="s">
        <v>6646</v>
      </c>
      <c r="D270" s="4099" t="s">
        <v>6647</v>
      </c>
      <c r="E270" s="4100"/>
      <c r="F270" s="4097">
        <v>579</v>
      </c>
      <c r="G270" s="4093" t="s">
        <v>6648</v>
      </c>
      <c r="H270" s="4098" t="s">
        <v>6649</v>
      </c>
      <c r="I270" s="4099" t="s">
        <v>6650</v>
      </c>
      <c r="J270" s="4100"/>
      <c r="K270" s="4097">
        <v>903</v>
      </c>
      <c r="L270" s="4093" t="s">
        <v>6651</v>
      </c>
      <c r="M270" s="4098" t="s">
        <v>6652</v>
      </c>
      <c r="N270" s="4099" t="s">
        <v>6653</v>
      </c>
      <c r="O270" s="4100"/>
      <c r="P270" s="4097">
        <v>1227</v>
      </c>
      <c r="Q270" s="4093" t="s">
        <v>6654</v>
      </c>
      <c r="R270" s="4098" t="s">
        <v>6655</v>
      </c>
      <c r="S270" s="4099" t="s">
        <v>6656</v>
      </c>
      <c r="T270" s="2139"/>
      <c r="U270" s="2139"/>
      <c r="V270" s="2139"/>
      <c r="W270" s="2139"/>
      <c r="X270" s="2139"/>
      <c r="Y270" s="2139"/>
      <c r="Z270" s="2139"/>
      <c r="AA270" s="2139"/>
      <c r="AB270" s="2139"/>
      <c r="AC270" s="2139"/>
      <c r="AD270" s="2139"/>
    </row>
    <row r="271" spans="1:30" ht="25.5">
      <c r="A271" s="4097">
        <v>256</v>
      </c>
      <c r="B271" s="4093" t="s">
        <v>6657</v>
      </c>
      <c r="C271" s="4098" t="s">
        <v>6658</v>
      </c>
      <c r="D271" s="4099" t="s">
        <v>6659</v>
      </c>
      <c r="E271" s="4100"/>
      <c r="F271" s="4097">
        <v>580</v>
      </c>
      <c r="G271" s="4093" t="s">
        <v>6660</v>
      </c>
      <c r="H271" s="4098" t="s">
        <v>6661</v>
      </c>
      <c r="I271" s="4099" t="s">
        <v>6662</v>
      </c>
      <c r="J271" s="4100"/>
      <c r="K271" s="4097">
        <v>904</v>
      </c>
      <c r="L271" s="4093" t="s">
        <v>6663</v>
      </c>
      <c r="M271" s="4098" t="s">
        <v>6664</v>
      </c>
      <c r="N271" s="4099" t="s">
        <v>6665</v>
      </c>
      <c r="O271" s="4100"/>
      <c r="P271" s="4097">
        <v>1228</v>
      </c>
      <c r="Q271" s="4093" t="s">
        <v>6666</v>
      </c>
      <c r="R271" s="4098" t="s">
        <v>6667</v>
      </c>
      <c r="S271" s="4099" t="s">
        <v>6668</v>
      </c>
      <c r="T271" s="2139"/>
      <c r="U271" s="2139"/>
      <c r="V271" s="2139"/>
      <c r="W271" s="2139"/>
      <c r="X271" s="2139"/>
      <c r="Y271" s="2139"/>
      <c r="Z271" s="2139"/>
      <c r="AA271" s="2139"/>
      <c r="AB271" s="2139"/>
      <c r="AC271" s="2139"/>
      <c r="AD271" s="2139"/>
    </row>
    <row r="272" spans="1:30" ht="25.5">
      <c r="A272" s="4097">
        <v>257</v>
      </c>
      <c r="B272" s="4093" t="s">
        <v>6669</v>
      </c>
      <c r="C272" s="4098" t="s">
        <v>6670</v>
      </c>
      <c r="D272" s="4099" t="s">
        <v>6671</v>
      </c>
      <c r="E272" s="4100"/>
      <c r="F272" s="4097">
        <v>581</v>
      </c>
      <c r="G272" s="4093" t="s">
        <v>6672</v>
      </c>
      <c r="H272" s="4108" t="s">
        <v>6673</v>
      </c>
      <c r="I272" s="4099" t="s">
        <v>6674</v>
      </c>
      <c r="J272" s="4100"/>
      <c r="K272" s="4097">
        <v>905</v>
      </c>
      <c r="L272" s="4093" t="s">
        <v>6675</v>
      </c>
      <c r="M272" s="4098" t="s">
        <v>6676</v>
      </c>
      <c r="N272" s="4099" t="s">
        <v>6677</v>
      </c>
      <c r="O272" s="4100"/>
      <c r="P272" s="4097">
        <v>1229</v>
      </c>
      <c r="Q272" s="4093" t="s">
        <v>6678</v>
      </c>
      <c r="R272" s="4098" t="s">
        <v>6679</v>
      </c>
      <c r="S272" s="4099" t="s">
        <v>6680</v>
      </c>
      <c r="T272" s="2139"/>
      <c r="U272" s="2139"/>
      <c r="V272" s="2139"/>
      <c r="W272" s="2139"/>
      <c r="X272" s="2139"/>
      <c r="Y272" s="2139"/>
      <c r="Z272" s="2139"/>
      <c r="AA272" s="2139"/>
      <c r="AB272" s="2139"/>
      <c r="AC272" s="2139"/>
      <c r="AD272" s="2139"/>
    </row>
    <row r="273" spans="1:30">
      <c r="A273" s="4097">
        <v>258</v>
      </c>
      <c r="B273" s="4093" t="s">
        <v>6681</v>
      </c>
      <c r="C273" s="4098" t="s">
        <v>6682</v>
      </c>
      <c r="D273" s="4099" t="s">
        <v>6683</v>
      </c>
      <c r="E273" s="4100"/>
      <c r="F273" s="4097">
        <v>582</v>
      </c>
      <c r="G273" s="4093" t="s">
        <v>6684</v>
      </c>
      <c r="H273" s="4098" t="s">
        <v>6685</v>
      </c>
      <c r="I273" s="4099" t="s">
        <v>6686</v>
      </c>
      <c r="J273" s="4100"/>
      <c r="K273" s="4097">
        <v>906</v>
      </c>
      <c r="L273" s="4093" t="s">
        <v>6687</v>
      </c>
      <c r="M273" s="4098" t="s">
        <v>6688</v>
      </c>
      <c r="N273" s="4099" t="s">
        <v>6689</v>
      </c>
      <c r="O273" s="4100"/>
      <c r="P273" s="4097">
        <v>1230</v>
      </c>
      <c r="Q273" s="4093" t="s">
        <v>6690</v>
      </c>
      <c r="R273" s="4098" t="s">
        <v>6691</v>
      </c>
      <c r="S273" s="4099" t="s">
        <v>6692</v>
      </c>
      <c r="T273" s="2139"/>
      <c r="U273" s="2139"/>
      <c r="V273" s="2139"/>
      <c r="W273" s="2139"/>
      <c r="X273" s="2139"/>
      <c r="Y273" s="2139"/>
      <c r="Z273" s="2139"/>
      <c r="AA273" s="2139"/>
      <c r="AB273" s="2139"/>
      <c r="AC273" s="2139"/>
      <c r="AD273" s="2139"/>
    </row>
    <row r="274" spans="1:30">
      <c r="A274" s="4097">
        <v>259</v>
      </c>
      <c r="B274" s="4093" t="s">
        <v>6693</v>
      </c>
      <c r="C274" s="4098" t="s">
        <v>6694</v>
      </c>
      <c r="D274" s="4099" t="s">
        <v>6695</v>
      </c>
      <c r="E274" s="4100"/>
      <c r="F274" s="4097">
        <v>583</v>
      </c>
      <c r="G274" s="4093" t="s">
        <v>6696</v>
      </c>
      <c r="H274" s="4098" t="s">
        <v>6697</v>
      </c>
      <c r="I274" s="4099" t="s">
        <v>6698</v>
      </c>
      <c r="J274" s="4100"/>
      <c r="K274" s="4097">
        <v>907</v>
      </c>
      <c r="L274" s="4093" t="s">
        <v>6699</v>
      </c>
      <c r="M274" s="4098" t="s">
        <v>6700</v>
      </c>
      <c r="N274" s="4099" t="s">
        <v>6701</v>
      </c>
      <c r="O274" s="4100"/>
      <c r="P274" s="4097">
        <v>1231</v>
      </c>
      <c r="Q274" s="4093" t="s">
        <v>6702</v>
      </c>
      <c r="R274" s="4098" t="s">
        <v>6703</v>
      </c>
      <c r="S274" s="4099" t="s">
        <v>6704</v>
      </c>
      <c r="T274" s="2139"/>
      <c r="U274" s="2139"/>
      <c r="V274" s="2139"/>
      <c r="W274" s="2139"/>
      <c r="X274" s="2139"/>
      <c r="Y274" s="2139"/>
      <c r="Z274" s="2139"/>
      <c r="AA274" s="2139"/>
      <c r="AB274" s="2139"/>
      <c r="AC274" s="2139"/>
      <c r="AD274" s="2139"/>
    </row>
    <row r="275" spans="1:30" ht="25.5">
      <c r="A275" s="4097">
        <v>260</v>
      </c>
      <c r="B275" s="4093" t="s">
        <v>6705</v>
      </c>
      <c r="C275" s="4098" t="s">
        <v>6706</v>
      </c>
      <c r="D275" s="4099" t="s">
        <v>6707</v>
      </c>
      <c r="E275" s="4100"/>
      <c r="F275" s="4097">
        <v>584</v>
      </c>
      <c r="G275" s="4093" t="s">
        <v>6708</v>
      </c>
      <c r="H275" s="4098" t="s">
        <v>6709</v>
      </c>
      <c r="I275" s="4099" t="s">
        <v>6710</v>
      </c>
      <c r="J275" s="4100"/>
      <c r="K275" s="4097">
        <v>908</v>
      </c>
      <c r="L275" s="4093" t="s">
        <v>6711</v>
      </c>
      <c r="M275" s="4098" t="s">
        <v>6712</v>
      </c>
      <c r="N275" s="4099" t="s">
        <v>6713</v>
      </c>
      <c r="O275" s="4100"/>
      <c r="P275" s="4097">
        <v>1232</v>
      </c>
      <c r="Q275" s="4093" t="s">
        <v>6714</v>
      </c>
      <c r="R275" s="4098" t="s">
        <v>6715</v>
      </c>
      <c r="S275" s="4099" t="s">
        <v>6716</v>
      </c>
      <c r="T275" s="2139"/>
      <c r="U275" s="2139"/>
      <c r="V275" s="2139"/>
      <c r="W275" s="2139"/>
      <c r="X275" s="2139"/>
      <c r="Y275" s="2139"/>
      <c r="Z275" s="2139"/>
      <c r="AA275" s="2139"/>
      <c r="AB275" s="2139"/>
      <c r="AC275" s="2139"/>
      <c r="AD275" s="2139"/>
    </row>
    <row r="276" spans="1:30">
      <c r="A276" s="4097">
        <v>261</v>
      </c>
      <c r="B276" s="4093" t="s">
        <v>6717</v>
      </c>
      <c r="C276" s="4098" t="s">
        <v>6718</v>
      </c>
      <c r="D276" s="4099" t="s">
        <v>6719</v>
      </c>
      <c r="E276" s="4100"/>
      <c r="F276" s="4097">
        <v>585</v>
      </c>
      <c r="G276" s="4093" t="s">
        <v>6720</v>
      </c>
      <c r="H276" s="4098" t="s">
        <v>6721</v>
      </c>
      <c r="I276" s="4099" t="s">
        <v>6722</v>
      </c>
      <c r="J276" s="4100"/>
      <c r="K276" s="4097">
        <v>909</v>
      </c>
      <c r="L276" s="4093" t="s">
        <v>6723</v>
      </c>
      <c r="M276" s="4098" t="s">
        <v>6724</v>
      </c>
      <c r="N276" s="4099" t="s">
        <v>6725</v>
      </c>
      <c r="O276" s="4100"/>
      <c r="P276" s="4097">
        <v>1233</v>
      </c>
      <c r="Q276" s="4093" t="s">
        <v>6726</v>
      </c>
      <c r="R276" s="4098" t="s">
        <v>6727</v>
      </c>
      <c r="S276" s="4099" t="s">
        <v>6728</v>
      </c>
      <c r="T276" s="2139"/>
      <c r="U276" s="2139"/>
      <c r="V276" s="2139"/>
      <c r="W276" s="2139"/>
      <c r="X276" s="2139"/>
      <c r="Y276" s="2139"/>
      <c r="Z276" s="2139"/>
      <c r="AA276" s="2139"/>
      <c r="AB276" s="2139"/>
      <c r="AC276" s="2139"/>
      <c r="AD276" s="2139"/>
    </row>
    <row r="277" spans="1:30" ht="25.5">
      <c r="A277" s="4097">
        <v>262</v>
      </c>
      <c r="B277" s="4093" t="s">
        <v>6729</v>
      </c>
      <c r="C277" s="4098" t="s">
        <v>6730</v>
      </c>
      <c r="D277" s="4099" t="s">
        <v>6731</v>
      </c>
      <c r="E277" s="4100"/>
      <c r="F277" s="4097">
        <v>586</v>
      </c>
      <c r="G277" s="4093" t="s">
        <v>6732</v>
      </c>
      <c r="H277" s="4098" t="s">
        <v>6733</v>
      </c>
      <c r="I277" s="4099" t="s">
        <v>6734</v>
      </c>
      <c r="J277" s="4100"/>
      <c r="K277" s="4097">
        <v>910</v>
      </c>
      <c r="L277" s="4093" t="s">
        <v>6735</v>
      </c>
      <c r="M277" s="4098" t="s">
        <v>6736</v>
      </c>
      <c r="N277" s="4099" t="s">
        <v>6737</v>
      </c>
      <c r="O277" s="4100"/>
      <c r="P277" s="4097">
        <v>1234</v>
      </c>
      <c r="Q277" s="4093" t="s">
        <v>6738</v>
      </c>
      <c r="R277" s="4098" t="s">
        <v>6739</v>
      </c>
      <c r="S277" s="4099" t="s">
        <v>6740</v>
      </c>
      <c r="T277" s="2139"/>
      <c r="U277" s="2139"/>
      <c r="V277" s="2139"/>
      <c r="W277" s="2139"/>
      <c r="X277" s="2139"/>
      <c r="Y277" s="2139"/>
      <c r="Z277" s="2139"/>
      <c r="AA277" s="2139"/>
      <c r="AB277" s="2139"/>
      <c r="AC277" s="2139"/>
      <c r="AD277" s="2139"/>
    </row>
    <row r="278" spans="1:30" ht="25.5">
      <c r="A278" s="4097">
        <v>263</v>
      </c>
      <c r="B278" s="4093" t="s">
        <v>6741</v>
      </c>
      <c r="C278" s="4098" t="s">
        <v>6742</v>
      </c>
      <c r="D278" s="4099" t="s">
        <v>6743</v>
      </c>
      <c r="E278" s="4100"/>
      <c r="F278" s="4097">
        <v>587</v>
      </c>
      <c r="G278" s="4093" t="s">
        <v>6744</v>
      </c>
      <c r="H278" s="4098" t="s">
        <v>6745</v>
      </c>
      <c r="I278" s="4099" t="s">
        <v>6746</v>
      </c>
      <c r="J278" s="4100"/>
      <c r="K278" s="4097">
        <v>911</v>
      </c>
      <c r="L278" s="4093" t="s">
        <v>6747</v>
      </c>
      <c r="M278" s="4098" t="s">
        <v>6748</v>
      </c>
      <c r="N278" s="4099" t="s">
        <v>6749</v>
      </c>
      <c r="O278" s="4100"/>
      <c r="P278" s="4097">
        <v>1235</v>
      </c>
      <c r="Q278" s="4093" t="s">
        <v>6750</v>
      </c>
      <c r="R278" s="4098" t="s">
        <v>6751</v>
      </c>
      <c r="S278" s="4099" t="s">
        <v>6752</v>
      </c>
      <c r="T278" s="2139"/>
      <c r="U278" s="2139"/>
      <c r="V278" s="2139"/>
      <c r="W278" s="2139"/>
      <c r="X278" s="2139"/>
      <c r="Y278" s="2139"/>
      <c r="Z278" s="2139"/>
      <c r="AA278" s="2139"/>
      <c r="AB278" s="2139"/>
      <c r="AC278" s="2139"/>
      <c r="AD278" s="2139"/>
    </row>
    <row r="279" spans="1:30" ht="25.5">
      <c r="A279" s="4097">
        <v>264</v>
      </c>
      <c r="B279" s="4093" t="s">
        <v>6753</v>
      </c>
      <c r="C279" s="4098" t="s">
        <v>6754</v>
      </c>
      <c r="D279" s="4099" t="s">
        <v>6755</v>
      </c>
      <c r="E279" s="4100"/>
      <c r="F279" s="4097">
        <v>588</v>
      </c>
      <c r="G279" s="4093" t="s">
        <v>6756</v>
      </c>
      <c r="H279" s="4098" t="s">
        <v>6757</v>
      </c>
      <c r="I279" s="4099" t="s">
        <v>6758</v>
      </c>
      <c r="J279" s="4100"/>
      <c r="K279" s="4097">
        <v>912</v>
      </c>
      <c r="L279" s="4093" t="s">
        <v>6759</v>
      </c>
      <c r="M279" s="4098" t="s">
        <v>6760</v>
      </c>
      <c r="N279" s="4099" t="s">
        <v>6761</v>
      </c>
      <c r="O279" s="4100"/>
      <c r="P279" s="4097">
        <v>1236</v>
      </c>
      <c r="Q279" s="4093" t="s">
        <v>6762</v>
      </c>
      <c r="R279" s="4098" t="s">
        <v>6763</v>
      </c>
      <c r="S279" s="4099" t="s">
        <v>6764</v>
      </c>
      <c r="T279" s="2139"/>
      <c r="U279" s="2139"/>
      <c r="V279" s="2139"/>
      <c r="W279" s="2139"/>
      <c r="X279" s="2139"/>
      <c r="Y279" s="2139"/>
      <c r="Z279" s="2139"/>
      <c r="AA279" s="2139"/>
      <c r="AB279" s="2139"/>
      <c r="AC279" s="2139"/>
      <c r="AD279" s="2139"/>
    </row>
    <row r="280" spans="1:30" ht="25.5">
      <c r="A280" s="4097">
        <v>265</v>
      </c>
      <c r="B280" s="4093" t="s">
        <v>6765</v>
      </c>
      <c r="C280" s="4098" t="s">
        <v>6766</v>
      </c>
      <c r="D280" s="4099" t="s">
        <v>6767</v>
      </c>
      <c r="E280" s="4100"/>
      <c r="F280" s="4097">
        <v>589</v>
      </c>
      <c r="G280" s="4093" t="s">
        <v>6768</v>
      </c>
      <c r="H280" s="4098" t="s">
        <v>6769</v>
      </c>
      <c r="I280" s="4099" t="s">
        <v>6770</v>
      </c>
      <c r="J280" s="4100"/>
      <c r="K280" s="4097">
        <v>913</v>
      </c>
      <c r="L280" s="4093" t="s">
        <v>6771</v>
      </c>
      <c r="M280" s="4098" t="s">
        <v>6772</v>
      </c>
      <c r="N280" s="4099" t="s">
        <v>6773</v>
      </c>
      <c r="O280" s="4100"/>
      <c r="P280" s="4097">
        <v>1237</v>
      </c>
      <c r="Q280" s="4093" t="s">
        <v>6774</v>
      </c>
      <c r="R280" s="4098" t="s">
        <v>6775</v>
      </c>
      <c r="S280" s="4099" t="s">
        <v>6776</v>
      </c>
      <c r="T280" s="2139"/>
      <c r="U280" s="2139"/>
      <c r="V280" s="2139"/>
      <c r="W280" s="2139"/>
      <c r="X280" s="2139"/>
      <c r="Y280" s="2139"/>
      <c r="Z280" s="2139"/>
      <c r="AA280" s="2139"/>
      <c r="AB280" s="2139"/>
      <c r="AC280" s="2139"/>
      <c r="AD280" s="2139"/>
    </row>
    <row r="281" spans="1:30" ht="25.5">
      <c r="A281" s="4097">
        <v>266</v>
      </c>
      <c r="B281" s="4093" t="s">
        <v>6777</v>
      </c>
      <c r="C281" s="4098" t="s">
        <v>6778</v>
      </c>
      <c r="D281" s="4099" t="s">
        <v>6779</v>
      </c>
      <c r="E281" s="4100"/>
      <c r="F281" s="4097">
        <v>590</v>
      </c>
      <c r="G281" s="4093" t="s">
        <v>6780</v>
      </c>
      <c r="H281" s="4098" t="s">
        <v>6781</v>
      </c>
      <c r="I281" s="4099" t="s">
        <v>6782</v>
      </c>
      <c r="J281" s="4100"/>
      <c r="K281" s="4097">
        <v>914</v>
      </c>
      <c r="L281" s="4093" t="s">
        <v>6783</v>
      </c>
      <c r="M281" s="4098" t="s">
        <v>6784</v>
      </c>
      <c r="N281" s="4099" t="s">
        <v>6785</v>
      </c>
      <c r="O281" s="4100"/>
      <c r="P281" s="4097">
        <v>1238</v>
      </c>
      <c r="Q281" s="4093" t="s">
        <v>6786</v>
      </c>
      <c r="R281" s="4098" t="s">
        <v>6787</v>
      </c>
      <c r="S281" s="4099" t="s">
        <v>6788</v>
      </c>
      <c r="T281" s="2139"/>
      <c r="U281" s="2139"/>
      <c r="V281" s="2139"/>
      <c r="W281" s="2139"/>
      <c r="X281" s="2139"/>
      <c r="Y281" s="2139"/>
      <c r="Z281" s="2139"/>
      <c r="AA281" s="2139"/>
      <c r="AB281" s="2139"/>
      <c r="AC281" s="2139"/>
      <c r="AD281" s="2139"/>
    </row>
    <row r="282" spans="1:30">
      <c r="A282" s="4097">
        <v>267</v>
      </c>
      <c r="B282" s="4093" t="s">
        <v>6789</v>
      </c>
      <c r="C282" s="4098" t="s">
        <v>6790</v>
      </c>
      <c r="D282" s="4099" t="s">
        <v>6791</v>
      </c>
      <c r="E282" s="4100"/>
      <c r="F282" s="4097">
        <v>591</v>
      </c>
      <c r="G282" s="4093" t="s">
        <v>6792</v>
      </c>
      <c r="H282" s="4098" t="s">
        <v>6793</v>
      </c>
      <c r="I282" s="4099" t="s">
        <v>6794</v>
      </c>
      <c r="J282" s="4100"/>
      <c r="K282" s="4097">
        <v>915</v>
      </c>
      <c r="L282" s="4093" t="s">
        <v>6795</v>
      </c>
      <c r="M282" s="4098" t="s">
        <v>6796</v>
      </c>
      <c r="N282" s="4099" t="s">
        <v>6797</v>
      </c>
      <c r="O282" s="4100"/>
      <c r="P282" s="4097">
        <v>1239</v>
      </c>
      <c r="Q282" s="4093" t="s">
        <v>6798</v>
      </c>
      <c r="R282" s="4098" t="s">
        <v>6799</v>
      </c>
      <c r="S282" s="4099" t="s">
        <v>6800</v>
      </c>
      <c r="T282" s="2139"/>
      <c r="U282" s="2139"/>
      <c r="V282" s="2139"/>
      <c r="W282" s="2139"/>
      <c r="X282" s="2139"/>
      <c r="Y282" s="2139"/>
      <c r="Z282" s="2139"/>
      <c r="AA282" s="2139"/>
      <c r="AB282" s="2139"/>
      <c r="AC282" s="2139"/>
      <c r="AD282" s="2139"/>
    </row>
    <row r="283" spans="1:30">
      <c r="A283" s="4097">
        <v>268</v>
      </c>
      <c r="B283" s="4093" t="s">
        <v>6801</v>
      </c>
      <c r="C283" s="4098" t="s">
        <v>6802</v>
      </c>
      <c r="D283" s="4099" t="s">
        <v>6803</v>
      </c>
      <c r="E283" s="4100"/>
      <c r="F283" s="4097">
        <v>592</v>
      </c>
      <c r="G283" s="4093" t="s">
        <v>6804</v>
      </c>
      <c r="H283" s="4098" t="s">
        <v>6805</v>
      </c>
      <c r="I283" s="4099" t="s">
        <v>6806</v>
      </c>
      <c r="J283" s="4100"/>
      <c r="K283" s="4097">
        <v>916</v>
      </c>
      <c r="L283" s="4093" t="s">
        <v>6807</v>
      </c>
      <c r="M283" s="4098" t="s">
        <v>6808</v>
      </c>
      <c r="N283" s="4099" t="s">
        <v>6809</v>
      </c>
      <c r="O283" s="4100"/>
      <c r="P283" s="4097">
        <v>1240</v>
      </c>
      <c r="Q283" s="4093" t="s">
        <v>6810</v>
      </c>
      <c r="R283" s="4098" t="s">
        <v>6811</v>
      </c>
      <c r="S283" s="4099" t="s">
        <v>6812</v>
      </c>
      <c r="T283" s="2139"/>
      <c r="U283" s="2139"/>
      <c r="V283" s="2139"/>
      <c r="W283" s="2139"/>
      <c r="X283" s="2139"/>
      <c r="Y283" s="2139"/>
      <c r="Z283" s="2139"/>
      <c r="AA283" s="2139"/>
      <c r="AB283" s="2139"/>
      <c r="AC283" s="2139"/>
      <c r="AD283" s="2139"/>
    </row>
    <row r="284" spans="1:30">
      <c r="A284" s="4097">
        <v>269</v>
      </c>
      <c r="B284" s="4093" t="s">
        <v>6813</v>
      </c>
      <c r="C284" s="4098" t="s">
        <v>6814</v>
      </c>
      <c r="D284" s="4099" t="s">
        <v>6815</v>
      </c>
      <c r="E284" s="4100"/>
      <c r="F284" s="4097">
        <v>593</v>
      </c>
      <c r="G284" s="4093" t="s">
        <v>6816</v>
      </c>
      <c r="H284" s="4098" t="s">
        <v>6817</v>
      </c>
      <c r="I284" s="4099" t="s">
        <v>6818</v>
      </c>
      <c r="J284" s="4100"/>
      <c r="K284" s="4097">
        <v>917</v>
      </c>
      <c r="L284" s="4093" t="s">
        <v>6819</v>
      </c>
      <c r="M284" s="4098" t="s">
        <v>6820</v>
      </c>
      <c r="N284" s="4099" t="s">
        <v>6821</v>
      </c>
      <c r="O284" s="4100"/>
      <c r="P284" s="4097">
        <v>1241</v>
      </c>
      <c r="Q284" s="4093" t="s">
        <v>6822</v>
      </c>
      <c r="R284" s="4098" t="s">
        <v>6823</v>
      </c>
      <c r="S284" s="4099" t="s">
        <v>6824</v>
      </c>
      <c r="T284" s="2139"/>
      <c r="U284" s="2139"/>
      <c r="V284" s="2139"/>
      <c r="W284" s="2139"/>
      <c r="X284" s="2139"/>
      <c r="Y284" s="2139"/>
      <c r="Z284" s="2139"/>
      <c r="AA284" s="2139"/>
      <c r="AB284" s="2139"/>
      <c r="AC284" s="2139"/>
      <c r="AD284" s="2139"/>
    </row>
    <row r="285" spans="1:30" ht="25.5">
      <c r="A285" s="4097">
        <v>270</v>
      </c>
      <c r="B285" s="4093" t="s">
        <v>6825</v>
      </c>
      <c r="C285" s="4098" t="s">
        <v>6826</v>
      </c>
      <c r="D285" s="4099" t="s">
        <v>6827</v>
      </c>
      <c r="E285" s="4100"/>
      <c r="F285" s="4097">
        <v>594</v>
      </c>
      <c r="G285" s="4093" t="s">
        <v>6828</v>
      </c>
      <c r="H285" s="4098" t="s">
        <v>6829</v>
      </c>
      <c r="I285" s="4099" t="s">
        <v>6830</v>
      </c>
      <c r="J285" s="4100"/>
      <c r="K285" s="4097">
        <v>918</v>
      </c>
      <c r="L285" s="4093" t="s">
        <v>6831</v>
      </c>
      <c r="M285" s="4098" t="s">
        <v>6832</v>
      </c>
      <c r="N285" s="4099" t="s">
        <v>6833</v>
      </c>
      <c r="O285" s="4100"/>
      <c r="P285" s="4097">
        <v>1242</v>
      </c>
      <c r="Q285" s="4093" t="s">
        <v>6834</v>
      </c>
      <c r="R285" s="4098" t="s">
        <v>6835</v>
      </c>
      <c r="S285" s="4099" t="s">
        <v>6836</v>
      </c>
      <c r="T285" s="2139"/>
      <c r="U285" s="2139"/>
      <c r="V285" s="2139"/>
      <c r="W285" s="2139"/>
      <c r="X285" s="2139"/>
      <c r="Y285" s="2139"/>
      <c r="Z285" s="2139"/>
      <c r="AA285" s="2139"/>
      <c r="AB285" s="2139"/>
      <c r="AC285" s="2139"/>
      <c r="AD285" s="2139"/>
    </row>
    <row r="286" spans="1:30">
      <c r="A286" s="4097">
        <v>271</v>
      </c>
      <c r="B286" s="4093" t="s">
        <v>6837</v>
      </c>
      <c r="C286" s="4098" t="s">
        <v>6838</v>
      </c>
      <c r="D286" s="4099" t="s">
        <v>6839</v>
      </c>
      <c r="E286" s="4100"/>
      <c r="F286" s="4097">
        <v>595</v>
      </c>
      <c r="G286" s="4093" t="s">
        <v>6840</v>
      </c>
      <c r="H286" s="4098" t="s">
        <v>6841</v>
      </c>
      <c r="I286" s="4099" t="s">
        <v>6842</v>
      </c>
      <c r="J286" s="4100"/>
      <c r="K286" s="4097">
        <v>919</v>
      </c>
      <c r="L286" s="4093" t="s">
        <v>6843</v>
      </c>
      <c r="M286" s="4098" t="s">
        <v>6844</v>
      </c>
      <c r="N286" s="4099" t="s">
        <v>6845</v>
      </c>
      <c r="O286" s="4100"/>
      <c r="P286" s="4097">
        <v>1243</v>
      </c>
      <c r="Q286" s="4093" t="s">
        <v>6846</v>
      </c>
      <c r="R286" s="4098" t="s">
        <v>6847</v>
      </c>
      <c r="S286" s="4099" t="s">
        <v>6848</v>
      </c>
      <c r="T286" s="2139"/>
      <c r="U286" s="2139"/>
      <c r="V286" s="2139"/>
      <c r="W286" s="2139"/>
      <c r="X286" s="2139"/>
      <c r="Y286" s="2139"/>
      <c r="Z286" s="2139"/>
      <c r="AA286" s="2139"/>
      <c r="AB286" s="2139"/>
      <c r="AC286" s="2139"/>
      <c r="AD286" s="2139"/>
    </row>
    <row r="287" spans="1:30">
      <c r="A287" s="4097">
        <v>272</v>
      </c>
      <c r="B287" s="4093" t="s">
        <v>6849</v>
      </c>
      <c r="C287" s="4098" t="s">
        <v>6850</v>
      </c>
      <c r="D287" s="4099" t="s">
        <v>6851</v>
      </c>
      <c r="E287" s="4100"/>
      <c r="F287" s="4097">
        <v>596</v>
      </c>
      <c r="G287" s="4093" t="s">
        <v>6852</v>
      </c>
      <c r="H287" s="4098" t="s">
        <v>6853</v>
      </c>
      <c r="I287" s="4099" t="s">
        <v>6854</v>
      </c>
      <c r="J287" s="4100"/>
      <c r="K287" s="4097">
        <v>920</v>
      </c>
      <c r="L287" s="4093" t="s">
        <v>6855</v>
      </c>
      <c r="M287" s="4098" t="s">
        <v>6856</v>
      </c>
      <c r="N287" s="4099" t="s">
        <v>6857</v>
      </c>
      <c r="O287" s="4100"/>
      <c r="P287" s="4097">
        <v>1244</v>
      </c>
      <c r="Q287" s="4093" t="s">
        <v>6858</v>
      </c>
      <c r="R287" s="4098" t="s">
        <v>6859</v>
      </c>
      <c r="S287" s="4099" t="s">
        <v>6860</v>
      </c>
      <c r="T287" s="2139"/>
      <c r="U287" s="2139"/>
      <c r="V287" s="2139"/>
      <c r="W287" s="2139"/>
      <c r="X287" s="2139"/>
      <c r="Y287" s="2139"/>
      <c r="Z287" s="2139"/>
      <c r="AA287" s="2139"/>
      <c r="AB287" s="2139"/>
      <c r="AC287" s="2139"/>
      <c r="AD287" s="2139"/>
    </row>
    <row r="288" spans="1:30">
      <c r="A288" s="4097">
        <v>273</v>
      </c>
      <c r="B288" s="4093" t="s">
        <v>6861</v>
      </c>
      <c r="C288" s="4098" t="s">
        <v>6862</v>
      </c>
      <c r="D288" s="4099" t="s">
        <v>6863</v>
      </c>
      <c r="E288" s="4100"/>
      <c r="F288" s="4097">
        <v>597</v>
      </c>
      <c r="G288" s="4093" t="s">
        <v>6864</v>
      </c>
      <c r="H288" s="4098" t="s">
        <v>6865</v>
      </c>
      <c r="I288" s="4099" t="s">
        <v>6866</v>
      </c>
      <c r="J288" s="4100"/>
      <c r="K288" s="4097">
        <v>921</v>
      </c>
      <c r="L288" s="4093" t="s">
        <v>6867</v>
      </c>
      <c r="M288" s="4098" t="s">
        <v>6868</v>
      </c>
      <c r="N288" s="4099" t="s">
        <v>6869</v>
      </c>
      <c r="O288" s="4100"/>
      <c r="P288" s="4097">
        <v>1245</v>
      </c>
      <c r="Q288" s="4093" t="s">
        <v>6870</v>
      </c>
      <c r="R288" s="4098" t="s">
        <v>6871</v>
      </c>
      <c r="S288" s="4099" t="s">
        <v>6872</v>
      </c>
      <c r="T288" s="2139"/>
      <c r="U288" s="2139"/>
      <c r="V288" s="2139"/>
      <c r="W288" s="2139"/>
      <c r="X288" s="2139"/>
      <c r="Y288" s="2139"/>
      <c r="Z288" s="2139"/>
      <c r="AA288" s="2139"/>
      <c r="AB288" s="2139"/>
      <c r="AC288" s="2139"/>
      <c r="AD288" s="2139"/>
    </row>
    <row r="289" spans="1:30">
      <c r="A289" s="4097">
        <v>274</v>
      </c>
      <c r="B289" s="4093" t="s">
        <v>6873</v>
      </c>
      <c r="C289" s="4098" t="s">
        <v>6874</v>
      </c>
      <c r="D289" s="4099" t="s">
        <v>6875</v>
      </c>
      <c r="E289" s="4100"/>
      <c r="F289" s="4097">
        <v>598</v>
      </c>
      <c r="G289" s="4093" t="s">
        <v>6876</v>
      </c>
      <c r="H289" s="4098" t="s">
        <v>6877</v>
      </c>
      <c r="I289" s="4099" t="s">
        <v>6878</v>
      </c>
      <c r="J289" s="4100"/>
      <c r="K289" s="4097">
        <v>922</v>
      </c>
      <c r="L289" s="4093" t="s">
        <v>6879</v>
      </c>
      <c r="M289" s="4098" t="s">
        <v>6880</v>
      </c>
      <c r="N289" s="4099" t="s">
        <v>6881</v>
      </c>
      <c r="O289" s="4100"/>
      <c r="P289" s="4097">
        <v>1246</v>
      </c>
      <c r="Q289" s="4093" t="s">
        <v>6882</v>
      </c>
      <c r="R289" s="4098" t="s">
        <v>6883</v>
      </c>
      <c r="S289" s="4099" t="s">
        <v>6884</v>
      </c>
      <c r="T289" s="2139"/>
      <c r="U289" s="2139"/>
      <c r="V289" s="2139"/>
      <c r="W289" s="2139"/>
      <c r="X289" s="2139"/>
      <c r="Y289" s="2139"/>
      <c r="Z289" s="2139"/>
      <c r="AA289" s="2139"/>
      <c r="AB289" s="2139"/>
      <c r="AC289" s="2139"/>
      <c r="AD289" s="2139"/>
    </row>
    <row r="290" spans="1:30">
      <c r="A290" s="4097">
        <v>275</v>
      </c>
      <c r="B290" s="4093" t="s">
        <v>6885</v>
      </c>
      <c r="C290" s="4098" t="s">
        <v>6886</v>
      </c>
      <c r="D290" s="4099" t="s">
        <v>6887</v>
      </c>
      <c r="E290" s="4100"/>
      <c r="F290" s="4097">
        <v>599</v>
      </c>
      <c r="G290" s="4093" t="s">
        <v>6888</v>
      </c>
      <c r="H290" s="4098" t="s">
        <v>6889</v>
      </c>
      <c r="I290" s="4099" t="s">
        <v>6890</v>
      </c>
      <c r="J290" s="4100"/>
      <c r="K290" s="4097">
        <v>923</v>
      </c>
      <c r="L290" s="4093" t="s">
        <v>6891</v>
      </c>
      <c r="M290" s="4098" t="s">
        <v>6892</v>
      </c>
      <c r="N290" s="4099" t="s">
        <v>6893</v>
      </c>
      <c r="O290" s="4100"/>
      <c r="P290" s="4097">
        <v>1247</v>
      </c>
      <c r="Q290" s="4093" t="s">
        <v>6894</v>
      </c>
      <c r="R290" s="4098" t="s">
        <v>6895</v>
      </c>
      <c r="S290" s="4099" t="s">
        <v>6896</v>
      </c>
      <c r="T290" s="2139"/>
      <c r="U290" s="2139"/>
      <c r="V290" s="2139"/>
      <c r="W290" s="2139"/>
      <c r="X290" s="2139"/>
      <c r="Y290" s="2139"/>
      <c r="Z290" s="2139"/>
      <c r="AA290" s="2139"/>
      <c r="AB290" s="2139"/>
      <c r="AC290" s="2139"/>
      <c r="AD290" s="2139"/>
    </row>
    <row r="291" spans="1:30">
      <c r="A291" s="4097">
        <v>276</v>
      </c>
      <c r="B291" s="4093" t="s">
        <v>6897</v>
      </c>
      <c r="C291" s="4098" t="s">
        <v>6898</v>
      </c>
      <c r="D291" s="4099" t="s">
        <v>6899</v>
      </c>
      <c r="E291" s="4100"/>
      <c r="F291" s="4097">
        <v>600</v>
      </c>
      <c r="G291" s="4093" t="s">
        <v>6900</v>
      </c>
      <c r="H291" s="4098" t="s">
        <v>6901</v>
      </c>
      <c r="I291" s="4099" t="s">
        <v>6902</v>
      </c>
      <c r="J291" s="4100"/>
      <c r="K291" s="4097">
        <v>924</v>
      </c>
      <c r="L291" s="4093" t="s">
        <v>6903</v>
      </c>
      <c r="M291" s="4098" t="s">
        <v>6904</v>
      </c>
      <c r="N291" s="4099" t="s">
        <v>6905</v>
      </c>
      <c r="O291" s="4100"/>
      <c r="P291" s="4097">
        <v>1248</v>
      </c>
      <c r="Q291" s="4093" t="s">
        <v>6906</v>
      </c>
      <c r="R291" s="4098" t="s">
        <v>6907</v>
      </c>
      <c r="S291" s="4099" t="s">
        <v>6908</v>
      </c>
      <c r="T291" s="2139"/>
      <c r="U291" s="2139"/>
      <c r="V291" s="2139"/>
      <c r="W291" s="2139"/>
      <c r="X291" s="2139"/>
      <c r="Y291" s="2139"/>
      <c r="Z291" s="2139"/>
      <c r="AA291" s="2139"/>
      <c r="AB291" s="2139"/>
      <c r="AC291" s="2139"/>
      <c r="AD291" s="2139"/>
    </row>
    <row r="292" spans="1:30">
      <c r="A292" s="4097">
        <v>277</v>
      </c>
      <c r="B292" s="4093" t="s">
        <v>6909</v>
      </c>
      <c r="C292" s="4098" t="s">
        <v>6910</v>
      </c>
      <c r="D292" s="4099" t="s">
        <v>6911</v>
      </c>
      <c r="E292" s="4100"/>
      <c r="F292" s="4097">
        <v>601</v>
      </c>
      <c r="G292" s="4093" t="s">
        <v>6912</v>
      </c>
      <c r="H292" s="4098" t="s">
        <v>6913</v>
      </c>
      <c r="I292" s="4099" t="s">
        <v>6914</v>
      </c>
      <c r="J292" s="4100"/>
      <c r="K292" s="4097">
        <v>925</v>
      </c>
      <c r="L292" s="4093" t="s">
        <v>6915</v>
      </c>
      <c r="M292" s="4098" t="s">
        <v>6916</v>
      </c>
      <c r="N292" s="4099" t="s">
        <v>6917</v>
      </c>
      <c r="O292" s="4100"/>
      <c r="P292" s="4097">
        <v>1249</v>
      </c>
      <c r="Q292" s="4093" t="s">
        <v>6918</v>
      </c>
      <c r="R292" s="4098" t="s">
        <v>6919</v>
      </c>
      <c r="S292" s="4099" t="s">
        <v>6920</v>
      </c>
      <c r="T292" s="2139"/>
      <c r="U292" s="2139"/>
      <c r="V292" s="2139"/>
      <c r="W292" s="2139"/>
      <c r="X292" s="2139"/>
      <c r="Y292" s="2139"/>
      <c r="Z292" s="2139"/>
      <c r="AA292" s="2139"/>
      <c r="AB292" s="2139"/>
      <c r="AC292" s="2139"/>
      <c r="AD292" s="2139"/>
    </row>
    <row r="293" spans="1:30" ht="25.5">
      <c r="A293" s="4097">
        <v>278</v>
      </c>
      <c r="B293" s="4093" t="s">
        <v>6921</v>
      </c>
      <c r="C293" s="4098" t="s">
        <v>6922</v>
      </c>
      <c r="D293" s="4099" t="s">
        <v>6923</v>
      </c>
      <c r="E293" s="4100"/>
      <c r="F293" s="4097">
        <v>602</v>
      </c>
      <c r="G293" s="4093" t="s">
        <v>6924</v>
      </c>
      <c r="H293" s="4098" t="s">
        <v>6925</v>
      </c>
      <c r="I293" s="4099" t="s">
        <v>6926</v>
      </c>
      <c r="J293" s="4100"/>
      <c r="K293" s="4097">
        <v>926</v>
      </c>
      <c r="L293" s="4093" t="s">
        <v>6927</v>
      </c>
      <c r="M293" s="4098" t="s">
        <v>6928</v>
      </c>
      <c r="N293" s="4099" t="s">
        <v>6929</v>
      </c>
      <c r="O293" s="4100"/>
      <c r="P293" s="4097">
        <v>1250</v>
      </c>
      <c r="Q293" s="4093" t="s">
        <v>6930</v>
      </c>
      <c r="R293" s="4098" t="s">
        <v>6931</v>
      </c>
      <c r="S293" s="4099" t="s">
        <v>6932</v>
      </c>
      <c r="T293" s="2139"/>
      <c r="U293" s="2139"/>
      <c r="V293" s="2139"/>
      <c r="W293" s="2139"/>
      <c r="X293" s="2139"/>
      <c r="Y293" s="2139"/>
      <c r="Z293" s="2139"/>
      <c r="AA293" s="2139"/>
      <c r="AB293" s="2139"/>
      <c r="AC293" s="2139"/>
      <c r="AD293" s="2139"/>
    </row>
    <row r="294" spans="1:30">
      <c r="A294" s="4097">
        <v>279</v>
      </c>
      <c r="B294" s="4093" t="s">
        <v>6933</v>
      </c>
      <c r="C294" s="4098" t="s">
        <v>6934</v>
      </c>
      <c r="D294" s="4099" t="s">
        <v>6935</v>
      </c>
      <c r="E294" s="4100"/>
      <c r="F294" s="4097">
        <v>603</v>
      </c>
      <c r="G294" s="4093" t="s">
        <v>6936</v>
      </c>
      <c r="H294" s="4098" t="s">
        <v>6937</v>
      </c>
      <c r="I294" s="4099" t="s">
        <v>6938</v>
      </c>
      <c r="J294" s="4100"/>
      <c r="K294" s="4097">
        <v>927</v>
      </c>
      <c r="L294" s="4093" t="s">
        <v>6939</v>
      </c>
      <c r="M294" s="4098" t="s">
        <v>6940</v>
      </c>
      <c r="N294" s="4099" t="s">
        <v>6941</v>
      </c>
      <c r="O294" s="4100"/>
      <c r="P294" s="4097">
        <v>1251</v>
      </c>
      <c r="Q294" s="4093" t="s">
        <v>6942</v>
      </c>
      <c r="R294" s="4098" t="s">
        <v>6943</v>
      </c>
      <c r="S294" s="4099" t="s">
        <v>6944</v>
      </c>
      <c r="T294" s="2139"/>
      <c r="U294" s="2139"/>
      <c r="V294" s="2139"/>
      <c r="W294" s="2139"/>
      <c r="X294" s="2139"/>
      <c r="Y294" s="2139"/>
      <c r="Z294" s="2139"/>
      <c r="AA294" s="2139"/>
      <c r="AB294" s="2139"/>
      <c r="AC294" s="2139"/>
      <c r="AD294" s="2139"/>
    </row>
    <row r="295" spans="1:30" ht="25.5">
      <c r="A295" s="4097">
        <v>280</v>
      </c>
      <c r="B295" s="4093" t="s">
        <v>6945</v>
      </c>
      <c r="C295" s="4098" t="s">
        <v>6946</v>
      </c>
      <c r="D295" s="4099" t="s">
        <v>6947</v>
      </c>
      <c r="E295" s="4100"/>
      <c r="F295" s="4097">
        <v>604</v>
      </c>
      <c r="G295" s="4093" t="s">
        <v>6948</v>
      </c>
      <c r="H295" s="4098" t="s">
        <v>6949</v>
      </c>
      <c r="I295" s="4099" t="s">
        <v>6950</v>
      </c>
      <c r="J295" s="4100"/>
      <c r="K295" s="4097">
        <v>928</v>
      </c>
      <c r="L295" s="4093" t="s">
        <v>6951</v>
      </c>
      <c r="M295" s="4098" t="s">
        <v>6952</v>
      </c>
      <c r="N295" s="4099" t="s">
        <v>6953</v>
      </c>
      <c r="O295" s="4100"/>
      <c r="P295" s="4097">
        <v>1252</v>
      </c>
      <c r="Q295" s="4093" t="s">
        <v>6954</v>
      </c>
      <c r="R295" s="4098" t="s">
        <v>6955</v>
      </c>
      <c r="S295" s="4099" t="s">
        <v>6956</v>
      </c>
      <c r="T295" s="2139"/>
      <c r="U295" s="2139"/>
      <c r="V295" s="2139"/>
      <c r="W295" s="2139"/>
      <c r="X295" s="2139"/>
      <c r="Y295" s="2139"/>
      <c r="Z295" s="2139"/>
      <c r="AA295" s="2139"/>
      <c r="AB295" s="2139"/>
      <c r="AC295" s="2139"/>
      <c r="AD295" s="2139"/>
    </row>
    <row r="296" spans="1:30">
      <c r="A296" s="4097">
        <v>281</v>
      </c>
      <c r="B296" s="4093" t="s">
        <v>6957</v>
      </c>
      <c r="C296" s="4098" t="s">
        <v>6958</v>
      </c>
      <c r="D296" s="4099" t="s">
        <v>6959</v>
      </c>
      <c r="E296" s="4100"/>
      <c r="F296" s="4097">
        <v>605</v>
      </c>
      <c r="G296" s="4093" t="s">
        <v>6960</v>
      </c>
      <c r="H296" s="4098" t="s">
        <v>6961</v>
      </c>
      <c r="I296" s="4099" t="s">
        <v>6962</v>
      </c>
      <c r="J296" s="4100"/>
      <c r="K296" s="4097">
        <v>929</v>
      </c>
      <c r="L296" s="4093" t="s">
        <v>6963</v>
      </c>
      <c r="M296" s="4098" t="s">
        <v>6964</v>
      </c>
      <c r="N296" s="4099" t="s">
        <v>6965</v>
      </c>
      <c r="O296" s="4100"/>
      <c r="P296" s="4097">
        <v>1253</v>
      </c>
      <c r="Q296" s="4093" t="s">
        <v>6966</v>
      </c>
      <c r="R296" s="4098" t="s">
        <v>6967</v>
      </c>
      <c r="S296" s="4099" t="s">
        <v>6968</v>
      </c>
      <c r="T296" s="2139"/>
      <c r="U296" s="2139"/>
      <c r="V296" s="2139"/>
      <c r="W296" s="2139"/>
      <c r="X296" s="2139"/>
      <c r="Y296" s="2139"/>
      <c r="Z296" s="2139"/>
      <c r="AA296" s="2139"/>
      <c r="AB296" s="2139"/>
      <c r="AC296" s="2139"/>
      <c r="AD296" s="2139"/>
    </row>
    <row r="297" spans="1:30">
      <c r="A297" s="4097">
        <v>282</v>
      </c>
      <c r="B297" s="4093" t="s">
        <v>6969</v>
      </c>
      <c r="C297" s="4098" t="s">
        <v>6970</v>
      </c>
      <c r="D297" s="4099" t="s">
        <v>6971</v>
      </c>
      <c r="E297" s="4100"/>
      <c r="F297" s="4097">
        <v>606</v>
      </c>
      <c r="G297" s="4093" t="s">
        <v>6972</v>
      </c>
      <c r="H297" s="4098" t="s">
        <v>6973</v>
      </c>
      <c r="I297" s="4099" t="s">
        <v>6974</v>
      </c>
      <c r="J297" s="4100"/>
      <c r="K297" s="4097">
        <v>930</v>
      </c>
      <c r="L297" s="4093" t="s">
        <v>6975</v>
      </c>
      <c r="M297" s="4098" t="s">
        <v>6976</v>
      </c>
      <c r="N297" s="4099" t="s">
        <v>6977</v>
      </c>
      <c r="O297" s="4100"/>
      <c r="P297" s="4097">
        <v>1254</v>
      </c>
      <c r="Q297" s="4093" t="s">
        <v>6978</v>
      </c>
      <c r="R297" s="4098" t="s">
        <v>6979</v>
      </c>
      <c r="S297" s="4099" t="s">
        <v>6980</v>
      </c>
      <c r="T297" s="2139"/>
      <c r="U297" s="2139"/>
      <c r="V297" s="2139"/>
      <c r="W297" s="2139"/>
      <c r="X297" s="2139"/>
      <c r="Y297" s="2139"/>
      <c r="Z297" s="2139"/>
      <c r="AA297" s="2139"/>
      <c r="AB297" s="2139"/>
      <c r="AC297" s="2139"/>
      <c r="AD297" s="2139"/>
    </row>
    <row r="298" spans="1:30">
      <c r="A298" s="4097">
        <v>283</v>
      </c>
      <c r="B298" s="4093" t="s">
        <v>6981</v>
      </c>
      <c r="C298" s="4098" t="s">
        <v>6982</v>
      </c>
      <c r="D298" s="4099" t="s">
        <v>6983</v>
      </c>
      <c r="E298" s="4100"/>
      <c r="F298" s="4097">
        <v>607</v>
      </c>
      <c r="G298" s="4093" t="s">
        <v>6984</v>
      </c>
      <c r="H298" s="4098" t="s">
        <v>6985</v>
      </c>
      <c r="I298" s="4099" t="s">
        <v>6986</v>
      </c>
      <c r="J298" s="4100"/>
      <c r="K298" s="4097">
        <v>931</v>
      </c>
      <c r="L298" s="4093" t="s">
        <v>6987</v>
      </c>
      <c r="M298" s="4098" t="s">
        <v>6988</v>
      </c>
      <c r="N298" s="4099" t="s">
        <v>6989</v>
      </c>
      <c r="O298" s="4100"/>
      <c r="P298" s="4097">
        <v>1255</v>
      </c>
      <c r="Q298" s="4093" t="s">
        <v>6990</v>
      </c>
      <c r="R298" s="4098" t="s">
        <v>6991</v>
      </c>
      <c r="S298" s="4099" t="s">
        <v>6992</v>
      </c>
      <c r="T298" s="2139"/>
      <c r="U298" s="2139"/>
      <c r="V298" s="2139"/>
      <c r="W298" s="2139"/>
      <c r="X298" s="2139"/>
      <c r="Y298" s="2139"/>
      <c r="Z298" s="2139"/>
      <c r="AA298" s="2139"/>
      <c r="AB298" s="2139"/>
      <c r="AC298" s="2139"/>
      <c r="AD298" s="2139"/>
    </row>
    <row r="299" spans="1:30">
      <c r="A299" s="4097">
        <v>284</v>
      </c>
      <c r="B299" s="4093" t="s">
        <v>6993</v>
      </c>
      <c r="C299" s="4098" t="s">
        <v>6994</v>
      </c>
      <c r="D299" s="4099" t="s">
        <v>6995</v>
      </c>
      <c r="E299" s="4100"/>
      <c r="F299" s="4097">
        <v>608</v>
      </c>
      <c r="G299" s="4093" t="s">
        <v>6996</v>
      </c>
      <c r="H299" s="4098" t="s">
        <v>6997</v>
      </c>
      <c r="I299" s="4099" t="s">
        <v>6998</v>
      </c>
      <c r="J299" s="4100"/>
      <c r="K299" s="4097">
        <v>932</v>
      </c>
      <c r="L299" s="4093" t="s">
        <v>6999</v>
      </c>
      <c r="M299" s="4098" t="s">
        <v>7000</v>
      </c>
      <c r="N299" s="4099" t="s">
        <v>7001</v>
      </c>
      <c r="O299" s="4100"/>
      <c r="P299" s="4097">
        <v>1256</v>
      </c>
      <c r="Q299" s="4093" t="s">
        <v>7002</v>
      </c>
      <c r="R299" s="4098" t="s">
        <v>7003</v>
      </c>
      <c r="S299" s="4099" t="s">
        <v>7004</v>
      </c>
      <c r="T299" s="2139"/>
      <c r="U299" s="2139"/>
      <c r="V299" s="2139"/>
      <c r="W299" s="2139"/>
      <c r="X299" s="2139"/>
      <c r="Y299" s="2139"/>
      <c r="Z299" s="2139"/>
      <c r="AA299" s="2139"/>
      <c r="AB299" s="2139"/>
      <c r="AC299" s="2139"/>
      <c r="AD299" s="2139"/>
    </row>
    <row r="300" spans="1:30">
      <c r="A300" s="4097">
        <v>285</v>
      </c>
      <c r="B300" s="4093" t="s">
        <v>7005</v>
      </c>
      <c r="C300" s="4098" t="s">
        <v>7006</v>
      </c>
      <c r="D300" s="4099" t="s">
        <v>7007</v>
      </c>
      <c r="E300" s="4100"/>
      <c r="F300" s="4097">
        <v>609</v>
      </c>
      <c r="G300" s="4093" t="s">
        <v>7008</v>
      </c>
      <c r="H300" s="4098" t="s">
        <v>7009</v>
      </c>
      <c r="I300" s="4099" t="s">
        <v>7010</v>
      </c>
      <c r="J300" s="4100"/>
      <c r="K300" s="4097">
        <v>933</v>
      </c>
      <c r="L300" s="4093" t="s">
        <v>7011</v>
      </c>
      <c r="M300" s="4098" t="s">
        <v>7012</v>
      </c>
      <c r="N300" s="4099" t="s">
        <v>7013</v>
      </c>
      <c r="O300" s="4100"/>
      <c r="P300" s="4097">
        <v>1257</v>
      </c>
      <c r="Q300" s="4093" t="s">
        <v>7014</v>
      </c>
      <c r="R300" s="4098" t="s">
        <v>7015</v>
      </c>
      <c r="S300" s="4099" t="s">
        <v>7016</v>
      </c>
      <c r="T300" s="2139"/>
      <c r="U300" s="2139"/>
      <c r="V300" s="2139"/>
      <c r="W300" s="2139"/>
      <c r="X300" s="2139"/>
      <c r="Y300" s="2139"/>
      <c r="Z300" s="2139"/>
      <c r="AA300" s="2139"/>
      <c r="AB300" s="2139"/>
      <c r="AC300" s="2139"/>
      <c r="AD300" s="2139"/>
    </row>
    <row r="301" spans="1:30">
      <c r="A301" s="4097">
        <v>286</v>
      </c>
      <c r="B301" s="4093" t="s">
        <v>7017</v>
      </c>
      <c r="C301" s="4098" t="s">
        <v>7018</v>
      </c>
      <c r="D301" s="4099" t="s">
        <v>7019</v>
      </c>
      <c r="E301" s="4100"/>
      <c r="F301" s="4097">
        <v>610</v>
      </c>
      <c r="G301" s="4093" t="s">
        <v>7020</v>
      </c>
      <c r="H301" s="4098" t="s">
        <v>7021</v>
      </c>
      <c r="I301" s="4099" t="s">
        <v>7022</v>
      </c>
      <c r="J301" s="4100"/>
      <c r="K301" s="4097">
        <v>934</v>
      </c>
      <c r="L301" s="4093" t="s">
        <v>7023</v>
      </c>
      <c r="M301" s="4098" t="s">
        <v>7024</v>
      </c>
      <c r="N301" s="4099" t="s">
        <v>7025</v>
      </c>
      <c r="O301" s="4100"/>
      <c r="P301" s="4097">
        <v>1258</v>
      </c>
      <c r="Q301" s="4093" t="s">
        <v>7026</v>
      </c>
      <c r="R301" s="4098" t="s">
        <v>7027</v>
      </c>
      <c r="S301" s="4099" t="s">
        <v>7028</v>
      </c>
      <c r="T301" s="2139"/>
      <c r="U301" s="2139"/>
      <c r="V301" s="2139"/>
      <c r="W301" s="2139"/>
      <c r="X301" s="2139"/>
      <c r="Y301" s="2139"/>
      <c r="Z301" s="2139"/>
      <c r="AA301" s="2139"/>
      <c r="AB301" s="2139"/>
      <c r="AC301" s="2139"/>
      <c r="AD301" s="2139"/>
    </row>
    <row r="302" spans="1:30" ht="38.25">
      <c r="A302" s="4097">
        <v>287</v>
      </c>
      <c r="B302" s="4093" t="s">
        <v>7029</v>
      </c>
      <c r="C302" s="4098" t="s">
        <v>7030</v>
      </c>
      <c r="D302" s="4099" t="s">
        <v>7031</v>
      </c>
      <c r="E302" s="4100"/>
      <c r="F302" s="4097">
        <v>611</v>
      </c>
      <c r="G302" s="4093" t="s">
        <v>7032</v>
      </c>
      <c r="H302" s="4098" t="s">
        <v>7033</v>
      </c>
      <c r="I302" s="4099" t="s">
        <v>7034</v>
      </c>
      <c r="J302" s="4100"/>
      <c r="K302" s="4097">
        <v>935</v>
      </c>
      <c r="L302" s="4093" t="s">
        <v>7035</v>
      </c>
      <c r="M302" s="4098" t="s">
        <v>7036</v>
      </c>
      <c r="N302" s="4099" t="s">
        <v>7037</v>
      </c>
      <c r="O302" s="4100"/>
      <c r="P302" s="4097">
        <v>1259</v>
      </c>
      <c r="Q302" s="4093" t="s">
        <v>7038</v>
      </c>
      <c r="R302" s="4098" t="s">
        <v>7039</v>
      </c>
      <c r="S302" s="4099" t="s">
        <v>7040</v>
      </c>
      <c r="T302" s="2139"/>
      <c r="U302" s="2139"/>
      <c r="V302" s="2139"/>
      <c r="W302" s="2139"/>
      <c r="X302" s="2139"/>
      <c r="Y302" s="2139"/>
      <c r="Z302" s="2139"/>
      <c r="AA302" s="2139"/>
      <c r="AB302" s="2139"/>
      <c r="AC302" s="2139"/>
      <c r="AD302" s="2139"/>
    </row>
    <row r="303" spans="1:30">
      <c r="A303" s="4097">
        <v>288</v>
      </c>
      <c r="B303" s="4093" t="s">
        <v>7041</v>
      </c>
      <c r="C303" s="4098" t="s">
        <v>7042</v>
      </c>
      <c r="D303" s="4099" t="s">
        <v>7043</v>
      </c>
      <c r="E303" s="4100"/>
      <c r="F303" s="4097">
        <v>612</v>
      </c>
      <c r="G303" s="4093" t="s">
        <v>7044</v>
      </c>
      <c r="H303" s="4098" t="s">
        <v>7045</v>
      </c>
      <c r="I303" s="4099" t="s">
        <v>7046</v>
      </c>
      <c r="J303" s="4100"/>
      <c r="K303" s="4097">
        <v>936</v>
      </c>
      <c r="L303" s="4093" t="s">
        <v>7047</v>
      </c>
      <c r="M303" s="4098" t="s">
        <v>7048</v>
      </c>
      <c r="N303" s="4099" t="s">
        <v>7049</v>
      </c>
      <c r="O303" s="4100"/>
      <c r="P303" s="4097">
        <v>1260</v>
      </c>
      <c r="Q303" s="4093" t="s">
        <v>7050</v>
      </c>
      <c r="R303" s="4098" t="s">
        <v>7051</v>
      </c>
      <c r="S303" s="4099" t="s">
        <v>7052</v>
      </c>
      <c r="T303" s="2139"/>
      <c r="U303" s="2139"/>
      <c r="V303" s="2139"/>
      <c r="W303" s="2139"/>
      <c r="X303" s="2139"/>
      <c r="Y303" s="2139"/>
      <c r="Z303" s="2139"/>
      <c r="AA303" s="2139"/>
      <c r="AB303" s="2139"/>
      <c r="AC303" s="2139"/>
      <c r="AD303" s="2139"/>
    </row>
    <row r="304" spans="1:30" ht="25.5">
      <c r="A304" s="4097">
        <v>289</v>
      </c>
      <c r="B304" s="4093" t="s">
        <v>7053</v>
      </c>
      <c r="C304" s="4098" t="s">
        <v>7054</v>
      </c>
      <c r="D304" s="4099" t="s">
        <v>7055</v>
      </c>
      <c r="E304" s="4100"/>
      <c r="F304" s="4097">
        <v>613</v>
      </c>
      <c r="G304" s="4093" t="s">
        <v>7056</v>
      </c>
      <c r="H304" s="4098" t="s">
        <v>7057</v>
      </c>
      <c r="I304" s="4099" t="s">
        <v>7058</v>
      </c>
      <c r="J304" s="4100"/>
      <c r="K304" s="4097">
        <v>937</v>
      </c>
      <c r="L304" s="4093" t="s">
        <v>7059</v>
      </c>
      <c r="M304" s="4098" t="s">
        <v>7060</v>
      </c>
      <c r="N304" s="4099" t="s">
        <v>7061</v>
      </c>
      <c r="O304" s="4100"/>
      <c r="P304" s="4097">
        <v>1261</v>
      </c>
      <c r="Q304" s="4093" t="s">
        <v>7062</v>
      </c>
      <c r="R304" s="4098" t="s">
        <v>7063</v>
      </c>
      <c r="S304" s="4099" t="s">
        <v>7064</v>
      </c>
      <c r="T304" s="2139"/>
      <c r="U304" s="2139"/>
      <c r="V304" s="2139"/>
      <c r="W304" s="2139"/>
      <c r="X304" s="2139"/>
      <c r="Y304" s="2139"/>
      <c r="Z304" s="2139"/>
      <c r="AA304" s="2139"/>
      <c r="AB304" s="2139"/>
      <c r="AC304" s="2139"/>
      <c r="AD304" s="2139"/>
    </row>
    <row r="305" spans="1:30">
      <c r="A305" s="4097">
        <v>290</v>
      </c>
      <c r="B305" s="4093" t="s">
        <v>7065</v>
      </c>
      <c r="C305" s="4098" t="s">
        <v>7066</v>
      </c>
      <c r="D305" s="4099" t="s">
        <v>7067</v>
      </c>
      <c r="E305" s="4100"/>
      <c r="F305" s="4097">
        <v>614</v>
      </c>
      <c r="G305" s="4093" t="s">
        <v>7068</v>
      </c>
      <c r="H305" s="4098" t="s">
        <v>7069</v>
      </c>
      <c r="I305" s="4099" t="s">
        <v>7070</v>
      </c>
      <c r="J305" s="4100"/>
      <c r="K305" s="4097">
        <v>938</v>
      </c>
      <c r="L305" s="4093" t="s">
        <v>7071</v>
      </c>
      <c r="M305" s="4098" t="s">
        <v>7072</v>
      </c>
      <c r="N305" s="4099" t="s">
        <v>7073</v>
      </c>
      <c r="O305" s="4100"/>
      <c r="P305" s="4097">
        <v>1262</v>
      </c>
      <c r="Q305" s="4093" t="s">
        <v>7074</v>
      </c>
      <c r="R305" s="4098" t="s">
        <v>7075</v>
      </c>
      <c r="S305" s="4099" t="s">
        <v>7076</v>
      </c>
      <c r="T305" s="2139"/>
      <c r="U305" s="2139"/>
      <c r="V305" s="2139"/>
      <c r="W305" s="2139"/>
      <c r="X305" s="2139"/>
      <c r="Y305" s="2139"/>
      <c r="Z305" s="2139"/>
      <c r="AA305" s="2139"/>
      <c r="AB305" s="2139"/>
      <c r="AC305" s="2139"/>
      <c r="AD305" s="2139"/>
    </row>
    <row r="306" spans="1:30" ht="25.5">
      <c r="A306" s="4097">
        <v>291</v>
      </c>
      <c r="B306" s="4093" t="s">
        <v>7077</v>
      </c>
      <c r="C306" s="4098" t="s">
        <v>7078</v>
      </c>
      <c r="D306" s="4099" t="s">
        <v>7079</v>
      </c>
      <c r="E306" s="4100"/>
      <c r="F306" s="4097">
        <v>615</v>
      </c>
      <c r="G306" s="4093" t="s">
        <v>7080</v>
      </c>
      <c r="H306" s="4098" t="s">
        <v>7081</v>
      </c>
      <c r="I306" s="4099" t="s">
        <v>7082</v>
      </c>
      <c r="J306" s="4100"/>
      <c r="K306" s="4097">
        <v>939</v>
      </c>
      <c r="L306" s="4093" t="s">
        <v>7083</v>
      </c>
      <c r="M306" s="4098" t="s">
        <v>7084</v>
      </c>
      <c r="N306" s="4099" t="s">
        <v>7085</v>
      </c>
      <c r="O306" s="4100"/>
      <c r="P306" s="4097">
        <v>1263</v>
      </c>
      <c r="Q306" s="4093" t="s">
        <v>7086</v>
      </c>
      <c r="R306" s="4098" t="s">
        <v>7087</v>
      </c>
      <c r="S306" s="4099" t="s">
        <v>7088</v>
      </c>
      <c r="T306" s="2139"/>
      <c r="U306" s="2139"/>
      <c r="V306" s="2139"/>
      <c r="W306" s="2139"/>
      <c r="X306" s="2139"/>
      <c r="Y306" s="2139"/>
      <c r="Z306" s="2139"/>
      <c r="AA306" s="2139"/>
      <c r="AB306" s="2139"/>
      <c r="AC306" s="2139"/>
      <c r="AD306" s="2139"/>
    </row>
    <row r="307" spans="1:30" ht="25.5">
      <c r="A307" s="4097">
        <v>292</v>
      </c>
      <c r="B307" s="4093" t="s">
        <v>7089</v>
      </c>
      <c r="C307" s="4098" t="s">
        <v>7090</v>
      </c>
      <c r="D307" s="4099" t="s">
        <v>7091</v>
      </c>
      <c r="E307" s="4100"/>
      <c r="F307" s="4097">
        <v>616</v>
      </c>
      <c r="G307" s="4093" t="s">
        <v>7092</v>
      </c>
      <c r="H307" s="4098" t="s">
        <v>7093</v>
      </c>
      <c r="I307" s="4099" t="s">
        <v>7094</v>
      </c>
      <c r="J307" s="4100"/>
      <c r="K307" s="4097">
        <v>940</v>
      </c>
      <c r="L307" s="4093" t="s">
        <v>7095</v>
      </c>
      <c r="M307" s="4098" t="s">
        <v>7096</v>
      </c>
      <c r="N307" s="4099" t="s">
        <v>7097</v>
      </c>
      <c r="O307" s="4100"/>
      <c r="P307" s="4097">
        <v>1264</v>
      </c>
      <c r="Q307" s="4093" t="s">
        <v>7098</v>
      </c>
      <c r="R307" s="4098" t="s">
        <v>7099</v>
      </c>
      <c r="S307" s="4099" t="s">
        <v>7088</v>
      </c>
      <c r="T307" s="2139"/>
      <c r="U307" s="2139"/>
      <c r="V307" s="2139"/>
      <c r="W307" s="2139"/>
      <c r="X307" s="2139"/>
      <c r="Y307" s="2139"/>
      <c r="Z307" s="2139"/>
      <c r="AA307" s="2139"/>
      <c r="AB307" s="2139"/>
      <c r="AC307" s="2139"/>
      <c r="AD307" s="2139"/>
    </row>
    <row r="308" spans="1:30">
      <c r="A308" s="4097">
        <v>293</v>
      </c>
      <c r="B308" s="4093" t="s">
        <v>7100</v>
      </c>
      <c r="C308" s="4098" t="s">
        <v>7101</v>
      </c>
      <c r="D308" s="4099" t="s">
        <v>7102</v>
      </c>
      <c r="E308" s="4100"/>
      <c r="F308" s="4097">
        <v>617</v>
      </c>
      <c r="G308" s="4093" t="s">
        <v>7103</v>
      </c>
      <c r="H308" s="4098" t="s">
        <v>7104</v>
      </c>
      <c r="I308" s="4099" t="s">
        <v>7105</v>
      </c>
      <c r="J308" s="4100"/>
      <c r="K308" s="4097">
        <v>941</v>
      </c>
      <c r="L308" s="4093" t="s">
        <v>7106</v>
      </c>
      <c r="M308" s="4098" t="s">
        <v>7107</v>
      </c>
      <c r="N308" s="4099" t="s">
        <v>7108</v>
      </c>
      <c r="O308" s="4100"/>
      <c r="P308" s="4097">
        <v>1265</v>
      </c>
      <c r="Q308" s="4093" t="s">
        <v>7109</v>
      </c>
      <c r="R308" s="4098" t="s">
        <v>7110</v>
      </c>
      <c r="S308" s="4099" t="s">
        <v>7111</v>
      </c>
      <c r="T308" s="2139"/>
      <c r="U308" s="2139"/>
      <c r="V308" s="2139"/>
      <c r="W308" s="2139"/>
      <c r="X308" s="2139"/>
      <c r="Y308" s="2139"/>
      <c r="Z308" s="2139"/>
      <c r="AA308" s="2139"/>
      <c r="AB308" s="2139"/>
      <c r="AC308" s="2139"/>
      <c r="AD308" s="2139"/>
    </row>
    <row r="309" spans="1:30">
      <c r="A309" s="4097">
        <v>294</v>
      </c>
      <c r="B309" s="4093" t="s">
        <v>7112</v>
      </c>
      <c r="C309" s="4098" t="s">
        <v>7113</v>
      </c>
      <c r="D309" s="4099" t="s">
        <v>7114</v>
      </c>
      <c r="E309" s="4100"/>
      <c r="F309" s="4097">
        <v>618</v>
      </c>
      <c r="G309" s="4093" t="s">
        <v>7115</v>
      </c>
      <c r="H309" s="4098" t="s">
        <v>7116</v>
      </c>
      <c r="I309" s="4099" t="s">
        <v>7117</v>
      </c>
      <c r="J309" s="4100"/>
      <c r="K309" s="4097">
        <v>942</v>
      </c>
      <c r="L309" s="4093" t="s">
        <v>7118</v>
      </c>
      <c r="M309" s="4098" t="s">
        <v>7119</v>
      </c>
      <c r="N309" s="4099" t="s">
        <v>7120</v>
      </c>
      <c r="O309" s="4100"/>
      <c r="P309" s="4097">
        <v>1266</v>
      </c>
      <c r="Q309" s="4093" t="s">
        <v>7121</v>
      </c>
      <c r="R309" s="4098" t="s">
        <v>7122</v>
      </c>
      <c r="S309" s="4099" t="s">
        <v>7123</v>
      </c>
      <c r="T309" s="2139"/>
      <c r="U309" s="2139"/>
      <c r="V309" s="2139"/>
      <c r="W309" s="2139"/>
      <c r="X309" s="2139"/>
      <c r="Y309" s="2139"/>
      <c r="Z309" s="2139"/>
      <c r="AA309" s="2139"/>
      <c r="AB309" s="2139"/>
      <c r="AC309" s="2139"/>
      <c r="AD309" s="2139"/>
    </row>
    <row r="310" spans="1:30">
      <c r="A310" s="4097">
        <v>295</v>
      </c>
      <c r="B310" s="4093" t="s">
        <v>7124</v>
      </c>
      <c r="C310" s="4098" t="s">
        <v>7125</v>
      </c>
      <c r="D310" s="4099" t="s">
        <v>7126</v>
      </c>
      <c r="E310" s="4100"/>
      <c r="F310" s="4097">
        <v>619</v>
      </c>
      <c r="G310" s="4093" t="s">
        <v>7127</v>
      </c>
      <c r="H310" s="4098" t="s">
        <v>7128</v>
      </c>
      <c r="I310" s="4099" t="s">
        <v>7129</v>
      </c>
      <c r="J310" s="4100"/>
      <c r="K310" s="4097">
        <v>943</v>
      </c>
      <c r="L310" s="4093" t="s">
        <v>7130</v>
      </c>
      <c r="M310" s="4098" t="s">
        <v>7131</v>
      </c>
      <c r="N310" s="4099" t="s">
        <v>7132</v>
      </c>
      <c r="O310" s="4100"/>
      <c r="P310" s="4097">
        <v>1267</v>
      </c>
      <c r="Q310" s="4093" t="s">
        <v>7133</v>
      </c>
      <c r="R310" s="4098" t="s">
        <v>7134</v>
      </c>
      <c r="S310" s="4099" t="s">
        <v>7135</v>
      </c>
      <c r="T310" s="2139"/>
      <c r="U310" s="2139"/>
      <c r="V310" s="2139"/>
      <c r="W310" s="2139"/>
      <c r="X310" s="2139"/>
      <c r="Y310" s="2139"/>
      <c r="Z310" s="2139"/>
      <c r="AA310" s="2139"/>
      <c r="AB310" s="2139"/>
      <c r="AC310" s="2139"/>
      <c r="AD310" s="2139"/>
    </row>
    <row r="311" spans="1:30">
      <c r="A311" s="4097">
        <v>296</v>
      </c>
      <c r="B311" s="4093" t="s">
        <v>7136</v>
      </c>
      <c r="C311" s="4098" t="s">
        <v>7137</v>
      </c>
      <c r="D311" s="4099" t="s">
        <v>7138</v>
      </c>
      <c r="E311" s="4100"/>
      <c r="F311" s="4097">
        <v>620</v>
      </c>
      <c r="G311" s="4093" t="s">
        <v>7139</v>
      </c>
      <c r="H311" s="4098" t="s">
        <v>7140</v>
      </c>
      <c r="I311" s="4099" t="s">
        <v>7141</v>
      </c>
      <c r="J311" s="4100"/>
      <c r="K311" s="4097">
        <v>944</v>
      </c>
      <c r="L311" s="4093" t="s">
        <v>7142</v>
      </c>
      <c r="M311" s="4098" t="s">
        <v>7143</v>
      </c>
      <c r="N311" s="4099" t="s">
        <v>7144</v>
      </c>
      <c r="O311" s="4100"/>
      <c r="P311" s="4097">
        <v>1268</v>
      </c>
      <c r="Q311" s="4093" t="s">
        <v>7145</v>
      </c>
      <c r="R311" s="4098" t="s">
        <v>7146</v>
      </c>
      <c r="S311" s="4099" t="s">
        <v>7147</v>
      </c>
      <c r="T311" s="2139"/>
      <c r="U311" s="2139"/>
      <c r="V311" s="2139"/>
      <c r="W311" s="2139"/>
      <c r="X311" s="2139"/>
      <c r="Y311" s="2139"/>
      <c r="Z311" s="2139"/>
      <c r="AA311" s="2139"/>
      <c r="AB311" s="2139"/>
      <c r="AC311" s="2139"/>
      <c r="AD311" s="2139"/>
    </row>
    <row r="312" spans="1:30" ht="25.5">
      <c r="A312" s="4097">
        <v>297</v>
      </c>
      <c r="B312" s="4093" t="s">
        <v>7148</v>
      </c>
      <c r="C312" s="4098" t="s">
        <v>7149</v>
      </c>
      <c r="D312" s="4099" t="s">
        <v>7150</v>
      </c>
      <c r="E312" s="4100"/>
      <c r="F312" s="4097">
        <v>621</v>
      </c>
      <c r="G312" s="4093" t="s">
        <v>7151</v>
      </c>
      <c r="H312" s="4098" t="s">
        <v>7152</v>
      </c>
      <c r="I312" s="4099" t="s">
        <v>7153</v>
      </c>
      <c r="J312" s="4100"/>
      <c r="K312" s="4097">
        <v>945</v>
      </c>
      <c r="L312" s="4093" t="s">
        <v>7154</v>
      </c>
      <c r="M312" s="4098" t="s">
        <v>7155</v>
      </c>
      <c r="N312" s="4099" t="s">
        <v>7156</v>
      </c>
      <c r="O312" s="4100"/>
      <c r="P312" s="4097">
        <v>1269</v>
      </c>
      <c r="Q312" s="4093" t="s">
        <v>7157</v>
      </c>
      <c r="R312" s="4098" t="s">
        <v>7158</v>
      </c>
      <c r="S312" s="4099" t="s">
        <v>7159</v>
      </c>
      <c r="T312" s="2139"/>
      <c r="U312" s="2139"/>
      <c r="V312" s="2139"/>
      <c r="W312" s="2139"/>
      <c r="X312" s="2139"/>
      <c r="Y312" s="2139"/>
      <c r="Z312" s="2139"/>
      <c r="AA312" s="2139"/>
      <c r="AB312" s="2139"/>
      <c r="AC312" s="2139"/>
      <c r="AD312" s="2139"/>
    </row>
    <row r="313" spans="1:30" ht="25.5">
      <c r="A313" s="4097">
        <v>298</v>
      </c>
      <c r="B313" s="4093" t="s">
        <v>7160</v>
      </c>
      <c r="C313" s="4098" t="s">
        <v>7161</v>
      </c>
      <c r="D313" s="4099" t="s">
        <v>7162</v>
      </c>
      <c r="E313" s="4100"/>
      <c r="F313" s="4097">
        <v>622</v>
      </c>
      <c r="G313" s="4093" t="s">
        <v>7163</v>
      </c>
      <c r="H313" s="4098" t="s">
        <v>7164</v>
      </c>
      <c r="I313" s="4099" t="s">
        <v>7165</v>
      </c>
      <c r="J313" s="4100"/>
      <c r="K313" s="4097">
        <v>946</v>
      </c>
      <c r="L313" s="4093" t="s">
        <v>7166</v>
      </c>
      <c r="M313" s="4098" t="s">
        <v>7167</v>
      </c>
      <c r="N313" s="4099" t="s">
        <v>7168</v>
      </c>
      <c r="O313" s="4100"/>
      <c r="P313" s="4097">
        <v>1270</v>
      </c>
      <c r="Q313" s="4093" t="s">
        <v>7169</v>
      </c>
      <c r="R313" s="4098" t="s">
        <v>7170</v>
      </c>
      <c r="S313" s="4099" t="s">
        <v>7171</v>
      </c>
      <c r="T313" s="2139"/>
      <c r="U313" s="2139"/>
      <c r="V313" s="2139"/>
      <c r="W313" s="2139"/>
      <c r="X313" s="2139"/>
      <c r="Y313" s="2139"/>
      <c r="Z313" s="2139"/>
      <c r="AA313" s="2139"/>
      <c r="AB313" s="2139"/>
      <c r="AC313" s="2139"/>
      <c r="AD313" s="2139"/>
    </row>
    <row r="314" spans="1:30" ht="25.5">
      <c r="A314" s="4097">
        <v>299</v>
      </c>
      <c r="B314" s="4093" t="s">
        <v>7172</v>
      </c>
      <c r="C314" s="4098" t="s">
        <v>7173</v>
      </c>
      <c r="D314" s="4099" t="s">
        <v>7174</v>
      </c>
      <c r="E314" s="4100"/>
      <c r="F314" s="4097">
        <v>623</v>
      </c>
      <c r="G314" s="4093" t="s">
        <v>7175</v>
      </c>
      <c r="H314" s="4098" t="s">
        <v>7176</v>
      </c>
      <c r="I314" s="4099" t="s">
        <v>7177</v>
      </c>
      <c r="J314" s="4100"/>
      <c r="K314" s="4097">
        <v>947</v>
      </c>
      <c r="L314" s="4093" t="s">
        <v>7178</v>
      </c>
      <c r="M314" s="4098" t="s">
        <v>7179</v>
      </c>
      <c r="N314" s="4099" t="s">
        <v>7180</v>
      </c>
      <c r="O314" s="4100"/>
      <c r="P314" s="4097">
        <v>1271</v>
      </c>
      <c r="Q314" s="4093" t="s">
        <v>7181</v>
      </c>
      <c r="R314" s="4098" t="s">
        <v>7182</v>
      </c>
      <c r="S314" s="4099" t="s">
        <v>7183</v>
      </c>
      <c r="T314" s="2139"/>
      <c r="U314" s="2139"/>
      <c r="V314" s="2139"/>
      <c r="W314" s="2139"/>
      <c r="X314" s="2139"/>
      <c r="Y314" s="2139"/>
      <c r="Z314" s="2139"/>
      <c r="AA314" s="2139"/>
      <c r="AB314" s="2139"/>
      <c r="AC314" s="2139"/>
      <c r="AD314" s="2139"/>
    </row>
    <row r="315" spans="1:30" ht="25.5">
      <c r="A315" s="4097">
        <v>300</v>
      </c>
      <c r="B315" s="4093" t="s">
        <v>7184</v>
      </c>
      <c r="C315" s="4098" t="s">
        <v>7185</v>
      </c>
      <c r="D315" s="4099" t="s">
        <v>7186</v>
      </c>
      <c r="E315" s="4100"/>
      <c r="F315" s="4097">
        <v>624</v>
      </c>
      <c r="G315" s="4093" t="s">
        <v>7187</v>
      </c>
      <c r="H315" s="4098" t="s">
        <v>7188</v>
      </c>
      <c r="I315" s="4099" t="s">
        <v>7189</v>
      </c>
      <c r="J315" s="4100"/>
      <c r="K315" s="4097">
        <v>948</v>
      </c>
      <c r="L315" s="4093" t="s">
        <v>7190</v>
      </c>
      <c r="M315" s="4098" t="s">
        <v>7191</v>
      </c>
      <c r="N315" s="4099" t="s">
        <v>7192</v>
      </c>
      <c r="O315" s="4100"/>
      <c r="P315" s="4097">
        <v>1272</v>
      </c>
      <c r="Q315" s="4093" t="s">
        <v>7193</v>
      </c>
      <c r="R315" s="4098" t="s">
        <v>7194</v>
      </c>
      <c r="S315" s="4099" t="s">
        <v>7195</v>
      </c>
      <c r="T315" s="2139"/>
      <c r="U315" s="2139"/>
      <c r="V315" s="2139"/>
      <c r="W315" s="2139"/>
      <c r="X315" s="2139"/>
      <c r="Y315" s="2139"/>
      <c r="Z315" s="2139"/>
      <c r="AA315" s="2139"/>
      <c r="AB315" s="2139"/>
      <c r="AC315" s="2139"/>
      <c r="AD315" s="2139"/>
    </row>
    <row r="316" spans="1:30" ht="25.5">
      <c r="A316" s="4097">
        <v>301</v>
      </c>
      <c r="B316" s="4093" t="s">
        <v>7196</v>
      </c>
      <c r="C316" s="4098" t="s">
        <v>7197</v>
      </c>
      <c r="D316" s="4099" t="s">
        <v>7198</v>
      </c>
      <c r="E316" s="4100"/>
      <c r="F316" s="4097">
        <v>625</v>
      </c>
      <c r="G316" s="4093" t="s">
        <v>7199</v>
      </c>
      <c r="H316" s="4098" t="s">
        <v>7200</v>
      </c>
      <c r="I316" s="4099" t="s">
        <v>7201</v>
      </c>
      <c r="J316" s="4100"/>
      <c r="K316" s="4097">
        <v>949</v>
      </c>
      <c r="L316" s="4093" t="s">
        <v>7202</v>
      </c>
      <c r="M316" s="4098" t="s">
        <v>7203</v>
      </c>
      <c r="N316" s="4099" t="s">
        <v>7204</v>
      </c>
      <c r="O316" s="4100"/>
      <c r="P316" s="4097">
        <v>1273</v>
      </c>
      <c r="Q316" s="4093" t="s">
        <v>7205</v>
      </c>
      <c r="R316" s="4098" t="s">
        <v>7206</v>
      </c>
      <c r="S316" s="4099" t="s">
        <v>7207</v>
      </c>
      <c r="T316" s="2139"/>
      <c r="U316" s="2139"/>
      <c r="V316" s="2139"/>
      <c r="W316" s="2139"/>
      <c r="X316" s="2139"/>
      <c r="Y316" s="2139"/>
      <c r="Z316" s="2139"/>
      <c r="AA316" s="2139"/>
      <c r="AB316" s="2139"/>
      <c r="AC316" s="2139"/>
      <c r="AD316" s="2139"/>
    </row>
    <row r="317" spans="1:30" ht="25.5">
      <c r="A317" s="4097">
        <v>302</v>
      </c>
      <c r="B317" s="4093" t="s">
        <v>7208</v>
      </c>
      <c r="C317" s="4098" t="s">
        <v>7209</v>
      </c>
      <c r="D317" s="4099" t="s">
        <v>7210</v>
      </c>
      <c r="E317" s="4100"/>
      <c r="F317" s="4097">
        <v>626</v>
      </c>
      <c r="G317" s="4093" t="s">
        <v>7211</v>
      </c>
      <c r="H317" s="4098" t="s">
        <v>7212</v>
      </c>
      <c r="I317" s="4099" t="s">
        <v>7213</v>
      </c>
      <c r="J317" s="4100"/>
      <c r="K317" s="4097">
        <v>950</v>
      </c>
      <c r="L317" s="4093" t="s">
        <v>7214</v>
      </c>
      <c r="M317" s="4098" t="s">
        <v>7215</v>
      </c>
      <c r="N317" s="4099" t="s">
        <v>7216</v>
      </c>
      <c r="O317" s="4100"/>
      <c r="P317" s="4097">
        <v>1274</v>
      </c>
      <c r="Q317" s="4093" t="s">
        <v>7217</v>
      </c>
      <c r="R317" s="4098" t="s">
        <v>7218</v>
      </c>
      <c r="S317" s="4099" t="s">
        <v>7219</v>
      </c>
      <c r="T317" s="2139"/>
      <c r="U317" s="2139"/>
      <c r="V317" s="2139"/>
      <c r="W317" s="2139"/>
      <c r="X317" s="2139"/>
      <c r="Y317" s="2139"/>
      <c r="Z317" s="2139"/>
      <c r="AA317" s="2139"/>
      <c r="AB317" s="2139"/>
      <c r="AC317" s="2139"/>
      <c r="AD317" s="2139"/>
    </row>
    <row r="318" spans="1:30" ht="25.5">
      <c r="A318" s="4097">
        <v>303</v>
      </c>
      <c r="B318" s="4093" t="s">
        <v>7220</v>
      </c>
      <c r="C318" s="4098" t="s">
        <v>7221</v>
      </c>
      <c r="D318" s="4099" t="s">
        <v>6573</v>
      </c>
      <c r="E318" s="4100"/>
      <c r="F318" s="4097">
        <v>627</v>
      </c>
      <c r="G318" s="4093" t="s">
        <v>7222</v>
      </c>
      <c r="H318" s="4098" t="s">
        <v>7223</v>
      </c>
      <c r="I318" s="4099" t="s">
        <v>7224</v>
      </c>
      <c r="J318" s="4100"/>
      <c r="K318" s="4097">
        <v>951</v>
      </c>
      <c r="L318" s="4093" t="s">
        <v>7225</v>
      </c>
      <c r="M318" s="4098" t="s">
        <v>7226</v>
      </c>
      <c r="N318" s="4099" t="s">
        <v>7227</v>
      </c>
      <c r="O318" s="4100"/>
      <c r="P318" s="4097">
        <v>1275</v>
      </c>
      <c r="Q318" s="4093" t="s">
        <v>7228</v>
      </c>
      <c r="R318" s="4098" t="s">
        <v>7229</v>
      </c>
      <c r="S318" s="4099" t="s">
        <v>7230</v>
      </c>
      <c r="T318" s="2139"/>
      <c r="U318" s="2139"/>
      <c r="V318" s="2139"/>
      <c r="W318" s="2139"/>
      <c r="X318" s="2139"/>
      <c r="Y318" s="2139"/>
      <c r="Z318" s="2139"/>
      <c r="AA318" s="2139"/>
      <c r="AB318" s="2139"/>
      <c r="AC318" s="2139"/>
      <c r="AD318" s="2139"/>
    </row>
    <row r="319" spans="1:30" ht="25.5">
      <c r="A319" s="4097">
        <v>304</v>
      </c>
      <c r="B319" s="4093" t="s">
        <v>7231</v>
      </c>
      <c r="C319" s="4098" t="s">
        <v>7232</v>
      </c>
      <c r="D319" s="4099" t="s">
        <v>7233</v>
      </c>
      <c r="E319" s="4100"/>
      <c r="F319" s="4097">
        <v>628</v>
      </c>
      <c r="G319" s="4093" t="s">
        <v>7234</v>
      </c>
      <c r="H319" s="4098" t="s">
        <v>7235</v>
      </c>
      <c r="I319" s="4099" t="s">
        <v>7236</v>
      </c>
      <c r="J319" s="4100"/>
      <c r="K319" s="4097">
        <v>952</v>
      </c>
      <c r="L319" s="4093" t="s">
        <v>7237</v>
      </c>
      <c r="M319" s="4098" t="s">
        <v>7238</v>
      </c>
      <c r="N319" s="4099" t="s">
        <v>7239</v>
      </c>
      <c r="O319" s="4100"/>
      <c r="P319" s="4097">
        <v>1276</v>
      </c>
      <c r="Q319" s="4093" t="s">
        <v>7240</v>
      </c>
      <c r="R319" s="4098" t="s">
        <v>7241</v>
      </c>
      <c r="S319" s="4099" t="s">
        <v>7242</v>
      </c>
      <c r="T319" s="2139"/>
      <c r="U319" s="2139"/>
      <c r="V319" s="2139"/>
      <c r="W319" s="2139"/>
      <c r="X319" s="2139"/>
      <c r="Y319" s="2139"/>
      <c r="Z319" s="2139"/>
      <c r="AA319" s="2139"/>
      <c r="AB319" s="2139"/>
      <c r="AC319" s="2139"/>
      <c r="AD319" s="2139"/>
    </row>
    <row r="320" spans="1:30" ht="25.5">
      <c r="A320" s="4097">
        <v>305</v>
      </c>
      <c r="B320" s="4093" t="s">
        <v>7243</v>
      </c>
      <c r="C320" s="4098" t="s">
        <v>7244</v>
      </c>
      <c r="D320" s="4099" t="s">
        <v>7245</v>
      </c>
      <c r="E320" s="4100"/>
      <c r="F320" s="4097">
        <v>629</v>
      </c>
      <c r="G320" s="4093" t="s">
        <v>7246</v>
      </c>
      <c r="H320" s="4098" t="s">
        <v>7247</v>
      </c>
      <c r="I320" s="4099" t="s">
        <v>7248</v>
      </c>
      <c r="J320" s="4100"/>
      <c r="K320" s="4097">
        <v>953</v>
      </c>
      <c r="L320" s="4093" t="s">
        <v>7249</v>
      </c>
      <c r="M320" s="4098" t="s">
        <v>7250</v>
      </c>
      <c r="N320" s="4099" t="s">
        <v>7251</v>
      </c>
      <c r="O320" s="4100"/>
      <c r="P320" s="4097">
        <v>1277</v>
      </c>
      <c r="Q320" s="4093" t="s">
        <v>7252</v>
      </c>
      <c r="R320" s="4098" t="s">
        <v>7253</v>
      </c>
      <c r="S320" s="4099" t="s">
        <v>7254</v>
      </c>
      <c r="T320" s="2139"/>
      <c r="U320" s="2139"/>
      <c r="V320" s="2139"/>
      <c r="W320" s="2139"/>
      <c r="X320" s="2139"/>
      <c r="Y320" s="2139"/>
      <c r="Z320" s="2139"/>
      <c r="AA320" s="2139"/>
      <c r="AB320" s="2139"/>
      <c r="AC320" s="2139"/>
      <c r="AD320" s="2139"/>
    </row>
    <row r="321" spans="1:30">
      <c r="A321" s="4097">
        <v>306</v>
      </c>
      <c r="B321" s="4093" t="s">
        <v>7255</v>
      </c>
      <c r="C321" s="4098" t="s">
        <v>7256</v>
      </c>
      <c r="D321" s="4099" t="s">
        <v>7257</v>
      </c>
      <c r="E321" s="4100"/>
      <c r="F321" s="4097">
        <v>630</v>
      </c>
      <c r="G321" s="4093" t="s">
        <v>7258</v>
      </c>
      <c r="H321" s="4098" t="s">
        <v>7259</v>
      </c>
      <c r="I321" s="4099" t="s">
        <v>7260</v>
      </c>
      <c r="J321" s="4100"/>
      <c r="K321" s="4097">
        <v>954</v>
      </c>
      <c r="L321" s="4093" t="s">
        <v>7261</v>
      </c>
      <c r="M321" s="4098" t="s">
        <v>7262</v>
      </c>
      <c r="N321" s="4099" t="s">
        <v>7263</v>
      </c>
      <c r="O321" s="4100"/>
      <c r="P321" s="4097">
        <v>1278</v>
      </c>
      <c r="Q321" s="4093" t="s">
        <v>7264</v>
      </c>
      <c r="R321" s="4098" t="s">
        <v>7265</v>
      </c>
      <c r="S321" s="4099" t="s">
        <v>7266</v>
      </c>
      <c r="T321" s="2139"/>
      <c r="U321" s="2139"/>
      <c r="V321" s="2139"/>
      <c r="W321" s="2139"/>
      <c r="X321" s="2139"/>
      <c r="Y321" s="2139"/>
      <c r="Z321" s="2139"/>
      <c r="AA321" s="2139"/>
      <c r="AB321" s="2139"/>
      <c r="AC321" s="2139"/>
      <c r="AD321" s="2139"/>
    </row>
    <row r="322" spans="1:30" ht="25.5">
      <c r="A322" s="4097">
        <v>307</v>
      </c>
      <c r="B322" s="4093" t="s">
        <v>7267</v>
      </c>
      <c r="C322" s="4098" t="s">
        <v>7268</v>
      </c>
      <c r="D322" s="4099" t="s">
        <v>7269</v>
      </c>
      <c r="E322" s="4100"/>
      <c r="F322" s="4097">
        <v>631</v>
      </c>
      <c r="G322" s="4093" t="s">
        <v>7270</v>
      </c>
      <c r="H322" s="4098" t="s">
        <v>7271</v>
      </c>
      <c r="I322" s="4099" t="s">
        <v>7272</v>
      </c>
      <c r="J322" s="4100"/>
      <c r="K322" s="4097">
        <v>955</v>
      </c>
      <c r="L322" s="4093" t="s">
        <v>7273</v>
      </c>
      <c r="M322" s="4098" t="s">
        <v>7274</v>
      </c>
      <c r="N322" s="4099" t="s">
        <v>7275</v>
      </c>
      <c r="O322" s="4100"/>
      <c r="P322" s="4097">
        <v>1279</v>
      </c>
      <c r="Q322" s="4093" t="s">
        <v>7276</v>
      </c>
      <c r="R322" s="4098" t="s">
        <v>7277</v>
      </c>
      <c r="S322" s="4099" t="s">
        <v>7278</v>
      </c>
      <c r="T322" s="2139"/>
      <c r="U322" s="2139"/>
      <c r="V322" s="2139"/>
      <c r="W322" s="2139"/>
      <c r="X322" s="2139"/>
      <c r="Y322" s="2139"/>
      <c r="Z322" s="2139"/>
      <c r="AA322" s="2139"/>
      <c r="AB322" s="2139"/>
      <c r="AC322" s="2139"/>
      <c r="AD322" s="2139"/>
    </row>
    <row r="323" spans="1:30">
      <c r="A323" s="4097">
        <v>308</v>
      </c>
      <c r="B323" s="4093" t="s">
        <v>7279</v>
      </c>
      <c r="C323" s="4098" t="s">
        <v>7280</v>
      </c>
      <c r="D323" s="4099" t="s">
        <v>7281</v>
      </c>
      <c r="E323" s="4100"/>
      <c r="F323" s="4097">
        <v>632</v>
      </c>
      <c r="G323" s="4093" t="s">
        <v>7282</v>
      </c>
      <c r="H323" s="4098" t="s">
        <v>7283</v>
      </c>
      <c r="I323" s="4099" t="s">
        <v>7284</v>
      </c>
      <c r="J323" s="4100"/>
      <c r="K323" s="4097">
        <v>956</v>
      </c>
      <c r="L323" s="4093" t="s">
        <v>7285</v>
      </c>
      <c r="M323" s="4098" t="s">
        <v>7286</v>
      </c>
      <c r="N323" s="4099" t="s">
        <v>7287</v>
      </c>
      <c r="O323" s="4100"/>
      <c r="P323" s="4097">
        <v>1280</v>
      </c>
      <c r="Q323" s="4093" t="s">
        <v>7288</v>
      </c>
      <c r="R323" s="4098" t="s">
        <v>7289</v>
      </c>
      <c r="S323" s="4099" t="s">
        <v>7290</v>
      </c>
      <c r="T323" s="2139"/>
      <c r="U323" s="2139"/>
      <c r="V323" s="2139"/>
      <c r="W323" s="2139"/>
      <c r="X323" s="2139"/>
      <c r="Y323" s="2139"/>
      <c r="Z323" s="2139"/>
      <c r="AA323" s="2139"/>
      <c r="AB323" s="2139"/>
      <c r="AC323" s="2139"/>
      <c r="AD323" s="2139"/>
    </row>
    <row r="324" spans="1:30">
      <c r="A324" s="4097">
        <v>309</v>
      </c>
      <c r="B324" s="4093" t="s">
        <v>7291</v>
      </c>
      <c r="C324" s="4098" t="s">
        <v>7292</v>
      </c>
      <c r="D324" s="4099" t="s">
        <v>7293</v>
      </c>
      <c r="E324" s="4100"/>
      <c r="F324" s="4097">
        <v>633</v>
      </c>
      <c r="G324" s="4093" t="s">
        <v>7294</v>
      </c>
      <c r="H324" s="4098" t="s">
        <v>7295</v>
      </c>
      <c r="I324" s="4099" t="s">
        <v>7296</v>
      </c>
      <c r="J324" s="4100"/>
      <c r="K324" s="4097">
        <v>957</v>
      </c>
      <c r="L324" s="4093" t="s">
        <v>7297</v>
      </c>
      <c r="M324" s="4098" t="s">
        <v>7298</v>
      </c>
      <c r="N324" s="4099" t="s">
        <v>7299</v>
      </c>
      <c r="O324" s="4100"/>
      <c r="P324" s="4097">
        <v>1281</v>
      </c>
      <c r="Q324" s="4093" t="s">
        <v>7300</v>
      </c>
      <c r="R324" s="4098" t="s">
        <v>7301</v>
      </c>
      <c r="S324" s="4099" t="s">
        <v>7302</v>
      </c>
      <c r="T324" s="2139"/>
      <c r="U324" s="2139"/>
      <c r="V324" s="2139"/>
      <c r="W324" s="2139"/>
      <c r="X324" s="2139"/>
      <c r="Y324" s="2139"/>
      <c r="Z324" s="2139"/>
      <c r="AA324" s="2139"/>
      <c r="AB324" s="2139"/>
      <c r="AC324" s="2139"/>
      <c r="AD324" s="2139"/>
    </row>
    <row r="325" spans="1:30">
      <c r="A325" s="4097">
        <v>310</v>
      </c>
      <c r="B325" s="4093" t="s">
        <v>7303</v>
      </c>
      <c r="C325" s="4098" t="s">
        <v>7304</v>
      </c>
      <c r="D325" s="4099" t="s">
        <v>7305</v>
      </c>
      <c r="E325" s="4100"/>
      <c r="F325" s="4097">
        <v>634</v>
      </c>
      <c r="G325" s="4093" t="s">
        <v>7306</v>
      </c>
      <c r="H325" s="4098" t="s">
        <v>7307</v>
      </c>
      <c r="I325" s="4099" t="s">
        <v>7308</v>
      </c>
      <c r="J325" s="4100"/>
      <c r="K325" s="4097">
        <v>958</v>
      </c>
      <c r="L325" s="4093" t="s">
        <v>7309</v>
      </c>
      <c r="M325" s="4098" t="s">
        <v>7310</v>
      </c>
      <c r="N325" s="4099" t="s">
        <v>7311</v>
      </c>
      <c r="O325" s="4100"/>
      <c r="P325" s="4097">
        <v>1282</v>
      </c>
      <c r="Q325" s="4093" t="s">
        <v>7312</v>
      </c>
      <c r="R325" s="4098" t="s">
        <v>7313</v>
      </c>
      <c r="T325" s="2139"/>
      <c r="U325" s="2139"/>
      <c r="V325" s="2139"/>
      <c r="W325" s="2139"/>
      <c r="X325" s="2139"/>
      <c r="Y325" s="2139"/>
      <c r="Z325" s="2139"/>
      <c r="AA325" s="2139"/>
      <c r="AB325" s="2139"/>
      <c r="AC325" s="2139"/>
      <c r="AD325" s="2139"/>
    </row>
    <row r="326" spans="1:30">
      <c r="A326" s="4097">
        <v>311</v>
      </c>
      <c r="B326" s="4093" t="s">
        <v>7314</v>
      </c>
      <c r="C326" s="4098" t="s">
        <v>7315</v>
      </c>
      <c r="D326" s="4099" t="s">
        <v>7316</v>
      </c>
      <c r="E326" s="4100"/>
      <c r="F326" s="4097">
        <v>635</v>
      </c>
      <c r="G326" s="4093" t="s">
        <v>7317</v>
      </c>
      <c r="H326" s="4098" t="s">
        <v>7318</v>
      </c>
      <c r="I326" s="4099" t="s">
        <v>7319</v>
      </c>
      <c r="J326" s="4100"/>
      <c r="K326" s="4097">
        <v>959</v>
      </c>
      <c r="L326" s="4093" t="s">
        <v>7320</v>
      </c>
      <c r="M326" s="4098" t="s">
        <v>7321</v>
      </c>
      <c r="N326" s="4099" t="s">
        <v>7322</v>
      </c>
      <c r="O326" s="4100"/>
      <c r="P326" s="4097">
        <v>1283</v>
      </c>
      <c r="Q326" s="4093" t="s">
        <v>7323</v>
      </c>
      <c r="R326" s="4098" t="s">
        <v>7324</v>
      </c>
      <c r="T326" s="2139"/>
      <c r="U326" s="2139"/>
      <c r="V326" s="2139"/>
      <c r="W326" s="2139"/>
      <c r="X326" s="2139"/>
      <c r="Y326" s="2139"/>
      <c r="Z326" s="2139"/>
      <c r="AA326" s="2139"/>
      <c r="AB326" s="2139"/>
      <c r="AC326" s="2139"/>
      <c r="AD326" s="2139"/>
    </row>
    <row r="327" spans="1:30" ht="25.5">
      <c r="A327" s="4097">
        <v>312</v>
      </c>
      <c r="B327" s="4093" t="s">
        <v>7325</v>
      </c>
      <c r="C327" s="4098" t="s">
        <v>7326</v>
      </c>
      <c r="D327" s="4099" t="s">
        <v>7327</v>
      </c>
      <c r="E327" s="4100"/>
      <c r="F327" s="4097">
        <v>636</v>
      </c>
      <c r="G327" s="4093" t="s">
        <v>7328</v>
      </c>
      <c r="H327" s="4098" t="s">
        <v>7329</v>
      </c>
      <c r="I327" s="4099" t="s">
        <v>7330</v>
      </c>
      <c r="J327" s="4100"/>
      <c r="K327" s="4097">
        <v>960</v>
      </c>
      <c r="L327" s="4093" t="s">
        <v>7331</v>
      </c>
      <c r="M327" s="4098" t="s">
        <v>7332</v>
      </c>
      <c r="N327" s="4099" t="s">
        <v>7333</v>
      </c>
      <c r="O327" s="4100"/>
      <c r="P327" s="4097">
        <v>1284</v>
      </c>
      <c r="Q327" s="4093" t="s">
        <v>7334</v>
      </c>
      <c r="R327" s="4098" t="s">
        <v>7335</v>
      </c>
      <c r="S327" s="4099" t="s">
        <v>7336</v>
      </c>
      <c r="T327" s="2139"/>
      <c r="U327" s="2139"/>
      <c r="V327" s="2139"/>
      <c r="W327" s="2139"/>
      <c r="X327" s="2139"/>
      <c r="Y327" s="2139"/>
      <c r="Z327" s="2139"/>
      <c r="AA327" s="2139"/>
      <c r="AB327" s="2139"/>
      <c r="AC327" s="2139"/>
      <c r="AD327" s="2139"/>
    </row>
    <row r="328" spans="1:30" ht="25.5">
      <c r="A328" s="4097">
        <v>313</v>
      </c>
      <c r="B328" s="4093" t="s">
        <v>7337</v>
      </c>
      <c r="C328" s="4098" t="s">
        <v>7338</v>
      </c>
      <c r="D328" s="4099" t="s">
        <v>7339</v>
      </c>
      <c r="E328" s="4100"/>
      <c r="F328" s="4097">
        <v>637</v>
      </c>
      <c r="G328" s="4093" t="s">
        <v>7340</v>
      </c>
      <c r="H328" s="4098" t="s">
        <v>7341</v>
      </c>
      <c r="I328" s="4099" t="s">
        <v>7342</v>
      </c>
      <c r="J328" s="4100"/>
      <c r="K328" s="4097">
        <v>961</v>
      </c>
      <c r="L328" s="4093" t="s">
        <v>7343</v>
      </c>
      <c r="M328" s="4098" t="s">
        <v>7344</v>
      </c>
      <c r="N328" s="4099" t="s">
        <v>7345</v>
      </c>
      <c r="O328" s="4100"/>
      <c r="P328" s="4097">
        <v>1285</v>
      </c>
      <c r="Q328" s="4093" t="s">
        <v>7346</v>
      </c>
      <c r="R328" s="4098" t="s">
        <v>7347</v>
      </c>
      <c r="S328" s="4099" t="s">
        <v>7348</v>
      </c>
      <c r="T328" s="2139"/>
      <c r="U328" s="2139"/>
      <c r="V328" s="2139"/>
      <c r="W328" s="2139"/>
      <c r="X328" s="2139"/>
      <c r="Y328" s="2139"/>
      <c r="Z328" s="2139"/>
      <c r="AA328" s="2139"/>
      <c r="AB328" s="2139"/>
      <c r="AC328" s="2139"/>
      <c r="AD328" s="2139"/>
    </row>
    <row r="329" spans="1:30" ht="25.5">
      <c r="A329" s="4097">
        <v>314</v>
      </c>
      <c r="B329" s="4093" t="s">
        <v>7349</v>
      </c>
      <c r="C329" s="4098" t="s">
        <v>7350</v>
      </c>
      <c r="D329" s="4099" t="s">
        <v>7351</v>
      </c>
      <c r="E329" s="4100"/>
      <c r="F329" s="4097">
        <v>638</v>
      </c>
      <c r="G329" s="4093" t="s">
        <v>7352</v>
      </c>
      <c r="H329" s="4098" t="s">
        <v>7353</v>
      </c>
      <c r="I329" s="4099" t="s">
        <v>7354</v>
      </c>
      <c r="J329" s="4100"/>
      <c r="K329" s="4097">
        <v>962</v>
      </c>
      <c r="L329" s="4093" t="s">
        <v>7355</v>
      </c>
      <c r="M329" s="4098" t="s">
        <v>7356</v>
      </c>
      <c r="N329" s="4099" t="s">
        <v>7357</v>
      </c>
      <c r="O329" s="4100"/>
      <c r="P329" s="4097">
        <v>1286</v>
      </c>
      <c r="Q329" s="4093" t="s">
        <v>7358</v>
      </c>
      <c r="R329" s="4098" t="s">
        <v>7359</v>
      </c>
      <c r="S329" s="4099" t="s">
        <v>7360</v>
      </c>
      <c r="T329" s="2139"/>
      <c r="U329" s="2139"/>
      <c r="V329" s="2139"/>
      <c r="W329" s="2139"/>
      <c r="X329" s="2139"/>
      <c r="Y329" s="2139"/>
      <c r="Z329" s="2139"/>
      <c r="AA329" s="2139"/>
      <c r="AB329" s="2139"/>
      <c r="AC329" s="2139"/>
      <c r="AD329" s="2139"/>
    </row>
    <row r="330" spans="1:30">
      <c r="A330" s="4097">
        <v>315</v>
      </c>
      <c r="B330" s="4093" t="s">
        <v>7361</v>
      </c>
      <c r="C330" s="4098" t="s">
        <v>7362</v>
      </c>
      <c r="D330" s="4099" t="s">
        <v>7363</v>
      </c>
      <c r="E330" s="4100"/>
      <c r="F330" s="4097">
        <v>639</v>
      </c>
      <c r="G330" s="4093" t="s">
        <v>7364</v>
      </c>
      <c r="H330" s="4098" t="s">
        <v>7365</v>
      </c>
      <c r="I330" s="4099" t="s">
        <v>7366</v>
      </c>
      <c r="J330" s="4100"/>
      <c r="K330" s="4097">
        <v>963</v>
      </c>
      <c r="L330" s="4093" t="s">
        <v>7367</v>
      </c>
      <c r="M330" s="4098" t="s">
        <v>7368</v>
      </c>
      <c r="N330" s="4099" t="s">
        <v>7369</v>
      </c>
      <c r="O330" s="4100"/>
      <c r="P330" s="4097">
        <v>1287</v>
      </c>
      <c r="Q330" s="4093" t="s">
        <v>7370</v>
      </c>
      <c r="R330" s="4098" t="s">
        <v>7371</v>
      </c>
      <c r="S330" s="4099" t="s">
        <v>7372</v>
      </c>
      <c r="T330" s="2139"/>
      <c r="U330" s="2139"/>
      <c r="V330" s="2139"/>
      <c r="W330" s="2139"/>
      <c r="X330" s="2139"/>
      <c r="Y330" s="2139"/>
      <c r="Z330" s="2139"/>
      <c r="AA330" s="2139"/>
      <c r="AB330" s="2139"/>
      <c r="AC330" s="2139"/>
      <c r="AD330" s="2139"/>
    </row>
    <row r="331" spans="1:30" ht="25.5">
      <c r="A331" s="4097">
        <v>316</v>
      </c>
      <c r="B331" s="4093" t="s">
        <v>7373</v>
      </c>
      <c r="C331" s="4098" t="s">
        <v>7374</v>
      </c>
      <c r="D331" s="4099" t="s">
        <v>7375</v>
      </c>
      <c r="E331" s="4100"/>
      <c r="F331" s="4097">
        <v>640</v>
      </c>
      <c r="G331" s="4093" t="s">
        <v>7376</v>
      </c>
      <c r="H331" s="4098" t="s">
        <v>7377</v>
      </c>
      <c r="I331" s="4099" t="s">
        <v>7378</v>
      </c>
      <c r="J331" s="4100"/>
      <c r="K331" s="4097">
        <v>964</v>
      </c>
      <c r="L331" s="4093" t="s">
        <v>7379</v>
      </c>
      <c r="M331" s="4098" t="s">
        <v>7380</v>
      </c>
      <c r="N331" s="4099" t="s">
        <v>7381</v>
      </c>
      <c r="O331" s="4100"/>
      <c r="P331" s="4097">
        <v>1288</v>
      </c>
      <c r="Q331" s="4093" t="s">
        <v>7382</v>
      </c>
      <c r="R331" s="4098" t="s">
        <v>7383</v>
      </c>
      <c r="S331" s="4099" t="s">
        <v>7384</v>
      </c>
      <c r="T331" s="2139"/>
      <c r="U331" s="2139"/>
      <c r="V331" s="2139"/>
      <c r="W331" s="2139"/>
      <c r="X331" s="2139"/>
      <c r="Y331" s="2139"/>
      <c r="Z331" s="2139"/>
      <c r="AA331" s="2139"/>
      <c r="AB331" s="2139"/>
      <c r="AC331" s="2139"/>
      <c r="AD331" s="2139"/>
    </row>
    <row r="332" spans="1:30">
      <c r="A332" s="4097">
        <v>317</v>
      </c>
      <c r="B332" s="4093" t="s">
        <v>7385</v>
      </c>
      <c r="C332" s="4098" t="s">
        <v>7386</v>
      </c>
      <c r="D332" s="4099" t="s">
        <v>7387</v>
      </c>
      <c r="E332" s="4100"/>
      <c r="F332" s="4097">
        <v>641</v>
      </c>
      <c r="G332" s="4093" t="s">
        <v>7388</v>
      </c>
      <c r="H332" s="4098" t="s">
        <v>7389</v>
      </c>
      <c r="I332" s="4099" t="s">
        <v>7390</v>
      </c>
      <c r="J332" s="4100"/>
      <c r="K332" s="4097">
        <v>965</v>
      </c>
      <c r="L332" s="4093" t="s">
        <v>7391</v>
      </c>
      <c r="M332" s="4098" t="s">
        <v>7392</v>
      </c>
      <c r="N332" s="4099" t="s">
        <v>7393</v>
      </c>
      <c r="O332" s="4100"/>
      <c r="P332" s="4097">
        <v>1289</v>
      </c>
      <c r="Q332" s="4093" t="s">
        <v>7394</v>
      </c>
      <c r="R332" s="4098" t="s">
        <v>7395</v>
      </c>
      <c r="S332" s="4099" t="s">
        <v>7396</v>
      </c>
      <c r="T332" s="2139"/>
      <c r="U332" s="2139"/>
      <c r="V332" s="2139"/>
      <c r="W332" s="2139"/>
      <c r="X332" s="2139"/>
      <c r="Y332" s="2139"/>
      <c r="Z332" s="2139"/>
      <c r="AA332" s="2139"/>
      <c r="AB332" s="2139"/>
      <c r="AC332" s="2139"/>
      <c r="AD332" s="2139"/>
    </row>
    <row r="333" spans="1:30">
      <c r="A333" s="4097">
        <v>318</v>
      </c>
      <c r="B333" s="4093" t="s">
        <v>7397</v>
      </c>
      <c r="C333" s="4098" t="s">
        <v>7398</v>
      </c>
      <c r="D333" s="4099" t="s">
        <v>7399</v>
      </c>
      <c r="E333" s="4100"/>
      <c r="F333" s="4097">
        <v>642</v>
      </c>
      <c r="G333" s="4093" t="s">
        <v>7400</v>
      </c>
      <c r="H333" s="4098" t="s">
        <v>7401</v>
      </c>
      <c r="I333" s="4099" t="s">
        <v>7402</v>
      </c>
      <c r="J333" s="4100"/>
      <c r="K333" s="4097">
        <v>966</v>
      </c>
      <c r="L333" s="4093" t="s">
        <v>7403</v>
      </c>
      <c r="M333" s="4098" t="s">
        <v>7404</v>
      </c>
      <c r="N333" s="4099" t="s">
        <v>7405</v>
      </c>
      <c r="O333" s="4100"/>
      <c r="P333" s="4097">
        <v>1290</v>
      </c>
      <c r="Q333" s="4093" t="s">
        <v>7406</v>
      </c>
      <c r="R333" s="4098" t="s">
        <v>7407</v>
      </c>
      <c r="S333" s="4099" t="s">
        <v>7408</v>
      </c>
      <c r="T333" s="2139"/>
      <c r="U333" s="2139"/>
      <c r="V333" s="2139"/>
      <c r="W333" s="2139"/>
      <c r="X333" s="2139"/>
      <c r="Y333" s="2139"/>
      <c r="Z333" s="2139"/>
      <c r="AA333" s="2139"/>
      <c r="AB333" s="2139"/>
      <c r="AC333" s="2139"/>
      <c r="AD333" s="2139"/>
    </row>
    <row r="334" spans="1:30" ht="25.5">
      <c r="A334" s="4097">
        <v>319</v>
      </c>
      <c r="B334" s="4093" t="s">
        <v>7409</v>
      </c>
      <c r="C334" s="4098" t="s">
        <v>7410</v>
      </c>
      <c r="D334" s="4099" t="s">
        <v>7411</v>
      </c>
      <c r="E334" s="4100"/>
      <c r="F334" s="4097">
        <v>643</v>
      </c>
      <c r="G334" s="4093" t="s">
        <v>7412</v>
      </c>
      <c r="H334" s="4098" t="s">
        <v>7413</v>
      </c>
      <c r="I334" s="4099" t="s">
        <v>7414</v>
      </c>
      <c r="J334" s="4100"/>
      <c r="K334" s="4097">
        <v>967</v>
      </c>
      <c r="L334" s="4093" t="s">
        <v>7415</v>
      </c>
      <c r="M334" s="4098" t="s">
        <v>7416</v>
      </c>
      <c r="N334" s="4099" t="s">
        <v>7417</v>
      </c>
      <c r="O334" s="4100"/>
      <c r="P334" s="4097">
        <v>1291</v>
      </c>
      <c r="Q334" s="4093" t="s">
        <v>7418</v>
      </c>
      <c r="R334" s="4098" t="s">
        <v>7419</v>
      </c>
      <c r="S334" s="4099" t="s">
        <v>7420</v>
      </c>
      <c r="T334" s="2139"/>
      <c r="U334" s="2139"/>
      <c r="V334" s="2139"/>
      <c r="W334" s="2139"/>
      <c r="X334" s="2139"/>
      <c r="Y334" s="2139"/>
      <c r="Z334" s="2139"/>
      <c r="AA334" s="2139"/>
      <c r="AB334" s="2139"/>
      <c r="AC334" s="2139"/>
      <c r="AD334" s="2139"/>
    </row>
    <row r="335" spans="1:30">
      <c r="A335" s="4097">
        <v>320</v>
      </c>
      <c r="B335" s="4093" t="s">
        <v>7421</v>
      </c>
      <c r="C335" s="4098" t="s">
        <v>7422</v>
      </c>
      <c r="D335" s="4099" t="s">
        <v>7423</v>
      </c>
      <c r="E335" s="4100"/>
      <c r="F335" s="4097">
        <v>644</v>
      </c>
      <c r="G335" s="4093" t="s">
        <v>7424</v>
      </c>
      <c r="H335" s="4098" t="s">
        <v>7425</v>
      </c>
      <c r="I335" s="4099" t="s">
        <v>7426</v>
      </c>
      <c r="J335" s="4100"/>
      <c r="K335" s="4097">
        <v>968</v>
      </c>
      <c r="L335" s="4093" t="s">
        <v>7427</v>
      </c>
      <c r="M335" s="4098" t="s">
        <v>7428</v>
      </c>
      <c r="N335" s="4099" t="s">
        <v>7429</v>
      </c>
      <c r="O335" s="4100"/>
      <c r="P335" s="4097">
        <v>1292</v>
      </c>
      <c r="Q335" s="4093" t="s">
        <v>7430</v>
      </c>
      <c r="R335" s="4098" t="s">
        <v>7431</v>
      </c>
      <c r="S335" s="4099" t="s">
        <v>7432</v>
      </c>
      <c r="T335" s="2139"/>
      <c r="U335" s="2139"/>
      <c r="V335" s="2139"/>
      <c r="W335" s="2139"/>
      <c r="X335" s="2139"/>
      <c r="Y335" s="2139"/>
      <c r="Z335" s="2139"/>
      <c r="AA335" s="2139"/>
      <c r="AB335" s="2139"/>
      <c r="AC335" s="2139"/>
      <c r="AD335" s="2139"/>
    </row>
    <row r="336" spans="1:30">
      <c r="A336" s="4097">
        <v>321</v>
      </c>
      <c r="B336" s="4093" t="s">
        <v>7433</v>
      </c>
      <c r="C336" s="4098" t="s">
        <v>7434</v>
      </c>
      <c r="D336" s="4099" t="s">
        <v>7435</v>
      </c>
      <c r="E336" s="4100"/>
      <c r="F336" s="4097">
        <v>645</v>
      </c>
      <c r="G336" s="4093" t="s">
        <v>7436</v>
      </c>
      <c r="H336" s="4098" t="s">
        <v>7437</v>
      </c>
      <c r="I336" s="4099" t="s">
        <v>7438</v>
      </c>
      <c r="J336" s="4100"/>
      <c r="K336" s="4097">
        <v>969</v>
      </c>
      <c r="L336" s="4093" t="s">
        <v>7439</v>
      </c>
      <c r="M336" s="4098" t="s">
        <v>7440</v>
      </c>
      <c r="N336" s="4099" t="s">
        <v>7441</v>
      </c>
      <c r="O336" s="4100"/>
      <c r="P336" s="4097">
        <v>1293</v>
      </c>
      <c r="Q336" s="4093" t="s">
        <v>7442</v>
      </c>
      <c r="R336" s="4098" t="s">
        <v>7443</v>
      </c>
      <c r="S336" s="4099" t="s">
        <v>7444</v>
      </c>
      <c r="T336" s="2139"/>
      <c r="U336" s="2139"/>
      <c r="V336" s="2139"/>
      <c r="W336" s="2139"/>
      <c r="X336" s="2139"/>
      <c r="Y336" s="2139"/>
      <c r="Z336" s="2139"/>
      <c r="AA336" s="2139"/>
      <c r="AB336" s="2139"/>
      <c r="AC336" s="2139"/>
      <c r="AD336" s="2139"/>
    </row>
    <row r="337" spans="1:30" ht="25.5">
      <c r="A337" s="4097">
        <v>322</v>
      </c>
      <c r="B337" s="4093" t="s">
        <v>7445</v>
      </c>
      <c r="C337" s="4098" t="s">
        <v>7446</v>
      </c>
      <c r="D337" s="4099" t="s">
        <v>7447</v>
      </c>
      <c r="E337" s="4100"/>
      <c r="F337" s="4097">
        <v>646</v>
      </c>
      <c r="G337" s="4093" t="s">
        <v>7448</v>
      </c>
      <c r="H337" s="4098" t="s">
        <v>7449</v>
      </c>
      <c r="I337" s="4099" t="s">
        <v>5361</v>
      </c>
      <c r="J337" s="4100"/>
      <c r="K337" s="4097">
        <v>970</v>
      </c>
      <c r="L337" s="4093" t="s">
        <v>7450</v>
      </c>
      <c r="M337" s="4098" t="s">
        <v>7451</v>
      </c>
      <c r="N337" s="4099" t="s">
        <v>7452</v>
      </c>
      <c r="O337" s="4100"/>
      <c r="P337" s="4097">
        <v>1294</v>
      </c>
      <c r="Q337" s="4093" t="s">
        <v>7453</v>
      </c>
      <c r="R337" s="4098" t="s">
        <v>7454</v>
      </c>
      <c r="S337" s="4099" t="s">
        <v>7455</v>
      </c>
      <c r="T337" s="2139"/>
      <c r="U337" s="2139"/>
      <c r="V337" s="2139"/>
      <c r="W337" s="2139"/>
      <c r="X337" s="2139"/>
      <c r="Y337" s="2139"/>
      <c r="Z337" s="2139"/>
      <c r="AA337" s="2139"/>
      <c r="AB337" s="2139"/>
      <c r="AC337" s="2139"/>
      <c r="AD337" s="2139"/>
    </row>
    <row r="338" spans="1:30">
      <c r="A338" s="4097">
        <v>323</v>
      </c>
      <c r="B338" s="4093" t="s">
        <v>7456</v>
      </c>
      <c r="C338" s="4098" t="s">
        <v>7457</v>
      </c>
      <c r="D338" s="4099" t="s">
        <v>7458</v>
      </c>
      <c r="E338" s="4100"/>
      <c r="F338" s="4097">
        <v>647</v>
      </c>
      <c r="G338" s="4093" t="s">
        <v>7459</v>
      </c>
      <c r="H338" s="4098" t="s">
        <v>7460</v>
      </c>
      <c r="I338" s="4099" t="s">
        <v>7461</v>
      </c>
      <c r="J338" s="4100"/>
      <c r="K338" s="4097">
        <v>971</v>
      </c>
      <c r="L338" s="4093" t="s">
        <v>7462</v>
      </c>
      <c r="M338" s="4098" t="s">
        <v>7463</v>
      </c>
      <c r="N338" s="4099" t="s">
        <v>7464</v>
      </c>
      <c r="O338" s="4100"/>
      <c r="P338" s="4097">
        <v>1295</v>
      </c>
      <c r="Q338" s="4093" t="s">
        <v>7465</v>
      </c>
      <c r="R338" s="4098" t="s">
        <v>7466</v>
      </c>
      <c r="S338" s="4099" t="s">
        <v>7467</v>
      </c>
      <c r="T338" s="2139"/>
      <c r="U338" s="2139"/>
      <c r="V338" s="2139"/>
      <c r="W338" s="2139"/>
      <c r="X338" s="2139"/>
      <c r="Y338" s="2139"/>
      <c r="Z338" s="2139"/>
      <c r="AA338" s="2139"/>
      <c r="AB338" s="2139"/>
      <c r="AC338" s="2139"/>
      <c r="AD338" s="2139"/>
    </row>
    <row r="339" spans="1:30" ht="25.5">
      <c r="A339" s="4097">
        <v>324</v>
      </c>
      <c r="B339" s="4093" t="s">
        <v>7468</v>
      </c>
      <c r="C339" s="4098" t="s">
        <v>7469</v>
      </c>
      <c r="D339" s="4099" t="s">
        <v>7470</v>
      </c>
      <c r="E339" s="4100"/>
      <c r="F339" s="4097">
        <v>648</v>
      </c>
      <c r="G339" s="4093" t="s">
        <v>7471</v>
      </c>
      <c r="H339" s="4098" t="s">
        <v>7472</v>
      </c>
      <c r="I339" s="4099" t="s">
        <v>7473</v>
      </c>
      <c r="J339" s="4100"/>
      <c r="K339" s="4097">
        <v>972</v>
      </c>
      <c r="L339" s="4093" t="s">
        <v>7474</v>
      </c>
      <c r="M339" s="4098" t="s">
        <v>7475</v>
      </c>
      <c r="N339" s="4099" t="s">
        <v>7476</v>
      </c>
      <c r="O339" s="4100"/>
      <c r="P339" s="4097">
        <v>1296</v>
      </c>
      <c r="Q339" s="4093" t="s">
        <v>7477</v>
      </c>
      <c r="R339" s="4098" t="s">
        <v>7478</v>
      </c>
      <c r="S339" s="4099" t="s">
        <v>7479</v>
      </c>
      <c r="T339" s="2139"/>
      <c r="U339" s="2139"/>
      <c r="V339" s="2139"/>
      <c r="W339" s="2139"/>
      <c r="X339" s="2139"/>
      <c r="Y339" s="2139"/>
      <c r="Z339" s="2139"/>
      <c r="AA339" s="2139"/>
      <c r="AB339" s="2139"/>
      <c r="AC339" s="2139"/>
      <c r="AD339" s="2139"/>
    </row>
  </sheetData>
  <mergeCells count="1">
    <mergeCell ref="A1:U1"/>
  </mergeCells>
  <hyperlinks>
    <hyperlink ref="D4" r:id="rId1" xr:uid="{00000000-0004-0000-2000-000000000000}"/>
    <hyperlink ref="U8" r:id="rId2" xr:uid="{00000000-0004-0000-2000-000001000000}"/>
    <hyperlink ref="AA4" r:id="rId3" xr:uid="{00000000-0004-0000-2000-000002000000}"/>
    <hyperlink ref="AA6" r:id="rId4" xr:uid="{00000000-0004-0000-2000-000003000000}"/>
    <hyperlink ref="AA8" r:id="rId5" xr:uid="{00000000-0004-0000-2000-000004000000}"/>
    <hyperlink ref="V17" r:id="rId6" xr:uid="{00000000-0004-0000-2000-000005000000}"/>
    <hyperlink ref="V19" r:id="rId7" xr:uid="{00000000-0004-0000-2000-000006000000}"/>
    <hyperlink ref="D6" r:id="rId8" xr:uid="{00000000-0004-0000-2000-000007000000}"/>
    <hyperlink ref="D8" r:id="rId9" xr:uid="{00000000-0004-0000-2000-000008000000}"/>
    <hyperlink ref="O4" r:id="rId10" xr:uid="{00000000-0004-0000-2000-000009000000}"/>
    <hyperlink ref="O8" r:id="rId11" xr:uid="{00000000-0004-0000-2000-00000A000000}"/>
    <hyperlink ref="O6" r:id="rId12" xr:uid="{00000000-0004-0000-2000-00000B000000}"/>
    <hyperlink ref="U4" r:id="rId13" xr:uid="{00000000-0004-0000-2000-00000C000000}"/>
    <hyperlink ref="U6" r:id="rId14" xr:uid="{00000000-0004-0000-2000-00000D000000}"/>
  </hyperlinks>
  <pageMargins left="0.7" right="0.7" top="0.75" bottom="0.75" header="0.3" footer="0.3"/>
  <drawing r:id="rId1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P285"/>
  <sheetViews>
    <sheetView workbookViewId="0">
      <selection activeCell="N28" sqref="N28"/>
    </sheetView>
  </sheetViews>
  <sheetFormatPr baseColWidth="10" defaultRowHeight="15.75"/>
  <cols>
    <col min="1" max="1" width="2.875" style="4106" customWidth="1"/>
    <col min="2" max="2" width="11" style="4106"/>
    <col min="3" max="3" width="10.25" style="4106" customWidth="1"/>
    <col min="4" max="13" width="11" style="4106"/>
    <col min="14" max="14" width="13.125" style="4106" customWidth="1"/>
    <col min="15" max="16384" width="11" style="4106"/>
  </cols>
  <sheetData>
    <row r="1" spans="1:16" ht="16.5" thickBot="1"/>
    <row r="2" spans="1:16" ht="15.75" customHeight="1">
      <c r="B2" s="7138" t="s">
        <v>7480</v>
      </c>
      <c r="C2" s="7139"/>
      <c r="D2" s="7139"/>
      <c r="E2" s="7139"/>
      <c r="F2" s="7139"/>
      <c r="G2" s="7139"/>
      <c r="H2" s="7139"/>
      <c r="I2" s="7139"/>
      <c r="J2" s="7139"/>
      <c r="K2" s="7139"/>
      <c r="L2" s="7139"/>
      <c r="M2" s="7139"/>
      <c r="N2" s="7139"/>
      <c r="O2" s="7139"/>
      <c r="P2" s="7140"/>
    </row>
    <row r="3" spans="1:16" ht="15.75" customHeight="1">
      <c r="B3" s="7141"/>
      <c r="C3" s="7142"/>
      <c r="D3" s="7142"/>
      <c r="E3" s="7142"/>
      <c r="F3" s="7142"/>
      <c r="G3" s="7142"/>
      <c r="H3" s="7142"/>
      <c r="I3" s="7142"/>
      <c r="J3" s="7142"/>
      <c r="K3" s="7142"/>
      <c r="L3" s="7142"/>
      <c r="M3" s="7142"/>
      <c r="N3" s="7142"/>
      <c r="O3" s="7142"/>
      <c r="P3" s="7143"/>
    </row>
    <row r="4" spans="1:16" ht="15.75" customHeight="1">
      <c r="B4" s="7141"/>
      <c r="C4" s="7142"/>
      <c r="D4" s="7142"/>
      <c r="E4" s="7142"/>
      <c r="F4" s="7142"/>
      <c r="G4" s="7142"/>
      <c r="H4" s="7142"/>
      <c r="I4" s="7142"/>
      <c r="J4" s="7142"/>
      <c r="K4" s="7142"/>
      <c r="L4" s="7142"/>
      <c r="M4" s="7142"/>
      <c r="N4" s="7142"/>
      <c r="O4" s="7142"/>
      <c r="P4" s="7143"/>
    </row>
    <row r="5" spans="1:16" ht="15.75" customHeight="1">
      <c r="B5" s="7144" t="s">
        <v>7481</v>
      </c>
      <c r="C5" s="7145"/>
      <c r="D5" s="7145"/>
      <c r="E5" s="7145"/>
      <c r="F5" s="7145"/>
      <c r="G5" s="7145"/>
      <c r="H5" s="7145"/>
      <c r="I5" s="7145"/>
      <c r="J5" s="7145"/>
      <c r="K5" s="7145"/>
      <c r="L5" s="7145"/>
      <c r="M5" s="7145"/>
      <c r="N5" s="7145"/>
      <c r="O5" s="7145"/>
      <c r="P5" s="7146"/>
    </row>
    <row r="6" spans="1:16" ht="15.75" customHeight="1">
      <c r="B6" s="7144"/>
      <c r="C6" s="7145"/>
      <c r="D6" s="7145"/>
      <c r="E6" s="7145"/>
      <c r="F6" s="7145"/>
      <c r="G6" s="7145"/>
      <c r="H6" s="7145"/>
      <c r="I6" s="7145"/>
      <c r="J6" s="7145"/>
      <c r="K6" s="7145"/>
      <c r="L6" s="7145"/>
      <c r="M6" s="7145"/>
      <c r="N6" s="7145"/>
      <c r="O6" s="7145"/>
      <c r="P6" s="7146"/>
    </row>
    <row r="7" spans="1:16" ht="15.75" customHeight="1" thickBot="1">
      <c r="B7" s="7147"/>
      <c r="C7" s="7148"/>
      <c r="D7" s="7148"/>
      <c r="E7" s="7148"/>
      <c r="F7" s="7148"/>
      <c r="G7" s="7148"/>
      <c r="H7" s="7148"/>
      <c r="I7" s="7148"/>
      <c r="J7" s="7148"/>
      <c r="K7" s="7148"/>
      <c r="L7" s="7148"/>
      <c r="M7" s="7148"/>
      <c r="N7" s="7148"/>
      <c r="O7" s="7148"/>
      <c r="P7" s="7149"/>
    </row>
    <row r="8" spans="1:16">
      <c r="B8" s="4102"/>
      <c r="C8" s="4102"/>
      <c r="D8" s="4102"/>
      <c r="E8" s="4102"/>
      <c r="F8" s="4102"/>
      <c r="G8" s="4102"/>
      <c r="H8" s="4102"/>
      <c r="I8" s="4102"/>
      <c r="J8" s="4102"/>
      <c r="K8" s="4102"/>
      <c r="L8" s="4102"/>
      <c r="M8" s="4102"/>
      <c r="N8" s="4102"/>
      <c r="O8" s="4109" t="str">
        <f ca="1">"Page "&amp;_xlfn.SHEET()&amp;" sur "&amp;_xlfn.SHEETS()</f>
        <v>Page 36 sur 37</v>
      </c>
    </row>
    <row r="9" spans="1:16" s="2127" customFormat="1" ht="21.75" customHeight="1">
      <c r="A9" s="4106"/>
      <c r="B9" s="4102"/>
      <c r="C9" s="4110" t="s">
        <v>2241</v>
      </c>
      <c r="D9" s="2296"/>
      <c r="E9" s="2126"/>
      <c r="F9" s="2126"/>
      <c r="G9" s="2126"/>
      <c r="H9" s="2126"/>
      <c r="I9" s="2126"/>
      <c r="J9" s="2126"/>
      <c r="K9" s="2126"/>
      <c r="L9" s="2126"/>
      <c r="M9" s="2126"/>
      <c r="N9" s="2126"/>
      <c r="O9" s="2126"/>
      <c r="P9" s="2126"/>
    </row>
    <row r="10" spans="1:16" ht="28.5">
      <c r="B10" s="4102"/>
      <c r="C10" s="4111" t="s">
        <v>7482</v>
      </c>
      <c r="D10" s="4102"/>
      <c r="E10" s="4102"/>
      <c r="F10" s="4102"/>
      <c r="G10" s="4102"/>
      <c r="H10" s="4102"/>
      <c r="I10" s="4102"/>
      <c r="J10" s="4102"/>
      <c r="K10" s="4102"/>
      <c r="L10" s="4102"/>
      <c r="M10" s="4102"/>
      <c r="N10" s="4102"/>
      <c r="O10" s="4102"/>
      <c r="P10" s="4102"/>
    </row>
    <row r="11" spans="1:16">
      <c r="B11" s="4102"/>
      <c r="C11" s="4112" t="s">
        <v>5872</v>
      </c>
      <c r="D11" s="4102"/>
      <c r="E11" s="4102"/>
      <c r="F11" s="4102"/>
      <c r="G11" s="4102"/>
      <c r="H11" s="4102"/>
      <c r="I11" s="4102"/>
      <c r="J11" s="4102"/>
      <c r="K11" s="4102"/>
      <c r="L11" s="4102"/>
      <c r="M11" s="4102"/>
      <c r="N11" s="4102"/>
      <c r="O11" s="4102"/>
      <c r="P11" s="4102"/>
    </row>
    <row r="12" spans="1:16" ht="18.75">
      <c r="B12" s="4101" t="s">
        <v>7483</v>
      </c>
      <c r="C12" s="4102"/>
      <c r="D12" s="4102"/>
      <c r="E12" s="4102"/>
      <c r="F12" s="4102"/>
      <c r="G12" s="4102"/>
      <c r="H12" s="4102"/>
      <c r="I12" s="4102"/>
      <c r="J12" s="4102"/>
      <c r="K12" s="4102"/>
      <c r="L12" s="4102"/>
      <c r="M12" s="4102"/>
      <c r="N12" s="4102"/>
      <c r="O12" s="4102"/>
      <c r="P12" s="4102"/>
    </row>
    <row r="13" spans="1:16">
      <c r="B13" s="4113" t="s">
        <v>723</v>
      </c>
      <c r="C13" s="4114" t="s">
        <v>7484</v>
      </c>
      <c r="D13" s="4102"/>
      <c r="E13" s="4102"/>
      <c r="F13" s="4102"/>
      <c r="G13" s="4102"/>
      <c r="H13" s="4102"/>
      <c r="I13" s="4102"/>
      <c r="J13" s="4102"/>
      <c r="K13" s="4102"/>
      <c r="L13" s="4102"/>
      <c r="M13" s="4102"/>
      <c r="N13" s="4102"/>
      <c r="O13" s="4102"/>
      <c r="P13" s="4102"/>
    </row>
    <row r="14" spans="1:16">
      <c r="B14" s="4102"/>
      <c r="C14" s="4102"/>
      <c r="D14" s="4102"/>
      <c r="E14" s="4102"/>
      <c r="F14" s="4102"/>
      <c r="G14" s="4102"/>
      <c r="H14" s="4102"/>
      <c r="I14" s="4102"/>
      <c r="J14" s="4102"/>
      <c r="K14" s="4102"/>
      <c r="L14" s="4102"/>
      <c r="M14" s="4102"/>
      <c r="N14" s="4102"/>
      <c r="O14" s="4102"/>
      <c r="P14" s="4102"/>
    </row>
    <row r="15" spans="1:16" ht="18.75">
      <c r="B15" s="4101" t="s">
        <v>7485</v>
      </c>
      <c r="C15" s="4102"/>
      <c r="D15" s="4102"/>
      <c r="E15" s="4102"/>
      <c r="F15" s="4102"/>
      <c r="G15" s="4102"/>
      <c r="H15" s="4102"/>
      <c r="I15" s="4102"/>
      <c r="J15" s="4102"/>
      <c r="K15" s="4102"/>
      <c r="L15" s="4102"/>
      <c r="M15" s="4102"/>
      <c r="N15" s="4102"/>
      <c r="O15" s="4102"/>
      <c r="P15" s="4102"/>
    </row>
    <row r="16" spans="1:16">
      <c r="B16" s="4113" t="s">
        <v>723</v>
      </c>
      <c r="C16" s="4115" t="s">
        <v>7486</v>
      </c>
      <c r="D16" s="4102"/>
      <c r="E16" s="4102"/>
      <c r="F16" s="4102"/>
      <c r="G16" s="4102"/>
      <c r="H16" s="4102"/>
      <c r="I16" s="4102"/>
      <c r="J16" s="4102"/>
      <c r="K16" s="4102"/>
      <c r="L16" s="4102"/>
      <c r="M16" s="4102"/>
      <c r="N16" s="4102"/>
      <c r="O16" s="4102"/>
      <c r="P16" s="4102"/>
    </row>
    <row r="17" spans="2:16">
      <c r="B17" s="4102"/>
      <c r="C17" s="4102"/>
      <c r="D17" s="4102"/>
      <c r="E17" s="4102"/>
      <c r="F17" s="4102"/>
      <c r="G17" s="4102"/>
      <c r="H17" s="4102"/>
      <c r="I17" s="4102"/>
      <c r="J17" s="4102"/>
      <c r="K17" s="4102"/>
      <c r="L17" s="4102"/>
      <c r="M17" s="4102"/>
      <c r="N17" s="4102"/>
      <c r="O17" s="4102"/>
      <c r="P17" s="4102"/>
    </row>
    <row r="18" spans="2:16">
      <c r="B18" s="4113" t="s">
        <v>723</v>
      </c>
      <c r="C18" s="4115" t="s">
        <v>7487</v>
      </c>
      <c r="D18" s="4102"/>
      <c r="E18" s="4102"/>
      <c r="F18" s="4102"/>
      <c r="G18" s="4102"/>
      <c r="H18" s="4102"/>
      <c r="I18" s="4102"/>
      <c r="J18" s="4102"/>
      <c r="K18" s="4102"/>
      <c r="L18" s="4102"/>
      <c r="M18" s="4102"/>
      <c r="N18" s="4102"/>
      <c r="O18" s="4102"/>
      <c r="P18" s="4102"/>
    </row>
    <row r="19" spans="2:16">
      <c r="B19" s="4102"/>
      <c r="C19" s="4102"/>
      <c r="D19" s="4102"/>
      <c r="E19" s="4102"/>
      <c r="F19" s="4102"/>
      <c r="G19" s="4102"/>
      <c r="H19" s="4102"/>
      <c r="I19" s="4102"/>
      <c r="J19" s="4102"/>
      <c r="K19" s="4102"/>
      <c r="L19" s="4102"/>
      <c r="M19" s="4102"/>
      <c r="N19" s="4102"/>
      <c r="O19" s="4102"/>
      <c r="P19" s="4102"/>
    </row>
    <row r="20" spans="2:16">
      <c r="B20" s="4102"/>
      <c r="C20" s="4116" t="s">
        <v>7488</v>
      </c>
      <c r="D20" s="4102"/>
      <c r="E20" s="4102"/>
      <c r="F20" s="4102"/>
      <c r="G20" s="4102"/>
      <c r="H20" s="4102"/>
      <c r="I20" s="4102"/>
      <c r="J20" s="4102"/>
      <c r="K20" s="4102"/>
      <c r="L20" s="4102"/>
      <c r="M20" s="4102"/>
      <c r="N20" s="4102"/>
      <c r="O20" s="4102"/>
      <c r="P20" s="4102"/>
    </row>
    <row r="21" spans="2:16">
      <c r="B21" s="4102"/>
      <c r="C21" s="4116" t="s">
        <v>7489</v>
      </c>
      <c r="D21" s="4102"/>
      <c r="E21" s="4102"/>
      <c r="F21" s="4102"/>
      <c r="G21" s="4102"/>
      <c r="H21" s="4102"/>
      <c r="I21" s="4102"/>
      <c r="J21" s="4102"/>
      <c r="K21" s="4102"/>
      <c r="L21" s="4102"/>
      <c r="M21" s="4102"/>
      <c r="N21" s="4102"/>
      <c r="O21" s="4102"/>
      <c r="P21" s="4102"/>
    </row>
    <row r="22" spans="2:16">
      <c r="B22" s="4102"/>
      <c r="C22" s="4116" t="s">
        <v>7490</v>
      </c>
      <c r="D22" s="4102"/>
      <c r="E22" s="4102"/>
      <c r="F22" s="4102"/>
      <c r="G22" s="4102"/>
      <c r="H22" s="4102"/>
      <c r="I22" s="4102"/>
      <c r="J22" s="4102"/>
      <c r="K22" s="4102"/>
      <c r="L22" s="4102"/>
      <c r="M22" s="4102"/>
      <c r="N22" s="4102"/>
      <c r="O22" s="4102"/>
      <c r="P22" s="4102"/>
    </row>
    <row r="23" spans="2:16">
      <c r="B23" s="4102"/>
      <c r="C23" s="4102"/>
      <c r="D23" s="4102"/>
      <c r="E23" s="4102"/>
      <c r="F23" s="4102"/>
      <c r="G23" s="4102"/>
      <c r="H23" s="4102"/>
      <c r="I23" s="4102"/>
      <c r="J23" s="4102"/>
      <c r="K23" s="4102"/>
      <c r="L23" s="4102"/>
      <c r="M23" s="4102"/>
      <c r="N23" s="4102"/>
      <c r="O23" s="4102"/>
      <c r="P23" s="4102"/>
    </row>
    <row r="24" spans="2:16">
      <c r="B24" s="4102"/>
      <c r="C24" s="4116" t="s">
        <v>7491</v>
      </c>
      <c r="D24" s="4102"/>
      <c r="E24" s="4102"/>
      <c r="F24" s="4102"/>
      <c r="G24" s="4102"/>
      <c r="H24" s="4102"/>
      <c r="I24" s="4102"/>
      <c r="J24" s="4102"/>
      <c r="K24" s="4102"/>
      <c r="L24" s="4102"/>
      <c r="M24" s="4102"/>
      <c r="N24" s="4102"/>
      <c r="O24" s="4102"/>
      <c r="P24" s="4102"/>
    </row>
    <row r="25" spans="2:16">
      <c r="B25" s="4102"/>
      <c r="C25" s="4116" t="s">
        <v>7492</v>
      </c>
      <c r="D25" s="4102"/>
      <c r="E25" s="4102"/>
      <c r="F25" s="4102"/>
      <c r="G25" s="4102"/>
      <c r="H25" s="4102"/>
      <c r="I25" s="4102"/>
      <c r="J25" s="4102"/>
      <c r="K25" s="4102"/>
      <c r="L25" s="4102"/>
      <c r="M25" s="4102"/>
      <c r="N25" s="4102"/>
      <c r="O25" s="4102"/>
      <c r="P25" s="4102"/>
    </row>
    <row r="26" spans="2:16">
      <c r="B26" s="4102"/>
      <c r="C26" s="4116" t="s">
        <v>7493</v>
      </c>
      <c r="D26" s="4102"/>
      <c r="E26" s="4102"/>
      <c r="F26" s="4102"/>
      <c r="G26" s="4102"/>
      <c r="H26" s="4102"/>
      <c r="I26" s="4102"/>
      <c r="J26" s="4102"/>
      <c r="K26" s="4102"/>
      <c r="L26" s="4102"/>
      <c r="M26" s="4102"/>
      <c r="N26" s="4102"/>
      <c r="O26" s="4102"/>
      <c r="P26" s="4102"/>
    </row>
    <row r="27" spans="2:16">
      <c r="B27" s="4102"/>
      <c r="C27" s="4116" t="s">
        <v>7494</v>
      </c>
      <c r="D27" s="4102"/>
      <c r="E27" s="4102"/>
      <c r="F27" s="4102"/>
      <c r="G27" s="4102"/>
      <c r="H27" s="4102"/>
      <c r="I27" s="4102"/>
      <c r="J27" s="4102"/>
      <c r="K27" s="4102"/>
      <c r="L27" s="4102"/>
      <c r="M27" s="4102"/>
      <c r="N27" s="4102"/>
      <c r="O27" s="4102"/>
      <c r="P27" s="4102"/>
    </row>
    <row r="28" spans="2:16">
      <c r="B28" s="4102"/>
      <c r="C28" s="4116" t="s">
        <v>7495</v>
      </c>
      <c r="D28" s="4102"/>
      <c r="E28" s="4102"/>
      <c r="F28" s="4102"/>
      <c r="G28" s="4102"/>
      <c r="H28" s="4102"/>
      <c r="I28" s="4102"/>
      <c r="J28" s="4102"/>
      <c r="K28" s="4102"/>
      <c r="L28" s="4102"/>
      <c r="M28" s="4102"/>
      <c r="N28" s="4102"/>
      <c r="O28" s="4102"/>
      <c r="P28" s="4102"/>
    </row>
    <row r="29" spans="2:16">
      <c r="B29" s="4102"/>
      <c r="C29" s="4116" t="s">
        <v>7496</v>
      </c>
      <c r="D29" s="4102"/>
      <c r="E29" s="4102"/>
      <c r="F29" s="4102"/>
      <c r="G29" s="4102"/>
      <c r="H29" s="4102"/>
      <c r="I29" s="4102"/>
      <c r="J29" s="4102"/>
      <c r="K29" s="4102"/>
      <c r="L29" s="4102"/>
      <c r="M29" s="4102"/>
      <c r="N29" s="4102"/>
      <c r="O29" s="4102"/>
      <c r="P29" s="4102"/>
    </row>
    <row r="30" spans="2:16">
      <c r="B30" s="4102"/>
      <c r="C30" s="4102"/>
      <c r="D30" s="4102"/>
      <c r="E30" s="4102"/>
      <c r="F30" s="4102"/>
      <c r="G30" s="4102"/>
      <c r="H30" s="4102"/>
      <c r="I30" s="4102"/>
      <c r="J30" s="4102"/>
      <c r="K30" s="4102"/>
      <c r="L30" s="4102"/>
      <c r="M30" s="4102"/>
      <c r="N30" s="4102"/>
      <c r="O30" s="4102"/>
      <c r="P30" s="4102"/>
    </row>
    <row r="31" spans="2:16">
      <c r="B31" s="4102"/>
      <c r="C31" s="4116" t="s">
        <v>7497</v>
      </c>
      <c r="D31" s="4102"/>
      <c r="E31" s="4102"/>
      <c r="F31" s="4102"/>
      <c r="G31" s="4102"/>
      <c r="H31" s="4102"/>
      <c r="I31" s="4102"/>
      <c r="J31" s="4102"/>
      <c r="K31" s="4102"/>
      <c r="L31" s="4102"/>
      <c r="M31" s="4102"/>
      <c r="N31" s="4102"/>
      <c r="O31" s="4102"/>
      <c r="P31" s="4102"/>
    </row>
    <row r="32" spans="2:16">
      <c r="B32" s="4102"/>
      <c r="C32" s="4116" t="s">
        <v>7498</v>
      </c>
      <c r="D32" s="4102"/>
      <c r="E32" s="4102"/>
      <c r="F32" s="4102"/>
      <c r="G32" s="4102"/>
      <c r="H32" s="4102"/>
      <c r="I32" s="4102"/>
      <c r="J32" s="4102"/>
      <c r="K32" s="4102"/>
      <c r="L32" s="4102"/>
      <c r="M32" s="4102"/>
      <c r="N32" s="4102"/>
      <c r="O32" s="4102"/>
      <c r="P32" s="4102"/>
    </row>
    <row r="33" spans="2:16">
      <c r="B33" s="4102"/>
      <c r="C33" s="4116" t="s">
        <v>7499</v>
      </c>
      <c r="D33" s="4102"/>
      <c r="E33" s="4102"/>
      <c r="F33" s="4102"/>
      <c r="G33" s="4102"/>
      <c r="H33" s="4102"/>
      <c r="I33" s="4102"/>
      <c r="J33" s="4102"/>
      <c r="K33" s="4102"/>
      <c r="L33" s="4102"/>
      <c r="M33" s="4102"/>
      <c r="N33" s="4102"/>
      <c r="O33" s="4102"/>
      <c r="P33" s="4102"/>
    </row>
    <row r="34" spans="2:16">
      <c r="B34" s="4102"/>
      <c r="C34" s="4102"/>
      <c r="D34" s="4102"/>
      <c r="E34" s="4102"/>
      <c r="F34" s="4102"/>
      <c r="G34" s="4102"/>
      <c r="H34" s="4102"/>
      <c r="I34" s="4102"/>
      <c r="J34" s="4102"/>
      <c r="K34" s="4102"/>
      <c r="L34" s="4102"/>
      <c r="M34" s="4102"/>
      <c r="N34" s="4102"/>
      <c r="O34" s="4102"/>
      <c r="P34" s="4102"/>
    </row>
    <row r="35" spans="2:16" ht="18.75">
      <c r="B35" s="4101" t="s">
        <v>7500</v>
      </c>
      <c r="C35" s="4102"/>
      <c r="D35" s="4102"/>
      <c r="E35" s="4102"/>
      <c r="F35" s="4102"/>
      <c r="G35" s="4102"/>
      <c r="H35" s="4102"/>
      <c r="I35" s="4102"/>
      <c r="J35" s="4102"/>
      <c r="K35" s="4102"/>
      <c r="L35" s="4102"/>
      <c r="M35" s="4102"/>
      <c r="N35" s="4102"/>
      <c r="O35" s="4102"/>
      <c r="P35" s="4102"/>
    </row>
    <row r="36" spans="2:16">
      <c r="B36" s="4113" t="s">
        <v>723</v>
      </c>
      <c r="C36" s="4115" t="s">
        <v>7501</v>
      </c>
      <c r="D36" s="4102"/>
      <c r="E36" s="4102"/>
      <c r="F36" s="4102"/>
      <c r="G36" s="4102"/>
      <c r="H36" s="4102"/>
      <c r="I36" s="4102"/>
      <c r="J36" s="4102"/>
      <c r="K36" s="4102"/>
      <c r="L36" s="4102"/>
      <c r="M36" s="4102"/>
      <c r="N36" s="4102"/>
      <c r="O36" s="4102"/>
      <c r="P36" s="4102"/>
    </row>
    <row r="37" spans="2:16">
      <c r="B37" s="4102"/>
      <c r="C37" s="4102"/>
      <c r="D37" s="4102"/>
      <c r="E37" s="4102"/>
      <c r="F37" s="4102"/>
      <c r="G37" s="4102"/>
      <c r="H37" s="4102"/>
      <c r="I37" s="4102"/>
      <c r="J37" s="4102"/>
      <c r="K37" s="4102"/>
      <c r="L37" s="4102"/>
      <c r="M37" s="4102"/>
      <c r="N37" s="4102"/>
      <c r="O37" s="4102"/>
      <c r="P37" s="4102"/>
    </row>
    <row r="38" spans="2:16" ht="18.75">
      <c r="B38" s="4101" t="s">
        <v>7502</v>
      </c>
      <c r="C38" s="4102"/>
      <c r="D38" s="4102"/>
      <c r="E38" s="4102"/>
      <c r="F38" s="4102"/>
      <c r="G38" s="4102"/>
      <c r="H38" s="4102"/>
      <c r="I38" s="4102"/>
      <c r="J38" s="4102"/>
      <c r="K38" s="4102"/>
      <c r="L38" s="4102"/>
      <c r="M38" s="4102"/>
      <c r="N38" s="4102"/>
      <c r="O38" s="4102"/>
      <c r="P38" s="4102"/>
    </row>
    <row r="39" spans="2:16">
      <c r="B39" s="4113" t="s">
        <v>723</v>
      </c>
      <c r="C39" s="4115" t="s">
        <v>7503</v>
      </c>
      <c r="D39" s="4102"/>
      <c r="E39" s="4102"/>
      <c r="F39" s="4102"/>
      <c r="G39" s="4102"/>
      <c r="H39" s="4102"/>
      <c r="I39" s="4102"/>
      <c r="J39" s="4102"/>
      <c r="K39" s="4102"/>
      <c r="L39" s="4102"/>
      <c r="M39" s="4102"/>
      <c r="N39" s="4102"/>
      <c r="O39" s="4102"/>
      <c r="P39" s="4102"/>
    </row>
    <row r="40" spans="2:16">
      <c r="B40" s="4115"/>
      <c r="C40" s="4115"/>
      <c r="D40" s="4102"/>
      <c r="E40" s="4102"/>
      <c r="F40" s="4102"/>
      <c r="G40" s="4102"/>
      <c r="H40" s="4102"/>
      <c r="I40" s="4102"/>
      <c r="J40" s="4102"/>
      <c r="K40" s="4102"/>
      <c r="L40" s="4102"/>
      <c r="M40" s="4102"/>
      <c r="N40" s="4102"/>
      <c r="O40" s="4102"/>
      <c r="P40" s="4102"/>
    </row>
    <row r="41" spans="2:16" ht="18.75">
      <c r="B41" s="4101" t="s">
        <v>7504</v>
      </c>
      <c r="C41" s="4102"/>
      <c r="D41" s="4102"/>
      <c r="E41" s="4102"/>
      <c r="F41" s="4102"/>
      <c r="G41" s="4102"/>
      <c r="H41" s="4102"/>
      <c r="I41" s="4102"/>
      <c r="J41" s="4102"/>
      <c r="K41" s="4102"/>
      <c r="L41" s="4102"/>
      <c r="M41" s="4102"/>
      <c r="N41" s="4102"/>
      <c r="O41" s="4102"/>
      <c r="P41" s="4102"/>
    </row>
    <row r="42" spans="2:16">
      <c r="B42" s="4113" t="s">
        <v>723</v>
      </c>
      <c r="C42" s="4114" t="s">
        <v>7505</v>
      </c>
      <c r="D42" s="4102"/>
      <c r="E42" s="4102"/>
      <c r="F42" s="4102"/>
      <c r="G42" s="4102"/>
      <c r="H42" s="4102"/>
      <c r="I42" s="4102"/>
      <c r="J42" s="4102"/>
      <c r="K42" s="4102"/>
      <c r="L42" s="4102"/>
      <c r="M42" s="4102"/>
      <c r="N42" s="4102"/>
      <c r="O42" s="4102"/>
      <c r="P42" s="4102"/>
    </row>
    <row r="43" spans="2:16">
      <c r="B43" s="4102"/>
      <c r="C43" s="4102"/>
      <c r="D43" s="4102"/>
      <c r="E43" s="4102"/>
      <c r="F43" s="4102"/>
      <c r="G43" s="4102"/>
      <c r="H43" s="4102"/>
      <c r="I43" s="4102"/>
      <c r="J43" s="4102"/>
      <c r="K43" s="4102"/>
      <c r="L43" s="4102"/>
      <c r="M43" s="4102"/>
      <c r="N43" s="4102"/>
      <c r="O43" s="4102"/>
      <c r="P43" s="4102"/>
    </row>
    <row r="44" spans="2:16" ht="18.75">
      <c r="B44" s="4101" t="s">
        <v>7506</v>
      </c>
      <c r="C44" s="4102"/>
      <c r="D44" s="4102"/>
      <c r="E44" s="4102"/>
      <c r="F44" s="4102"/>
      <c r="G44" s="4102"/>
      <c r="H44" s="4102"/>
      <c r="I44" s="4102"/>
      <c r="J44" s="4102"/>
      <c r="K44" s="4102"/>
      <c r="L44" s="4102"/>
      <c r="M44" s="4102"/>
      <c r="N44" s="4102"/>
      <c r="O44" s="4102"/>
      <c r="P44" s="4102"/>
    </row>
    <row r="45" spans="2:16">
      <c r="B45" s="4113" t="s">
        <v>723</v>
      </c>
      <c r="C45" s="4115" t="s">
        <v>7507</v>
      </c>
      <c r="D45" s="4102"/>
      <c r="E45" s="4102"/>
      <c r="F45" s="4102"/>
      <c r="G45" s="4102"/>
      <c r="H45" s="4102"/>
      <c r="I45" s="4102"/>
      <c r="J45" s="4102"/>
      <c r="K45" s="4102"/>
      <c r="L45" s="4102"/>
      <c r="M45" s="4102"/>
      <c r="N45" s="4102"/>
      <c r="O45" s="4102"/>
      <c r="P45" s="4102"/>
    </row>
    <row r="46" spans="2:16">
      <c r="B46" s="4102"/>
      <c r="C46" s="4102"/>
      <c r="D46" s="4102"/>
      <c r="E46" s="4102"/>
      <c r="F46" s="4102"/>
      <c r="G46" s="4102"/>
      <c r="H46" s="4102"/>
      <c r="I46" s="4102"/>
      <c r="J46" s="4102"/>
      <c r="K46" s="4102"/>
      <c r="L46" s="4102"/>
      <c r="M46" s="4102"/>
      <c r="N46" s="4102"/>
      <c r="O46" s="4102"/>
      <c r="P46" s="4102"/>
    </row>
    <row r="47" spans="2:16">
      <c r="B47" s="4102"/>
      <c r="C47" s="4102" t="s">
        <v>7508</v>
      </c>
      <c r="D47" s="4102"/>
      <c r="E47" s="4102"/>
      <c r="F47" s="4102"/>
      <c r="G47" s="4102"/>
      <c r="H47" s="4102"/>
      <c r="I47" s="4102"/>
      <c r="J47" s="4102"/>
      <c r="K47" s="4102"/>
      <c r="L47" s="4102"/>
      <c r="M47" s="4102"/>
      <c r="N47" s="4102"/>
      <c r="O47" s="4102"/>
      <c r="P47" s="4102"/>
    </row>
    <row r="48" spans="2:16">
      <c r="B48" s="4102"/>
      <c r="C48" s="4102" t="s">
        <v>7509</v>
      </c>
      <c r="D48" s="4102"/>
      <c r="E48" s="4102"/>
      <c r="F48" s="4102"/>
      <c r="G48" s="4102"/>
      <c r="H48" s="4102"/>
      <c r="I48" s="4102"/>
      <c r="J48" s="4102"/>
      <c r="K48" s="4102"/>
      <c r="L48" s="4102"/>
      <c r="M48" s="4102"/>
      <c r="N48" s="4102"/>
      <c r="O48" s="4102"/>
      <c r="P48" s="4102"/>
    </row>
    <row r="49" spans="1:16">
      <c r="B49" s="4102"/>
      <c r="C49" s="4102" t="s">
        <v>7510</v>
      </c>
      <c r="D49" s="4102"/>
      <c r="E49" s="4102"/>
      <c r="F49" s="4102"/>
      <c r="G49" s="4102"/>
      <c r="H49" s="4102"/>
      <c r="I49" s="4102"/>
      <c r="J49" s="4102"/>
      <c r="K49" s="4102"/>
      <c r="L49" s="4102"/>
      <c r="M49" s="4102"/>
      <c r="N49" s="4102"/>
      <c r="O49" s="4102"/>
      <c r="P49" s="4102"/>
    </row>
    <row r="50" spans="1:16">
      <c r="B50" s="4102"/>
      <c r="C50" s="4102"/>
      <c r="D50" s="4102"/>
      <c r="E50" s="4102"/>
      <c r="F50" s="4102"/>
      <c r="G50" s="4102"/>
      <c r="H50" s="4102"/>
      <c r="I50" s="4102"/>
      <c r="J50" s="4102"/>
      <c r="K50" s="4102"/>
      <c r="L50" s="4102"/>
      <c r="M50" s="4102"/>
      <c r="N50" s="4102"/>
      <c r="O50" s="4102"/>
      <c r="P50" s="4102"/>
    </row>
    <row r="51" spans="1:16">
      <c r="B51" s="4102"/>
      <c r="C51" s="4116" t="s">
        <v>7511</v>
      </c>
      <c r="D51" s="4102"/>
      <c r="E51" s="4102"/>
      <c r="F51" s="4102"/>
      <c r="G51" s="4102"/>
      <c r="H51" s="4102"/>
      <c r="I51" s="4102"/>
      <c r="J51" s="4102"/>
      <c r="K51" s="4102"/>
      <c r="L51" s="4102"/>
      <c r="M51" s="4102"/>
      <c r="N51" s="4102"/>
      <c r="O51" s="4102"/>
      <c r="P51" s="4102"/>
    </row>
    <row r="52" spans="1:16">
      <c r="B52" s="4102"/>
      <c r="C52" s="4116" t="s">
        <v>7512</v>
      </c>
      <c r="D52" s="4102"/>
      <c r="E52" s="4102"/>
      <c r="F52" s="4102"/>
      <c r="G52" s="4102"/>
      <c r="H52" s="4102"/>
      <c r="I52" s="4102"/>
      <c r="J52" s="4102"/>
      <c r="K52" s="4102"/>
      <c r="L52" s="4102"/>
      <c r="M52" s="4102"/>
      <c r="N52" s="4102"/>
      <c r="O52" s="4102"/>
      <c r="P52" s="4102"/>
    </row>
    <row r="53" spans="1:16">
      <c r="B53" s="4102"/>
      <c r="C53" s="4116" t="s">
        <v>7513</v>
      </c>
      <c r="D53" s="4102"/>
      <c r="E53" s="4102"/>
      <c r="F53" s="4102"/>
      <c r="G53" s="4102"/>
      <c r="H53" s="4102"/>
      <c r="I53" s="4102"/>
      <c r="J53" s="4102"/>
      <c r="K53" s="4102"/>
      <c r="L53" s="4102"/>
      <c r="M53" s="4102"/>
      <c r="N53" s="4102"/>
      <c r="O53" s="4102"/>
      <c r="P53" s="4102"/>
    </row>
    <row r="54" spans="1:16">
      <c r="B54" s="4102"/>
      <c r="C54" s="4116" t="s">
        <v>7514</v>
      </c>
      <c r="D54" s="4102"/>
      <c r="E54" s="4102"/>
      <c r="F54" s="4102"/>
      <c r="G54" s="4102"/>
      <c r="H54" s="4102"/>
      <c r="I54" s="4102"/>
      <c r="J54" s="4102"/>
      <c r="K54" s="4102"/>
      <c r="L54" s="4102"/>
      <c r="M54" s="4102"/>
      <c r="N54" s="4102"/>
      <c r="O54" s="4102"/>
      <c r="P54" s="4102"/>
    </row>
    <row r="55" spans="1:16">
      <c r="B55" s="4102"/>
      <c r="C55" s="4102"/>
      <c r="D55" s="4102"/>
      <c r="E55" s="4102"/>
      <c r="F55" s="4102"/>
      <c r="G55" s="4102"/>
      <c r="H55" s="4102"/>
      <c r="I55" s="4102"/>
      <c r="J55" s="4102"/>
      <c r="K55" s="4102"/>
      <c r="L55" s="4102"/>
      <c r="M55" s="4102"/>
      <c r="N55" s="4102"/>
      <c r="O55" s="4102"/>
      <c r="P55" s="4102"/>
    </row>
    <row r="56" spans="1:16">
      <c r="B56" s="4102"/>
      <c r="C56" s="4116" t="s">
        <v>7515</v>
      </c>
      <c r="D56" s="4102"/>
      <c r="E56" s="4102"/>
      <c r="F56" s="4102"/>
      <c r="G56" s="4102"/>
      <c r="H56" s="4102"/>
      <c r="I56" s="4102"/>
      <c r="J56" s="4102"/>
      <c r="K56" s="4102"/>
      <c r="L56" s="4102"/>
      <c r="M56" s="4102"/>
      <c r="N56" s="4102"/>
      <c r="O56" s="4102"/>
      <c r="P56" s="4102"/>
    </row>
    <row r="57" spans="1:16">
      <c r="B57" s="4102"/>
      <c r="C57" s="4116" t="s">
        <v>7516</v>
      </c>
      <c r="D57" s="4102"/>
      <c r="E57" s="4102"/>
      <c r="F57" s="4102"/>
      <c r="G57" s="4102"/>
      <c r="H57" s="4102"/>
      <c r="I57" s="4102"/>
      <c r="J57" s="4102"/>
      <c r="K57" s="4102"/>
      <c r="L57" s="4102"/>
      <c r="M57" s="4102"/>
      <c r="N57" s="4102"/>
      <c r="O57" s="4102"/>
      <c r="P57" s="4102"/>
    </row>
    <row r="58" spans="1:16">
      <c r="B58" s="4102"/>
      <c r="C58" s="4116" t="s">
        <v>7517</v>
      </c>
      <c r="D58" s="4102"/>
      <c r="E58" s="4102"/>
      <c r="F58" s="4102"/>
      <c r="G58" s="4102"/>
      <c r="H58" s="4102"/>
      <c r="I58" s="4102"/>
      <c r="J58" s="4102"/>
      <c r="K58" s="4102"/>
      <c r="L58" s="4102"/>
      <c r="M58" s="4102"/>
      <c r="N58" s="4102"/>
      <c r="O58" s="4102"/>
      <c r="P58" s="4102"/>
    </row>
    <row r="59" spans="1:16">
      <c r="B59" s="4102"/>
      <c r="C59" s="4102"/>
      <c r="D59" s="4102"/>
      <c r="E59" s="4102"/>
      <c r="F59" s="4102"/>
      <c r="G59" s="4102"/>
      <c r="H59" s="4102"/>
      <c r="I59" s="4102"/>
      <c r="J59" s="4102"/>
      <c r="K59" s="4102"/>
      <c r="L59" s="4102"/>
      <c r="M59" s="4102"/>
      <c r="N59" s="4102"/>
      <c r="O59" s="4102"/>
      <c r="P59" s="4102"/>
    </row>
    <row r="60" spans="1:16">
      <c r="A60" s="4117"/>
      <c r="B60" s="4117"/>
      <c r="C60" s="4117"/>
      <c r="D60" s="4117"/>
      <c r="E60" s="4117"/>
      <c r="F60" s="4117"/>
      <c r="G60" s="4117"/>
      <c r="H60" s="4117"/>
      <c r="I60" s="4117"/>
      <c r="J60" s="4117"/>
      <c r="K60" s="4117"/>
      <c r="L60" s="4117"/>
      <c r="M60" s="4117"/>
      <c r="N60" s="4117"/>
      <c r="O60" s="4117"/>
      <c r="P60" s="4117"/>
    </row>
    <row r="61" spans="1:16">
      <c r="B61" s="4102"/>
      <c r="C61" s="4102"/>
      <c r="D61" s="4102"/>
      <c r="E61" s="4102"/>
      <c r="F61" s="4102"/>
      <c r="G61" s="4102"/>
      <c r="H61" s="4102"/>
      <c r="I61" s="4102"/>
      <c r="J61" s="4102"/>
      <c r="K61" s="4102"/>
      <c r="L61" s="4102"/>
      <c r="M61" s="4102"/>
      <c r="N61" s="4102"/>
      <c r="O61" s="4102"/>
      <c r="P61" s="4102"/>
    </row>
    <row r="62" spans="1:16">
      <c r="B62" s="4113" t="s">
        <v>723</v>
      </c>
      <c r="C62" s="4114" t="s">
        <v>7518</v>
      </c>
      <c r="D62" s="4102"/>
      <c r="E62" s="4102"/>
      <c r="F62" s="4102"/>
      <c r="G62" s="4102"/>
      <c r="H62" s="4102"/>
      <c r="I62" s="4102"/>
      <c r="J62" s="4102"/>
      <c r="K62" s="4102"/>
      <c r="L62" s="4102"/>
      <c r="M62" s="4102"/>
      <c r="N62" s="4102"/>
      <c r="O62" s="4102"/>
      <c r="P62" s="4102"/>
    </row>
    <row r="63" spans="1:16">
      <c r="B63" s="4102"/>
      <c r="C63" s="4102"/>
      <c r="D63" s="4102"/>
      <c r="E63" s="4102"/>
      <c r="F63" s="4102"/>
      <c r="G63" s="4102"/>
      <c r="H63" s="4102"/>
      <c r="I63" s="4102"/>
      <c r="J63" s="4102"/>
      <c r="K63" s="4102"/>
      <c r="L63" s="4102"/>
      <c r="M63" s="4102"/>
      <c r="N63" s="4102"/>
      <c r="O63" s="4102"/>
      <c r="P63" s="4102"/>
    </row>
    <row r="64" spans="1:16">
      <c r="B64" s="4102"/>
      <c r="C64" s="4102" t="s">
        <v>7519</v>
      </c>
      <c r="D64" s="4102"/>
      <c r="E64" s="4102"/>
      <c r="F64" s="4102"/>
      <c r="G64" s="4102"/>
      <c r="H64" s="4102"/>
      <c r="I64" s="4102"/>
      <c r="J64" s="4102"/>
      <c r="K64" s="4102"/>
      <c r="L64" s="4102"/>
      <c r="M64" s="4102"/>
      <c r="N64" s="4102"/>
      <c r="O64" s="4102"/>
      <c r="P64" s="4102"/>
    </row>
    <row r="65" spans="2:16">
      <c r="B65" s="4102"/>
      <c r="C65" s="4102" t="s">
        <v>7520</v>
      </c>
      <c r="D65" s="4102"/>
      <c r="E65" s="4102"/>
      <c r="F65" s="4102"/>
      <c r="G65" s="4102"/>
      <c r="H65" s="4102"/>
      <c r="I65" s="4102"/>
      <c r="J65" s="4102"/>
      <c r="K65" s="4102"/>
      <c r="L65" s="4102"/>
      <c r="M65" s="4102"/>
      <c r="N65" s="4102"/>
      <c r="O65" s="4102"/>
      <c r="P65" s="4102"/>
    </row>
    <row r="66" spans="2:16">
      <c r="B66" s="4102"/>
      <c r="C66" s="4102"/>
      <c r="D66" s="4102"/>
      <c r="E66" s="4102"/>
      <c r="F66" s="4102"/>
      <c r="G66" s="4102"/>
      <c r="H66" s="4102"/>
      <c r="I66" s="4102"/>
      <c r="J66" s="4102"/>
      <c r="K66" s="4102"/>
      <c r="L66" s="4102"/>
      <c r="M66" s="4102"/>
      <c r="N66" s="4102"/>
      <c r="O66" s="4102"/>
      <c r="P66" s="4102"/>
    </row>
    <row r="67" spans="2:16">
      <c r="B67" s="4102"/>
      <c r="C67" s="4102" t="s">
        <v>7521</v>
      </c>
      <c r="D67" s="4102"/>
      <c r="E67" s="4102"/>
      <c r="F67" s="4102"/>
      <c r="G67" s="4102"/>
      <c r="H67" s="4102"/>
      <c r="I67" s="4102"/>
      <c r="J67" s="4102"/>
      <c r="K67" s="4102"/>
      <c r="L67" s="4102"/>
      <c r="M67" s="4102"/>
      <c r="N67" s="4102"/>
      <c r="O67" s="4102"/>
      <c r="P67" s="4102"/>
    </row>
    <row r="68" spans="2:16">
      <c r="B68" s="4102"/>
      <c r="C68" s="4102" t="s">
        <v>7522</v>
      </c>
      <c r="D68" s="4102"/>
      <c r="E68" s="4102"/>
      <c r="F68" s="4102"/>
      <c r="G68" s="4102"/>
      <c r="H68" s="4102"/>
      <c r="I68" s="4102"/>
      <c r="J68" s="4102"/>
      <c r="K68" s="4102"/>
      <c r="L68" s="4102"/>
      <c r="M68" s="4102"/>
      <c r="N68" s="4102"/>
      <c r="O68" s="4102"/>
      <c r="P68" s="4102"/>
    </row>
    <row r="69" spans="2:16">
      <c r="B69" s="4102"/>
      <c r="C69" s="4102" t="s">
        <v>7523</v>
      </c>
      <c r="D69" s="4102"/>
      <c r="E69" s="4102"/>
      <c r="F69" s="4102"/>
      <c r="G69" s="4102"/>
      <c r="H69" s="4102"/>
      <c r="I69" s="4102"/>
      <c r="J69" s="4102"/>
      <c r="K69" s="4102"/>
      <c r="L69" s="4102"/>
      <c r="M69" s="4102"/>
      <c r="N69" s="4102"/>
      <c r="O69" s="4102"/>
      <c r="P69" s="4102"/>
    </row>
    <row r="70" spans="2:16">
      <c r="B70" s="4102"/>
      <c r="C70" s="4102" t="s">
        <v>7524</v>
      </c>
      <c r="D70" s="4102"/>
      <c r="E70" s="4102"/>
      <c r="F70" s="4102"/>
      <c r="G70" s="4102"/>
      <c r="H70" s="4102"/>
      <c r="I70" s="4102"/>
      <c r="J70" s="4102"/>
      <c r="K70" s="4102"/>
      <c r="L70" s="4102"/>
      <c r="M70" s="4102"/>
      <c r="N70" s="4102"/>
      <c r="O70" s="4102"/>
      <c r="P70" s="4102"/>
    </row>
    <row r="71" spans="2:16">
      <c r="B71" s="4102"/>
      <c r="C71" s="4102" t="s">
        <v>7525</v>
      </c>
      <c r="D71" s="4102"/>
      <c r="E71" s="4102"/>
      <c r="F71" s="4102"/>
      <c r="G71" s="4102"/>
      <c r="H71" s="4102"/>
      <c r="I71" s="4102"/>
      <c r="J71" s="4102"/>
      <c r="K71" s="4102"/>
      <c r="L71" s="4102"/>
      <c r="M71" s="4102"/>
      <c r="N71" s="4102"/>
      <c r="O71" s="4102"/>
      <c r="P71" s="4102"/>
    </row>
    <row r="72" spans="2:16">
      <c r="B72" s="4102"/>
      <c r="C72" s="4102" t="s">
        <v>7526</v>
      </c>
      <c r="D72" s="4102"/>
      <c r="E72" s="4102"/>
      <c r="F72" s="4102"/>
      <c r="G72" s="4102"/>
      <c r="H72" s="4102"/>
      <c r="I72" s="4102"/>
      <c r="J72" s="4102"/>
      <c r="K72" s="4102"/>
      <c r="L72" s="4102"/>
      <c r="M72" s="4102"/>
      <c r="N72" s="4102"/>
      <c r="O72" s="4102"/>
      <c r="P72" s="4102"/>
    </row>
    <row r="73" spans="2:16">
      <c r="B73" s="4102"/>
      <c r="C73" s="4102" t="s">
        <v>7527</v>
      </c>
      <c r="D73" s="4102"/>
      <c r="E73" s="4102"/>
      <c r="F73" s="4102"/>
      <c r="G73" s="4102"/>
      <c r="H73" s="4102"/>
      <c r="I73" s="4102"/>
      <c r="J73" s="4102"/>
      <c r="K73" s="4102"/>
      <c r="L73" s="4102"/>
      <c r="M73" s="4102"/>
      <c r="N73" s="4102"/>
      <c r="O73" s="4102"/>
      <c r="P73" s="4102"/>
    </row>
    <row r="74" spans="2:16">
      <c r="B74" s="4102"/>
      <c r="C74" s="4102" t="s">
        <v>7528</v>
      </c>
      <c r="D74" s="4102"/>
      <c r="E74" s="4102"/>
      <c r="F74" s="4102"/>
      <c r="G74" s="4102"/>
      <c r="H74" s="4102"/>
      <c r="I74" s="4102"/>
      <c r="J74" s="4102"/>
      <c r="K74" s="4102"/>
      <c r="L74" s="4102"/>
      <c r="M74" s="4102"/>
      <c r="N74" s="4102"/>
      <c r="O74" s="4102"/>
      <c r="P74" s="4102"/>
    </row>
    <row r="75" spans="2:16">
      <c r="B75" s="4102"/>
      <c r="C75" s="4102" t="s">
        <v>7529</v>
      </c>
      <c r="D75" s="4102"/>
      <c r="E75" s="4102"/>
      <c r="F75" s="4102"/>
      <c r="G75" s="4102"/>
      <c r="H75" s="4102"/>
      <c r="I75" s="4102"/>
      <c r="J75" s="4102"/>
      <c r="K75" s="4102"/>
      <c r="L75" s="4102"/>
      <c r="M75" s="4102"/>
      <c r="N75" s="4102"/>
      <c r="O75" s="4102"/>
      <c r="P75" s="4102"/>
    </row>
    <row r="76" spans="2:16">
      <c r="B76" s="4102"/>
      <c r="C76" s="4102" t="s">
        <v>7530</v>
      </c>
      <c r="D76" s="4102"/>
      <c r="E76" s="4102"/>
      <c r="F76" s="4102"/>
      <c r="G76" s="4102"/>
      <c r="H76" s="4102"/>
      <c r="I76" s="4102"/>
      <c r="J76" s="4102"/>
      <c r="K76" s="4102"/>
      <c r="L76" s="4102"/>
      <c r="M76" s="4102"/>
      <c r="N76" s="4102"/>
      <c r="O76" s="4102"/>
      <c r="P76" s="4102"/>
    </row>
    <row r="77" spans="2:16">
      <c r="B77" s="4102"/>
      <c r="C77" s="4102" t="s">
        <v>7531</v>
      </c>
      <c r="D77" s="4102"/>
      <c r="E77" s="4102"/>
      <c r="F77" s="4102"/>
      <c r="G77" s="4102"/>
      <c r="H77" s="4102"/>
      <c r="I77" s="4102"/>
      <c r="J77" s="4102"/>
      <c r="K77" s="4102"/>
      <c r="L77" s="4102"/>
      <c r="M77" s="4102"/>
      <c r="N77" s="4102"/>
      <c r="O77" s="4102"/>
      <c r="P77" s="4102"/>
    </row>
    <row r="78" spans="2:16">
      <c r="B78" s="4102"/>
      <c r="C78" s="4102" t="s">
        <v>7532</v>
      </c>
      <c r="D78" s="4102"/>
      <c r="E78" s="4102"/>
      <c r="F78" s="4102"/>
      <c r="G78" s="4102"/>
      <c r="H78" s="4102"/>
      <c r="I78" s="4102"/>
      <c r="J78" s="4102"/>
      <c r="K78" s="4102"/>
      <c r="L78" s="4102"/>
      <c r="M78" s="4102"/>
      <c r="N78" s="4102"/>
      <c r="O78" s="4102"/>
      <c r="P78" s="4102"/>
    </row>
    <row r="79" spans="2:16">
      <c r="B79" s="4102"/>
      <c r="C79" s="4102" t="s">
        <v>7533</v>
      </c>
      <c r="D79" s="4102"/>
      <c r="E79" s="4102"/>
      <c r="F79" s="4102"/>
      <c r="G79" s="4102"/>
      <c r="H79" s="4102"/>
      <c r="I79" s="4102"/>
      <c r="J79" s="4102"/>
      <c r="K79" s="4102"/>
      <c r="L79" s="4102"/>
      <c r="M79" s="4102"/>
      <c r="N79" s="4102"/>
      <c r="O79" s="4102"/>
      <c r="P79" s="4102"/>
    </row>
    <row r="80" spans="2:16">
      <c r="B80" s="4102"/>
      <c r="C80" s="4102" t="s">
        <v>7534</v>
      </c>
      <c r="D80" s="4102"/>
      <c r="E80" s="4102"/>
      <c r="F80" s="4102"/>
      <c r="G80" s="4102"/>
      <c r="H80" s="4102"/>
      <c r="I80" s="4102"/>
      <c r="J80" s="4102"/>
      <c r="K80" s="4102"/>
      <c r="L80" s="4102"/>
      <c r="M80" s="4102"/>
      <c r="N80" s="4102"/>
      <c r="O80" s="4102"/>
      <c r="P80" s="4102"/>
    </row>
    <row r="81" spans="2:16">
      <c r="B81" s="4102"/>
      <c r="C81" s="4102"/>
      <c r="D81" s="4102"/>
      <c r="E81" s="4102"/>
      <c r="F81" s="4102"/>
      <c r="G81" s="4102"/>
      <c r="H81" s="4102"/>
      <c r="I81" s="4102"/>
      <c r="J81" s="4102"/>
      <c r="K81" s="4102"/>
      <c r="L81" s="4102"/>
      <c r="M81" s="4102"/>
      <c r="N81" s="4102"/>
      <c r="O81" s="4102"/>
      <c r="P81" s="4102"/>
    </row>
    <row r="82" spans="2:16">
      <c r="B82" s="4102"/>
      <c r="C82" s="4102" t="s">
        <v>7535</v>
      </c>
      <c r="D82" s="4102"/>
      <c r="E82" s="4102"/>
      <c r="F82" s="4102"/>
      <c r="G82" s="4102"/>
      <c r="H82" s="4102"/>
      <c r="I82" s="4102"/>
      <c r="J82" s="4102"/>
      <c r="K82" s="4102"/>
      <c r="L82" s="4102"/>
      <c r="M82" s="4102"/>
      <c r="N82" s="4102"/>
      <c r="O82" s="4102"/>
      <c r="P82" s="4102"/>
    </row>
    <row r="83" spans="2:16">
      <c r="B83" s="4102"/>
      <c r="C83" s="4102" t="s">
        <v>7536</v>
      </c>
      <c r="D83" s="4102"/>
      <c r="E83" s="4102"/>
      <c r="F83" s="4102"/>
      <c r="G83" s="4102"/>
      <c r="H83" s="4102"/>
      <c r="I83" s="4102"/>
      <c r="J83" s="4102"/>
      <c r="K83" s="4102"/>
      <c r="L83" s="4102"/>
      <c r="M83" s="4102"/>
      <c r="N83" s="4102"/>
      <c r="O83" s="4102"/>
      <c r="P83" s="4102"/>
    </row>
    <row r="84" spans="2:16">
      <c r="B84" s="4102"/>
      <c r="C84" s="4102"/>
      <c r="D84" s="4102"/>
      <c r="E84" s="4102"/>
      <c r="F84" s="4102"/>
      <c r="G84" s="4102"/>
      <c r="H84" s="4102"/>
      <c r="I84" s="4102"/>
      <c r="J84" s="4102"/>
      <c r="K84" s="4102"/>
      <c r="L84" s="4102"/>
      <c r="M84" s="4102"/>
      <c r="N84" s="4102"/>
      <c r="O84" s="4102"/>
      <c r="P84" s="4102"/>
    </row>
    <row r="85" spans="2:16">
      <c r="B85" s="4102"/>
      <c r="C85" s="4102"/>
      <c r="D85" s="4102"/>
      <c r="E85" s="4102"/>
      <c r="F85" s="4102"/>
      <c r="G85" s="4102"/>
      <c r="H85" s="4102"/>
      <c r="I85" s="4102"/>
      <c r="J85" s="4102"/>
      <c r="K85" s="4102"/>
      <c r="L85" s="4102"/>
      <c r="M85" s="4102"/>
      <c r="N85" s="4102"/>
      <c r="O85" s="4102"/>
      <c r="P85" s="4102"/>
    </row>
    <row r="86" spans="2:16" ht="18.75">
      <c r="B86" s="4101" t="s">
        <v>7537</v>
      </c>
      <c r="C86" s="4102"/>
      <c r="D86" s="4102"/>
      <c r="E86" s="4102"/>
      <c r="F86" s="4102"/>
      <c r="G86" s="4102"/>
      <c r="H86" s="4102"/>
      <c r="I86" s="4102"/>
      <c r="J86" s="4102"/>
      <c r="K86" s="4102"/>
      <c r="L86" s="4102"/>
      <c r="M86" s="4102"/>
      <c r="N86" s="4102"/>
      <c r="O86" s="4102"/>
      <c r="P86" s="4102"/>
    </row>
    <row r="87" spans="2:16">
      <c r="B87" s="4113" t="s">
        <v>723</v>
      </c>
      <c r="C87" s="4114" t="s">
        <v>7538</v>
      </c>
      <c r="D87" s="4102"/>
      <c r="E87" s="4102"/>
      <c r="F87" s="4102"/>
      <c r="G87" s="4102"/>
      <c r="H87" s="4102"/>
      <c r="I87" s="4102"/>
      <c r="J87" s="4102"/>
      <c r="K87" s="4102"/>
      <c r="L87" s="4102"/>
      <c r="M87" s="4102"/>
      <c r="N87" s="4102"/>
      <c r="O87" s="4102"/>
      <c r="P87" s="4102"/>
    </row>
    <row r="88" spans="2:16">
      <c r="B88" s="4102"/>
      <c r="C88" s="4102"/>
      <c r="D88" s="4102"/>
      <c r="E88" s="4102"/>
      <c r="F88" s="4102"/>
      <c r="G88" s="4102"/>
      <c r="H88" s="4102"/>
      <c r="I88" s="4102"/>
      <c r="J88" s="4102"/>
      <c r="K88" s="4102"/>
      <c r="L88" s="4102"/>
      <c r="M88" s="4102"/>
      <c r="N88" s="4102"/>
      <c r="O88" s="4102"/>
      <c r="P88" s="4102"/>
    </row>
    <row r="89" spans="2:16" ht="18.75">
      <c r="B89" s="4113" t="s">
        <v>723</v>
      </c>
      <c r="C89" s="4118" t="s">
        <v>2042</v>
      </c>
      <c r="D89" s="4102"/>
      <c r="E89" s="4102"/>
      <c r="F89" s="4102"/>
      <c r="G89" s="4102"/>
      <c r="H89" s="4102"/>
      <c r="I89" s="4102"/>
      <c r="J89" s="4102"/>
      <c r="K89" s="4102"/>
      <c r="L89" s="4102"/>
      <c r="M89" s="4102"/>
      <c r="N89" s="4102"/>
      <c r="O89" s="4102"/>
      <c r="P89" s="4102"/>
    </row>
    <row r="90" spans="2:16">
      <c r="B90" s="4102"/>
      <c r="C90" s="4102"/>
      <c r="D90" s="4102"/>
      <c r="E90" s="4102"/>
      <c r="F90" s="4102"/>
      <c r="G90" s="4102"/>
      <c r="H90" s="4102"/>
      <c r="I90" s="4102"/>
      <c r="J90" s="4102"/>
      <c r="K90" s="4102"/>
      <c r="L90" s="4102"/>
      <c r="M90" s="4102"/>
      <c r="N90" s="4102"/>
      <c r="O90" s="4102"/>
      <c r="P90" s="4102"/>
    </row>
    <row r="91" spans="2:16" ht="18.75">
      <c r="B91" s="4101" t="s">
        <v>7539</v>
      </c>
      <c r="C91" s="4102"/>
      <c r="D91" s="4102"/>
      <c r="E91" s="4102"/>
      <c r="F91" s="4102"/>
      <c r="G91" s="4102"/>
      <c r="H91" s="4102"/>
      <c r="I91" s="4102"/>
      <c r="J91" s="4102"/>
      <c r="K91" s="4102"/>
      <c r="L91" s="4102"/>
      <c r="M91" s="4102"/>
      <c r="N91" s="4102"/>
      <c r="O91" s="4102"/>
      <c r="P91" s="4102"/>
    </row>
    <row r="92" spans="2:16">
      <c r="B92" s="4113" t="s">
        <v>723</v>
      </c>
      <c r="C92" s="4114" t="s">
        <v>7540</v>
      </c>
      <c r="D92" s="4102"/>
      <c r="E92" s="4102"/>
      <c r="F92" s="4102"/>
      <c r="G92" s="4102"/>
      <c r="H92" s="4102"/>
      <c r="I92" s="4102"/>
      <c r="J92" s="4102"/>
      <c r="K92" s="4102"/>
      <c r="L92" s="4102"/>
      <c r="M92" s="4102"/>
      <c r="N92" s="4102"/>
      <c r="O92" s="4102"/>
      <c r="P92" s="4102"/>
    </row>
    <row r="93" spans="2:16">
      <c r="B93" s="4102"/>
      <c r="C93" s="4102"/>
      <c r="D93" s="4102"/>
      <c r="E93" s="4102"/>
      <c r="F93" s="4102"/>
      <c r="G93" s="4102"/>
      <c r="H93" s="4102"/>
      <c r="I93" s="4102"/>
      <c r="J93" s="4102"/>
      <c r="K93" s="4102"/>
      <c r="L93" s="4102"/>
      <c r="M93" s="4102"/>
      <c r="N93" s="4102"/>
      <c r="O93" s="4102"/>
      <c r="P93" s="4102"/>
    </row>
    <row r="94" spans="2:16" ht="18.75">
      <c r="B94" s="4101" t="s">
        <v>7541</v>
      </c>
      <c r="C94" s="4102"/>
      <c r="D94" s="4102"/>
      <c r="E94" s="4102"/>
      <c r="F94" s="4102"/>
      <c r="G94" s="4102"/>
      <c r="H94" s="4102"/>
      <c r="I94" s="4102"/>
      <c r="J94" s="4102"/>
      <c r="K94" s="4102"/>
      <c r="L94" s="4102"/>
      <c r="M94" s="4102"/>
      <c r="N94" s="4102"/>
      <c r="O94" s="4102"/>
      <c r="P94" s="4102"/>
    </row>
    <row r="95" spans="2:16">
      <c r="B95" s="4113" t="s">
        <v>723</v>
      </c>
      <c r="C95" s="4114" t="s">
        <v>7542</v>
      </c>
      <c r="D95" s="4102"/>
      <c r="E95" s="4102"/>
      <c r="F95" s="4102"/>
      <c r="G95" s="4102"/>
      <c r="H95" s="4102"/>
      <c r="I95" s="4102"/>
      <c r="J95" s="4102"/>
      <c r="K95" s="4102"/>
      <c r="L95" s="4102"/>
      <c r="M95" s="4102"/>
      <c r="N95" s="4102"/>
      <c r="O95" s="4102"/>
      <c r="P95" s="4102"/>
    </row>
    <row r="96" spans="2:16">
      <c r="B96" s="4102"/>
      <c r="C96" s="4102"/>
      <c r="D96" s="4102"/>
      <c r="E96" s="4102"/>
      <c r="F96" s="4102"/>
      <c r="G96" s="4102"/>
      <c r="H96" s="4102"/>
      <c r="I96" s="4102"/>
      <c r="J96" s="4102"/>
      <c r="K96" s="4102"/>
      <c r="L96" s="4102"/>
      <c r="M96" s="4102"/>
      <c r="N96" s="4102"/>
      <c r="O96" s="4102"/>
      <c r="P96" s="4102"/>
    </row>
    <row r="97" spans="1:16" ht="18.75">
      <c r="B97" s="4101" t="s">
        <v>7543</v>
      </c>
      <c r="C97" s="4102"/>
      <c r="D97" s="4102"/>
      <c r="E97" s="4102"/>
      <c r="F97" s="4102"/>
      <c r="G97" s="4102"/>
      <c r="H97" s="4102"/>
      <c r="I97" s="4102"/>
      <c r="J97" s="4102"/>
      <c r="K97" s="4102"/>
      <c r="L97" s="4102"/>
      <c r="M97" s="4102"/>
      <c r="N97" s="4114"/>
      <c r="O97" s="4102"/>
      <c r="P97" s="4102"/>
    </row>
    <row r="98" spans="1:16">
      <c r="B98" s="4113" t="s">
        <v>723</v>
      </c>
      <c r="C98" s="4114" t="s">
        <v>7544</v>
      </c>
      <c r="D98" s="4102"/>
      <c r="E98" s="4102"/>
      <c r="F98" s="4102"/>
      <c r="G98" s="4102"/>
      <c r="H98" s="4102"/>
      <c r="I98" s="4102"/>
      <c r="J98" s="4102"/>
      <c r="K98" s="4102"/>
      <c r="L98" s="4102"/>
      <c r="M98" s="4102"/>
      <c r="N98" s="4114"/>
      <c r="O98" s="4102"/>
      <c r="P98" s="4102"/>
    </row>
    <row r="99" spans="1:16">
      <c r="B99" s="4102"/>
      <c r="C99" s="4102"/>
      <c r="D99" s="4102"/>
      <c r="E99" s="4102"/>
      <c r="F99" s="4102"/>
      <c r="G99" s="4102"/>
      <c r="H99" s="4102"/>
      <c r="I99" s="4102"/>
      <c r="J99" s="4102"/>
      <c r="K99" s="4102"/>
      <c r="L99" s="4102"/>
      <c r="M99" s="4102"/>
      <c r="N99" s="4114"/>
      <c r="O99" s="4102"/>
      <c r="P99" s="4102"/>
    </row>
    <row r="100" spans="1:16" ht="18.75">
      <c r="B100" s="4101" t="s">
        <v>7539</v>
      </c>
      <c r="C100" s="4114"/>
      <c r="D100" s="4102"/>
      <c r="E100" s="4102"/>
      <c r="F100" s="4102"/>
      <c r="G100" s="4102"/>
      <c r="H100" s="4102"/>
      <c r="I100" s="4102"/>
      <c r="J100" s="4102"/>
      <c r="K100" s="4102"/>
      <c r="L100" s="4102"/>
      <c r="M100" s="4119"/>
      <c r="N100" s="4120"/>
      <c r="O100" s="4102"/>
      <c r="P100" s="4102"/>
    </row>
    <row r="101" spans="1:16">
      <c r="B101" s="4113" t="s">
        <v>723</v>
      </c>
      <c r="C101" s="4114" t="s">
        <v>7540</v>
      </c>
      <c r="D101" s="4102"/>
      <c r="E101" s="4102"/>
      <c r="F101" s="4102"/>
      <c r="G101" s="4102"/>
      <c r="H101" s="4102"/>
      <c r="I101" s="4102"/>
      <c r="J101" s="4102"/>
      <c r="K101" s="4102"/>
      <c r="L101" s="4102"/>
      <c r="M101" s="4119"/>
      <c r="N101" s="4119"/>
      <c r="O101" s="4119"/>
      <c r="P101" s="4119"/>
    </row>
    <row r="102" spans="1:16">
      <c r="B102" s="4102"/>
      <c r="C102" s="4102"/>
      <c r="D102" s="4102"/>
      <c r="E102" s="4102"/>
      <c r="F102" s="4102"/>
      <c r="G102" s="4102"/>
      <c r="H102" s="4102"/>
      <c r="I102" s="4102"/>
      <c r="J102" s="4102"/>
      <c r="K102" s="4102"/>
      <c r="L102" s="4102"/>
      <c r="M102" s="4102"/>
      <c r="N102" s="4114"/>
      <c r="O102" s="4102"/>
      <c r="P102" s="4102"/>
    </row>
    <row r="103" spans="1:16" ht="18.75">
      <c r="B103" s="4113" t="s">
        <v>723</v>
      </c>
      <c r="C103" s="4118" t="s">
        <v>2244</v>
      </c>
      <c r="D103" s="4102"/>
      <c r="E103" s="4102"/>
      <c r="F103" s="4102"/>
      <c r="G103" s="4102"/>
      <c r="H103" s="4102"/>
      <c r="I103" s="4102"/>
      <c r="J103" s="4102"/>
      <c r="K103" s="4102"/>
      <c r="L103" s="4102"/>
      <c r="M103" s="4102"/>
      <c r="N103" s="4102"/>
      <c r="O103" s="4102"/>
      <c r="P103" s="4102"/>
    </row>
    <row r="104" spans="1:16">
      <c r="B104" s="4102"/>
      <c r="C104" s="4102"/>
      <c r="D104" s="4102"/>
      <c r="E104" s="4102"/>
      <c r="F104" s="4102"/>
      <c r="G104" s="4102"/>
      <c r="H104" s="4102"/>
      <c r="I104" s="4102"/>
      <c r="J104" s="4102"/>
      <c r="K104" s="4102"/>
      <c r="L104" s="4102"/>
      <c r="M104" s="4102"/>
      <c r="N104" s="4114"/>
      <c r="O104" s="4102"/>
      <c r="P104" s="4102"/>
    </row>
    <row r="105" spans="1:16" ht="18.75">
      <c r="B105" s="4113" t="s">
        <v>723</v>
      </c>
      <c r="C105" s="4118" t="s">
        <v>7545</v>
      </c>
      <c r="D105" s="4102"/>
      <c r="E105" s="4102"/>
      <c r="F105" s="4102"/>
      <c r="G105" s="4102"/>
      <c r="H105" s="4102"/>
      <c r="I105" s="4102"/>
      <c r="J105" s="4102"/>
      <c r="K105" s="4102"/>
      <c r="L105" s="4102"/>
      <c r="M105" s="4102"/>
      <c r="N105" s="4102"/>
      <c r="O105" s="4102"/>
      <c r="P105" s="4102"/>
    </row>
    <row r="106" spans="1:16">
      <c r="B106" s="4102"/>
      <c r="C106" s="4102"/>
      <c r="D106" s="4102"/>
      <c r="E106" s="4102"/>
      <c r="F106" s="4102"/>
      <c r="G106" s="4102"/>
      <c r="H106" s="4102"/>
      <c r="I106" s="4102"/>
      <c r="J106" s="4102"/>
      <c r="K106" s="4102"/>
      <c r="L106" s="4102"/>
      <c r="M106" s="4102"/>
      <c r="N106" s="4102"/>
      <c r="O106" s="4102"/>
      <c r="P106" s="4102"/>
    </row>
    <row r="107" spans="1:16" s="2127" customFormat="1" ht="21.75" customHeight="1">
      <c r="A107" s="4106"/>
      <c r="B107" s="4113" t="s">
        <v>723</v>
      </c>
      <c r="C107" s="4118" t="s">
        <v>2246</v>
      </c>
      <c r="E107" s="2298"/>
      <c r="F107" s="2298"/>
      <c r="G107" s="2298"/>
      <c r="H107" s="2298"/>
      <c r="I107" s="2298"/>
      <c r="J107" s="2305"/>
      <c r="K107" s="2303"/>
      <c r="L107" s="2303"/>
      <c r="M107" s="2303"/>
      <c r="N107" s="4119"/>
      <c r="O107" s="4119"/>
      <c r="P107" s="4119"/>
    </row>
    <row r="108" spans="1:16">
      <c r="B108" s="4102"/>
      <c r="C108" s="4102"/>
      <c r="D108" s="4102"/>
      <c r="E108" s="4102"/>
      <c r="F108" s="4102"/>
      <c r="G108" s="4102"/>
      <c r="H108" s="4102"/>
      <c r="I108" s="4102"/>
      <c r="J108" s="4102"/>
      <c r="K108" s="4102"/>
      <c r="L108" s="4102"/>
      <c r="M108" s="4119"/>
      <c r="N108" s="4120"/>
      <c r="O108" s="4102"/>
      <c r="P108" s="4102"/>
    </row>
    <row r="109" spans="1:16" ht="18.75">
      <c r="B109" s="4101" t="s">
        <v>7546</v>
      </c>
      <c r="C109" s="4102"/>
      <c r="D109" s="4102"/>
      <c r="E109" s="4102"/>
      <c r="F109" s="4102"/>
      <c r="G109" s="4102"/>
      <c r="H109" s="4102"/>
      <c r="I109" s="4102"/>
      <c r="J109" s="4102"/>
      <c r="K109" s="4102"/>
      <c r="L109" s="4102"/>
      <c r="M109" s="4119"/>
      <c r="N109" s="4119"/>
      <c r="O109" s="4119"/>
      <c r="P109" s="4119"/>
    </row>
    <row r="110" spans="1:16">
      <c r="B110" s="4113" t="s">
        <v>723</v>
      </c>
      <c r="C110" s="4114" t="s">
        <v>7547</v>
      </c>
      <c r="D110" s="4102"/>
      <c r="E110" s="4102"/>
      <c r="F110" s="4102"/>
      <c r="G110" s="4102"/>
      <c r="H110" s="4102"/>
      <c r="I110" s="4102"/>
      <c r="J110" s="4102"/>
      <c r="K110" s="4102"/>
      <c r="L110" s="4102"/>
      <c r="M110" s="4119"/>
      <c r="N110" s="4119"/>
      <c r="O110" s="4119"/>
      <c r="P110" s="4119"/>
    </row>
    <row r="111" spans="1:16">
      <c r="B111" s="4102"/>
      <c r="C111" s="4102"/>
      <c r="D111" s="4102"/>
      <c r="E111" s="4102"/>
      <c r="F111" s="4102"/>
      <c r="G111" s="4102"/>
      <c r="H111" s="4102"/>
      <c r="I111" s="4102"/>
      <c r="J111" s="4102"/>
      <c r="K111" s="4102"/>
      <c r="L111" s="4102"/>
      <c r="M111" s="4119"/>
      <c r="N111" s="4119"/>
      <c r="O111" s="4119"/>
      <c r="P111" s="4119"/>
    </row>
    <row r="112" spans="1:16">
      <c r="A112" s="4117"/>
      <c r="B112" s="4117"/>
      <c r="C112" s="4117"/>
      <c r="D112" s="4117"/>
      <c r="E112" s="4117"/>
      <c r="F112" s="4117"/>
      <c r="G112" s="4117"/>
      <c r="H112" s="4117"/>
      <c r="I112" s="4117"/>
      <c r="J112" s="4117"/>
      <c r="K112" s="4117"/>
      <c r="L112" s="4117"/>
      <c r="M112" s="4121"/>
      <c r="N112" s="4121"/>
      <c r="O112" s="4121"/>
      <c r="P112" s="4121"/>
    </row>
    <row r="113" spans="1:16">
      <c r="B113" s="4102"/>
      <c r="C113" s="4102"/>
      <c r="D113" s="4102"/>
      <c r="E113" s="4102"/>
      <c r="F113" s="4102"/>
      <c r="G113" s="4102"/>
      <c r="H113" s="4102"/>
      <c r="I113" s="4102"/>
      <c r="J113" s="4102"/>
      <c r="K113" s="4102"/>
      <c r="L113" s="4102"/>
      <c r="M113" s="4119"/>
      <c r="N113" s="4119"/>
      <c r="O113" s="4119"/>
      <c r="P113" s="4119"/>
    </row>
    <row r="114" spans="1:16" ht="18.75">
      <c r="B114" s="4101" t="s">
        <v>7548</v>
      </c>
      <c r="C114" s="4102"/>
      <c r="D114" s="4102"/>
      <c r="E114" s="4102"/>
      <c r="F114" s="4102"/>
      <c r="G114" s="4102"/>
      <c r="H114" s="4102"/>
      <c r="I114" s="4102"/>
      <c r="J114" s="4102"/>
      <c r="K114" s="4102"/>
      <c r="L114" s="4102"/>
      <c r="M114" s="4102"/>
      <c r="N114" s="4102"/>
      <c r="O114" s="4102"/>
      <c r="P114" s="4102"/>
    </row>
    <row r="115" spans="1:16">
      <c r="B115" s="4113" t="s">
        <v>723</v>
      </c>
      <c r="C115" s="4114" t="s">
        <v>7549</v>
      </c>
      <c r="D115" s="4102"/>
      <c r="E115" s="4102"/>
      <c r="F115" s="4102"/>
      <c r="G115" s="4102"/>
      <c r="H115" s="4102"/>
      <c r="I115" s="4102"/>
      <c r="J115" s="4102"/>
      <c r="K115" s="4102"/>
      <c r="L115" s="4102"/>
      <c r="M115" s="4102"/>
      <c r="N115" s="4102"/>
      <c r="O115" s="4102"/>
      <c r="P115" s="4102"/>
    </row>
    <row r="116" spans="1:16">
      <c r="B116" s="4102"/>
      <c r="C116" s="4102"/>
      <c r="D116" s="4102"/>
      <c r="E116" s="4102"/>
      <c r="F116" s="4102"/>
      <c r="G116" s="4102"/>
      <c r="H116" s="4102"/>
      <c r="I116" s="4102"/>
      <c r="J116" s="4102"/>
      <c r="K116" s="4102"/>
      <c r="L116" s="4102"/>
      <c r="M116" s="4119"/>
      <c r="N116" s="4119"/>
      <c r="O116" s="4119"/>
      <c r="P116" s="4119"/>
    </row>
    <row r="117" spans="1:16" ht="18.75">
      <c r="B117" s="4101" t="s">
        <v>7550</v>
      </c>
      <c r="C117" s="4102"/>
      <c r="D117" s="4102"/>
      <c r="E117" s="4102"/>
      <c r="F117" s="4102"/>
      <c r="G117" s="4102"/>
      <c r="H117" s="4102"/>
      <c r="I117" s="4102"/>
      <c r="J117" s="4102"/>
      <c r="K117" s="4102"/>
      <c r="L117" s="4102"/>
      <c r="M117" s="4119"/>
      <c r="N117" s="4119"/>
      <c r="O117" s="4119"/>
      <c r="P117" s="4119"/>
    </row>
    <row r="118" spans="1:16">
      <c r="B118" s="4113" t="s">
        <v>723</v>
      </c>
      <c r="C118" s="4114" t="s">
        <v>7551</v>
      </c>
      <c r="D118" s="4102"/>
      <c r="E118" s="4102"/>
      <c r="F118" s="4102"/>
      <c r="G118" s="4102"/>
      <c r="H118" s="4102"/>
      <c r="I118" s="4102"/>
      <c r="J118" s="4102"/>
      <c r="K118" s="4102"/>
      <c r="L118" s="4102"/>
      <c r="M118" s="4119"/>
      <c r="N118" s="4119"/>
      <c r="O118" s="4119"/>
      <c r="P118" s="4119"/>
    </row>
    <row r="119" spans="1:16">
      <c r="A119" s="4114"/>
      <c r="B119" s="4114"/>
      <c r="C119" s="4114"/>
      <c r="D119" s="4102"/>
      <c r="E119" s="4102"/>
      <c r="F119" s="4102"/>
      <c r="G119" s="4102"/>
      <c r="H119" s="4102"/>
      <c r="I119" s="4102"/>
      <c r="J119" s="4102"/>
      <c r="K119" s="4102"/>
      <c r="L119" s="4102"/>
      <c r="M119" s="4119"/>
      <c r="N119" s="4119"/>
      <c r="O119" s="4119"/>
      <c r="P119" s="4119"/>
    </row>
    <row r="120" spans="1:16" ht="18.75">
      <c r="B120" s="4101" t="s">
        <v>732</v>
      </c>
      <c r="C120" s="4114"/>
      <c r="D120" s="4102"/>
      <c r="E120" s="4102"/>
      <c r="F120" s="4102"/>
      <c r="G120" s="4102"/>
      <c r="H120" s="4102"/>
      <c r="I120" s="4102"/>
      <c r="J120" s="4102"/>
      <c r="K120" s="4102"/>
      <c r="L120" s="4102"/>
      <c r="M120" s="4119"/>
      <c r="N120" s="4119"/>
      <c r="O120" s="4119"/>
      <c r="P120" s="4119"/>
    </row>
    <row r="121" spans="1:16">
      <c r="B121" s="4113" t="s">
        <v>723</v>
      </c>
      <c r="C121" s="4114" t="s">
        <v>729</v>
      </c>
      <c r="D121" s="4102"/>
      <c r="E121" s="4102"/>
      <c r="F121" s="4102"/>
      <c r="G121" s="4102"/>
      <c r="H121" s="4102"/>
      <c r="I121" s="4102"/>
      <c r="J121" s="4102"/>
      <c r="K121" s="4102"/>
      <c r="L121" s="4102"/>
      <c r="M121" s="4119"/>
      <c r="N121" s="4119"/>
      <c r="O121" s="4119"/>
      <c r="P121" s="4119"/>
    </row>
    <row r="122" spans="1:16">
      <c r="A122" s="4114"/>
      <c r="B122" s="4114"/>
      <c r="C122" s="4122"/>
      <c r="D122" s="4102"/>
      <c r="E122" s="4102"/>
      <c r="F122" s="4102"/>
      <c r="G122" s="4102"/>
      <c r="H122" s="4102"/>
      <c r="I122" s="4102"/>
      <c r="J122" s="4102"/>
      <c r="K122" s="4102"/>
      <c r="L122" s="4102"/>
      <c r="M122" s="4119"/>
      <c r="N122" s="4119"/>
      <c r="O122" s="4119"/>
      <c r="P122" s="4119"/>
    </row>
    <row r="123" spans="1:16" ht="23.25">
      <c r="B123" s="4113" t="s">
        <v>723</v>
      </c>
      <c r="C123" s="4118" t="s">
        <v>7552</v>
      </c>
      <c r="D123" s="4102"/>
      <c r="E123" s="4102"/>
      <c r="F123" s="2298"/>
      <c r="G123" s="4102"/>
      <c r="H123" s="4102"/>
      <c r="I123" s="4102"/>
      <c r="J123" s="4102"/>
      <c r="K123" s="4102"/>
      <c r="L123" s="4102"/>
      <c r="M123" s="4119"/>
      <c r="N123" s="4119"/>
      <c r="O123" s="4119"/>
      <c r="P123" s="4119"/>
    </row>
    <row r="124" spans="1:16">
      <c r="B124" s="4102"/>
      <c r="C124" s="4122"/>
      <c r="D124" s="4102"/>
      <c r="E124" s="4102"/>
      <c r="F124" s="4102"/>
      <c r="G124" s="4102"/>
      <c r="H124" s="4102"/>
      <c r="I124" s="4102"/>
      <c r="J124" s="4102"/>
      <c r="K124" s="4102"/>
      <c r="L124" s="4102"/>
      <c r="M124" s="4119"/>
      <c r="N124" s="4119"/>
      <c r="O124" s="4119"/>
      <c r="P124" s="4119"/>
    </row>
    <row r="125" spans="1:16" ht="23.25">
      <c r="B125" s="4113" t="s">
        <v>723</v>
      </c>
      <c r="C125" s="4118" t="s">
        <v>7553</v>
      </c>
      <c r="F125" s="2298"/>
      <c r="G125" s="4102"/>
      <c r="H125" s="4102"/>
      <c r="I125" s="4102"/>
      <c r="J125" s="4102"/>
      <c r="K125" s="4102"/>
      <c r="L125" s="4102"/>
      <c r="M125" s="4119"/>
      <c r="N125" s="4119"/>
      <c r="O125" s="4119"/>
      <c r="P125" s="4119"/>
    </row>
    <row r="126" spans="1:16">
      <c r="B126" s="4102"/>
      <c r="C126" s="4114"/>
      <c r="D126" s="4102"/>
      <c r="E126" s="4102"/>
      <c r="F126" s="4102"/>
      <c r="G126" s="4102"/>
      <c r="H126" s="4102"/>
      <c r="I126" s="4102"/>
      <c r="J126" s="4102"/>
      <c r="K126" s="4102"/>
      <c r="L126" s="4102"/>
      <c r="M126" s="4119"/>
      <c r="N126" s="4119"/>
      <c r="O126" s="4119"/>
      <c r="P126" s="4119"/>
    </row>
    <row r="127" spans="1:16" ht="18.75">
      <c r="B127" s="4101" t="s">
        <v>7554</v>
      </c>
      <c r="C127" s="4114"/>
      <c r="D127" s="4102"/>
      <c r="E127" s="4102"/>
      <c r="F127" s="4102"/>
      <c r="G127" s="4102"/>
      <c r="H127" s="4102"/>
      <c r="I127" s="4102"/>
      <c r="J127" s="4102"/>
      <c r="K127" s="4102"/>
      <c r="L127" s="4102"/>
      <c r="M127" s="4102"/>
      <c r="N127" s="4102"/>
      <c r="O127" s="4102"/>
      <c r="P127" s="4102"/>
    </row>
    <row r="128" spans="1:16">
      <c r="B128" s="4113" t="s">
        <v>723</v>
      </c>
      <c r="C128" s="4114" t="s">
        <v>7555</v>
      </c>
      <c r="D128" s="4102"/>
      <c r="E128" s="4102"/>
      <c r="F128" s="4102"/>
      <c r="G128" s="4102"/>
      <c r="H128" s="4102"/>
      <c r="I128" s="4102"/>
      <c r="J128" s="4102"/>
      <c r="K128" s="4102"/>
      <c r="L128" s="4102"/>
      <c r="M128" s="4102"/>
      <c r="N128" s="4102"/>
      <c r="O128" s="4102"/>
      <c r="P128" s="4102"/>
    </row>
    <row r="129" spans="2:16">
      <c r="B129" s="4102"/>
      <c r="C129" s="4114"/>
      <c r="D129" s="4102"/>
      <c r="E129" s="4102"/>
      <c r="F129" s="4102"/>
      <c r="G129" s="4102"/>
      <c r="H129" s="4102"/>
      <c r="I129" s="4102"/>
      <c r="J129" s="4102"/>
      <c r="K129" s="4102"/>
      <c r="L129" s="4102"/>
      <c r="M129" s="4102"/>
      <c r="N129" s="4102"/>
      <c r="O129" s="4102"/>
      <c r="P129" s="4102"/>
    </row>
    <row r="130" spans="2:16" ht="18.75">
      <c r="B130" s="4101" t="s">
        <v>7556</v>
      </c>
      <c r="C130" s="4102"/>
      <c r="D130" s="4102"/>
      <c r="E130" s="4102"/>
      <c r="F130" s="4102"/>
      <c r="G130" s="4102"/>
      <c r="H130" s="4102"/>
      <c r="I130" s="4102"/>
      <c r="J130" s="4102"/>
      <c r="K130" s="4102"/>
      <c r="L130" s="4102"/>
      <c r="M130" s="4102"/>
      <c r="N130" s="4102"/>
      <c r="O130" s="4102"/>
      <c r="P130" s="4102"/>
    </row>
    <row r="131" spans="2:16">
      <c r="B131" s="4113" t="s">
        <v>723</v>
      </c>
      <c r="C131" s="4114" t="s">
        <v>7557</v>
      </c>
      <c r="D131" s="4102"/>
      <c r="E131" s="4102"/>
      <c r="F131" s="4102"/>
      <c r="G131" s="4102"/>
      <c r="H131" s="4102"/>
      <c r="I131" s="4102"/>
      <c r="J131" s="4102"/>
      <c r="K131" s="4102"/>
      <c r="L131" s="4102"/>
      <c r="M131" s="4102"/>
      <c r="N131" s="4102"/>
      <c r="O131" s="4102"/>
      <c r="P131" s="4102"/>
    </row>
    <row r="132" spans="2:16">
      <c r="B132" s="4102"/>
      <c r="C132" s="4114"/>
      <c r="D132" s="4102"/>
      <c r="E132" s="4102"/>
      <c r="F132" s="4102"/>
      <c r="G132" s="4102"/>
      <c r="H132" s="4102"/>
      <c r="I132" s="4102"/>
      <c r="J132" s="4102"/>
      <c r="K132" s="4102"/>
      <c r="L132" s="4102"/>
      <c r="M132" s="4102"/>
      <c r="N132" s="4102"/>
      <c r="O132" s="4102"/>
      <c r="P132" s="4102"/>
    </row>
    <row r="133" spans="2:16" ht="18.75">
      <c r="B133" s="4101" t="s">
        <v>7558</v>
      </c>
      <c r="C133" s="4102"/>
      <c r="D133" s="4102"/>
      <c r="E133" s="4102"/>
      <c r="F133" s="4102"/>
      <c r="G133" s="4102"/>
      <c r="H133" s="4102"/>
      <c r="I133" s="4102"/>
      <c r="J133" s="4102"/>
      <c r="K133" s="4102"/>
      <c r="L133" s="4102"/>
      <c r="M133" s="4102"/>
      <c r="N133" s="4102"/>
      <c r="O133" s="4102"/>
      <c r="P133" s="4102"/>
    </row>
    <row r="134" spans="2:16">
      <c r="B134" s="4113" t="s">
        <v>723</v>
      </c>
      <c r="C134" s="4114" t="s">
        <v>7559</v>
      </c>
      <c r="D134" s="4102"/>
      <c r="E134" s="4102"/>
      <c r="F134" s="4102"/>
      <c r="G134" s="4102"/>
      <c r="H134" s="4102"/>
      <c r="I134" s="4102"/>
      <c r="J134" s="4102"/>
      <c r="K134" s="4102"/>
      <c r="L134" s="4102"/>
      <c r="M134" s="4102"/>
      <c r="N134" s="4102"/>
      <c r="O134" s="4102"/>
      <c r="P134" s="4102"/>
    </row>
    <row r="135" spans="2:16">
      <c r="B135" s="4102"/>
      <c r="C135" s="4102"/>
      <c r="D135" s="4102"/>
      <c r="E135" s="4102"/>
      <c r="F135" s="4102"/>
      <c r="G135" s="4102"/>
      <c r="H135" s="4102"/>
      <c r="I135" s="4102"/>
      <c r="J135" s="4102"/>
      <c r="K135" s="4102"/>
      <c r="L135" s="4102"/>
      <c r="M135" s="4102"/>
      <c r="N135" s="4102"/>
      <c r="O135" s="4102"/>
      <c r="P135" s="4102"/>
    </row>
    <row r="136" spans="2:16" ht="18.75">
      <c r="B136" s="4101" t="s">
        <v>7560</v>
      </c>
      <c r="C136" s="4102"/>
      <c r="D136" s="4102"/>
      <c r="E136" s="4102"/>
      <c r="F136" s="4102"/>
      <c r="G136" s="4102"/>
      <c r="H136" s="4102"/>
      <c r="I136" s="4102"/>
      <c r="J136" s="4102"/>
      <c r="K136" s="4102"/>
      <c r="L136" s="4102"/>
      <c r="M136" s="4102"/>
      <c r="N136" s="4102"/>
      <c r="O136" s="4102"/>
      <c r="P136" s="4102"/>
    </row>
    <row r="137" spans="2:16">
      <c r="B137" s="4113" t="s">
        <v>723</v>
      </c>
      <c r="C137" s="4114" t="s">
        <v>7561</v>
      </c>
      <c r="D137" s="4102"/>
      <c r="E137" s="4102"/>
      <c r="F137" s="4102"/>
      <c r="G137" s="4102"/>
      <c r="H137" s="4102"/>
      <c r="I137" s="4102"/>
      <c r="J137" s="4102"/>
      <c r="K137" s="4102"/>
      <c r="L137" s="4102"/>
      <c r="M137" s="4102"/>
      <c r="N137" s="4102"/>
      <c r="O137" s="4102"/>
      <c r="P137" s="4102"/>
    </row>
    <row r="138" spans="2:16">
      <c r="B138" s="4102"/>
      <c r="C138" s="4102"/>
      <c r="D138" s="4102"/>
      <c r="E138" s="4102"/>
      <c r="F138" s="4102"/>
      <c r="G138" s="4102"/>
      <c r="H138" s="4102"/>
      <c r="I138" s="4102"/>
      <c r="J138" s="4102"/>
      <c r="K138" s="4102"/>
      <c r="L138" s="4102"/>
      <c r="M138" s="4102"/>
      <c r="N138" s="4102"/>
      <c r="O138" s="4102"/>
      <c r="P138" s="4102"/>
    </row>
    <row r="139" spans="2:16" ht="18.75">
      <c r="B139" s="4101" t="s">
        <v>7562</v>
      </c>
      <c r="C139" s="4102"/>
      <c r="D139" s="4102"/>
      <c r="E139" s="4102"/>
      <c r="F139" s="4102"/>
      <c r="G139" s="4102"/>
      <c r="H139" s="4102"/>
      <c r="I139" s="4102"/>
      <c r="J139" s="4102"/>
      <c r="K139" s="4102"/>
      <c r="L139" s="4102"/>
      <c r="M139" s="4102"/>
      <c r="N139" s="4102"/>
      <c r="O139" s="4102"/>
      <c r="P139" s="4102"/>
    </row>
    <row r="140" spans="2:16">
      <c r="B140" s="4113" t="s">
        <v>723</v>
      </c>
      <c r="C140" s="4114" t="s">
        <v>7563</v>
      </c>
      <c r="D140" s="4102"/>
      <c r="E140" s="4102"/>
      <c r="F140" s="4102"/>
      <c r="G140" s="4102"/>
      <c r="H140" s="4102"/>
      <c r="I140" s="4102"/>
      <c r="J140" s="4102"/>
      <c r="K140" s="4102"/>
      <c r="L140" s="4102"/>
      <c r="M140" s="4102"/>
      <c r="N140" s="4102"/>
      <c r="O140" s="4102"/>
      <c r="P140" s="4102"/>
    </row>
    <row r="141" spans="2:16">
      <c r="B141" s="4102"/>
      <c r="C141" s="4102"/>
      <c r="D141" s="4102"/>
      <c r="E141" s="4102"/>
      <c r="F141" s="4102"/>
      <c r="G141" s="4102"/>
      <c r="H141" s="4102"/>
      <c r="I141" s="4102"/>
      <c r="J141" s="4102"/>
      <c r="K141" s="4102"/>
      <c r="L141" s="4102"/>
      <c r="M141" s="4102"/>
      <c r="N141" s="4102"/>
      <c r="O141" s="4102"/>
      <c r="P141" s="4102"/>
    </row>
    <row r="142" spans="2:16" ht="18.75">
      <c r="B142" s="4101" t="s">
        <v>7564</v>
      </c>
      <c r="C142" s="4102"/>
      <c r="D142" s="4102"/>
      <c r="E142" s="4102"/>
      <c r="F142" s="4102"/>
      <c r="G142" s="4102"/>
      <c r="H142" s="4102"/>
      <c r="I142" s="4102"/>
      <c r="J142" s="4102"/>
      <c r="K142" s="4102"/>
      <c r="L142" s="4102"/>
      <c r="M142" s="4102"/>
      <c r="N142" s="4102"/>
      <c r="O142" s="4102"/>
      <c r="P142" s="4102"/>
    </row>
    <row r="143" spans="2:16">
      <c r="B143" s="4113" t="s">
        <v>723</v>
      </c>
      <c r="C143" s="4114" t="s">
        <v>7565</v>
      </c>
      <c r="D143" s="4102"/>
      <c r="E143" s="4102"/>
      <c r="F143" s="4102"/>
      <c r="G143" s="4102"/>
      <c r="H143" s="4102"/>
      <c r="I143" s="4102"/>
      <c r="J143" s="4102"/>
      <c r="K143" s="4102"/>
      <c r="L143" s="4102"/>
      <c r="M143" s="4102"/>
      <c r="N143" s="4102"/>
      <c r="O143" s="4102"/>
      <c r="P143" s="4102"/>
    </row>
    <row r="144" spans="2:16">
      <c r="B144" s="4102"/>
      <c r="C144" s="4102"/>
      <c r="D144" s="4102"/>
      <c r="E144" s="4102"/>
      <c r="F144" s="4102"/>
      <c r="G144" s="4102"/>
      <c r="H144" s="4102"/>
      <c r="I144" s="4102"/>
      <c r="J144" s="4102"/>
      <c r="K144" s="4102"/>
      <c r="L144" s="4102"/>
      <c r="M144" s="4102"/>
      <c r="N144" s="4102"/>
      <c r="O144" s="4102"/>
      <c r="P144" s="4102"/>
    </row>
    <row r="145" spans="2:16" ht="18.75">
      <c r="B145" s="4101" t="s">
        <v>7566</v>
      </c>
      <c r="C145" s="4102"/>
      <c r="D145" s="4102"/>
      <c r="E145" s="4102"/>
      <c r="F145" s="4102"/>
      <c r="G145" s="4102"/>
      <c r="H145" s="4102"/>
      <c r="I145" s="4102"/>
      <c r="J145" s="4102"/>
      <c r="K145" s="4102"/>
      <c r="L145" s="4102"/>
      <c r="M145" s="4102"/>
      <c r="N145" s="4102"/>
      <c r="O145" s="4102"/>
      <c r="P145" s="4102"/>
    </row>
    <row r="146" spans="2:16">
      <c r="B146" s="4113" t="s">
        <v>723</v>
      </c>
      <c r="C146" s="4114" t="s">
        <v>7567</v>
      </c>
      <c r="D146" s="4102"/>
      <c r="E146" s="4102"/>
      <c r="F146" s="4102"/>
      <c r="G146" s="4102"/>
      <c r="H146" s="4102"/>
      <c r="I146" s="4102"/>
      <c r="J146" s="4102"/>
      <c r="K146" s="4102"/>
      <c r="L146" s="4102"/>
      <c r="M146" s="4102"/>
      <c r="N146" s="4102"/>
      <c r="O146" s="4102"/>
      <c r="P146" s="4102"/>
    </row>
    <row r="147" spans="2:16">
      <c r="B147" s="4102"/>
      <c r="C147" s="4102"/>
      <c r="D147" s="4102"/>
      <c r="E147" s="4102"/>
      <c r="F147" s="4102"/>
      <c r="G147" s="4102"/>
      <c r="H147" s="4102"/>
      <c r="I147" s="4102"/>
      <c r="J147" s="4102"/>
      <c r="K147" s="4102"/>
      <c r="L147" s="4102"/>
      <c r="M147" s="4102"/>
      <c r="N147" s="4102"/>
      <c r="O147" s="4102"/>
      <c r="P147" s="4102"/>
    </row>
    <row r="148" spans="2:16" ht="18.75">
      <c r="B148" s="4101" t="s">
        <v>7568</v>
      </c>
      <c r="C148" s="4102"/>
      <c r="D148" s="4102"/>
      <c r="E148" s="4102"/>
      <c r="F148" s="4102"/>
      <c r="G148" s="4102"/>
      <c r="H148" s="4102"/>
      <c r="I148" s="4102"/>
      <c r="J148" s="4102"/>
      <c r="K148" s="4102"/>
      <c r="L148" s="4102"/>
      <c r="M148" s="4102"/>
      <c r="N148" s="4102"/>
      <c r="O148" s="4102"/>
      <c r="P148" s="4102"/>
    </row>
    <row r="149" spans="2:16">
      <c r="B149" s="4113" t="s">
        <v>723</v>
      </c>
      <c r="C149" s="4114" t="s">
        <v>7569</v>
      </c>
      <c r="D149" s="4102"/>
      <c r="E149" s="4102"/>
      <c r="F149" s="4102"/>
      <c r="G149" s="4102"/>
      <c r="H149" s="4102"/>
      <c r="I149" s="4102"/>
      <c r="J149" s="4102"/>
      <c r="K149" s="4102"/>
      <c r="L149" s="4102"/>
      <c r="M149" s="4102"/>
      <c r="N149" s="4102"/>
      <c r="O149" s="4102"/>
      <c r="P149" s="4102"/>
    </row>
    <row r="150" spans="2:16">
      <c r="B150" s="4102"/>
      <c r="C150" s="4102"/>
      <c r="D150" s="4102"/>
      <c r="E150" s="4102"/>
      <c r="F150" s="4102"/>
      <c r="G150" s="4102"/>
      <c r="H150" s="4102"/>
      <c r="I150" s="4102"/>
      <c r="J150" s="4102"/>
      <c r="K150" s="4102"/>
      <c r="L150" s="4102"/>
      <c r="M150" s="4102"/>
      <c r="N150" s="4102"/>
      <c r="O150" s="4102"/>
      <c r="P150" s="4102"/>
    </row>
    <row r="151" spans="2:16" ht="18.75">
      <c r="B151" s="4101" t="s">
        <v>7570</v>
      </c>
      <c r="C151" s="4101"/>
      <c r="D151" s="4102"/>
      <c r="E151" s="4102"/>
      <c r="F151" s="4102"/>
      <c r="G151" s="4102"/>
      <c r="H151" s="4102"/>
      <c r="I151" s="4102"/>
      <c r="J151" s="4102"/>
      <c r="K151" s="4102"/>
      <c r="L151" s="4102"/>
      <c r="M151" s="4102"/>
      <c r="N151" s="4102"/>
      <c r="O151" s="4102"/>
      <c r="P151" s="4102"/>
    </row>
    <row r="152" spans="2:16">
      <c r="B152" s="4113" t="s">
        <v>723</v>
      </c>
      <c r="C152" s="4114" t="s">
        <v>7571</v>
      </c>
      <c r="D152" s="4102"/>
      <c r="E152" s="4102"/>
      <c r="F152" s="4102"/>
      <c r="G152" s="4102"/>
      <c r="H152" s="4102"/>
      <c r="I152" s="4102"/>
      <c r="J152" s="4102"/>
      <c r="K152" s="4102"/>
      <c r="L152" s="4102"/>
      <c r="M152" s="4102"/>
      <c r="N152" s="4102"/>
      <c r="O152" s="4102"/>
      <c r="P152" s="4102"/>
    </row>
    <row r="153" spans="2:16">
      <c r="B153" s="4102"/>
      <c r="C153" s="4102"/>
      <c r="D153" s="4102"/>
      <c r="E153" s="4102"/>
      <c r="F153" s="4102"/>
      <c r="G153" s="4102"/>
      <c r="H153" s="4102"/>
      <c r="I153" s="4102"/>
      <c r="J153" s="4102"/>
      <c r="K153" s="4102"/>
      <c r="L153" s="4102"/>
      <c r="M153" s="4102"/>
      <c r="N153" s="4102"/>
      <c r="O153" s="4102"/>
      <c r="P153" s="4102"/>
    </row>
    <row r="154" spans="2:16" ht="18.75">
      <c r="B154" s="4101" t="s">
        <v>7572</v>
      </c>
      <c r="C154" s="4101"/>
      <c r="D154" s="4102"/>
      <c r="E154" s="4102"/>
      <c r="F154" s="4102"/>
      <c r="G154" s="4102"/>
      <c r="H154" s="4102"/>
      <c r="I154" s="4102"/>
      <c r="J154" s="4102"/>
      <c r="K154" s="4102"/>
      <c r="L154" s="4102"/>
      <c r="M154" s="4102"/>
      <c r="N154" s="4102"/>
      <c r="O154" s="4102"/>
      <c r="P154" s="4102"/>
    </row>
    <row r="155" spans="2:16">
      <c r="B155" s="4113" t="s">
        <v>723</v>
      </c>
      <c r="C155" s="4114" t="s">
        <v>7573</v>
      </c>
      <c r="D155" s="4102"/>
      <c r="E155" s="4102"/>
      <c r="F155" s="4102"/>
      <c r="G155" s="4102"/>
      <c r="H155" s="4102"/>
      <c r="I155" s="4102"/>
      <c r="J155" s="4102"/>
      <c r="K155" s="4102"/>
      <c r="L155" s="4102"/>
      <c r="M155" s="4102"/>
      <c r="N155" s="4102"/>
      <c r="O155" s="4102"/>
      <c r="P155" s="4102"/>
    </row>
    <row r="156" spans="2:16">
      <c r="B156" s="4102"/>
      <c r="C156" s="4102"/>
      <c r="D156" s="4102"/>
      <c r="E156" s="4102"/>
      <c r="F156" s="4102"/>
      <c r="G156" s="4102"/>
      <c r="H156" s="4102"/>
      <c r="I156" s="4102"/>
      <c r="J156" s="4102"/>
      <c r="K156" s="4102"/>
      <c r="L156" s="4102"/>
      <c r="M156" s="4102"/>
      <c r="N156" s="4102"/>
      <c r="O156" s="4102"/>
      <c r="P156" s="4102"/>
    </row>
    <row r="157" spans="2:16" ht="18.75">
      <c r="B157" s="4101" t="s">
        <v>7574</v>
      </c>
      <c r="C157" s="4101"/>
      <c r="D157" s="4102"/>
      <c r="E157" s="4102"/>
      <c r="F157" s="4102"/>
      <c r="G157" s="4102"/>
      <c r="H157" s="4102"/>
      <c r="I157" s="4102"/>
      <c r="J157" s="4102"/>
      <c r="K157" s="4102"/>
      <c r="L157" s="4102"/>
      <c r="M157" s="4102"/>
      <c r="N157" s="4102"/>
      <c r="O157" s="4102"/>
      <c r="P157" s="4102"/>
    </row>
    <row r="158" spans="2:16">
      <c r="B158" s="4113" t="s">
        <v>723</v>
      </c>
      <c r="C158" s="4114" t="s">
        <v>7575</v>
      </c>
      <c r="D158" s="4102"/>
      <c r="E158" s="4102"/>
      <c r="F158" s="4102"/>
      <c r="G158" s="4102"/>
      <c r="H158" s="4102"/>
      <c r="I158" s="4102"/>
      <c r="J158" s="4102"/>
      <c r="K158" s="4102"/>
      <c r="L158" s="4102"/>
      <c r="M158" s="4102"/>
      <c r="N158" s="4102"/>
      <c r="O158" s="4102"/>
      <c r="P158" s="4102"/>
    </row>
    <row r="159" spans="2:16">
      <c r="B159" s="4102"/>
      <c r="C159" s="4102"/>
      <c r="D159" s="4102"/>
      <c r="E159" s="4102"/>
      <c r="F159" s="4102"/>
      <c r="G159" s="4102"/>
      <c r="H159" s="4102"/>
      <c r="I159" s="4102"/>
      <c r="J159" s="4102"/>
      <c r="K159" s="4102"/>
      <c r="L159" s="4102"/>
      <c r="M159" s="4102"/>
      <c r="N159" s="4102"/>
      <c r="O159" s="4102"/>
      <c r="P159" s="4102"/>
    </row>
    <row r="160" spans="2:16" ht="18.75">
      <c r="B160" s="4101" t="s">
        <v>7576</v>
      </c>
      <c r="C160" s="4101"/>
      <c r="D160" s="4102"/>
      <c r="E160" s="4102"/>
      <c r="F160" s="4102"/>
      <c r="G160" s="4102"/>
      <c r="H160" s="4102"/>
      <c r="I160" s="4102"/>
      <c r="J160" s="4102"/>
      <c r="K160" s="4102"/>
      <c r="L160" s="4102"/>
      <c r="M160" s="4102"/>
      <c r="N160" s="4102"/>
      <c r="O160" s="4102"/>
      <c r="P160" s="4102"/>
    </row>
    <row r="161" spans="1:16">
      <c r="B161" s="4113" t="s">
        <v>723</v>
      </c>
      <c r="C161" s="4114" t="s">
        <v>7577</v>
      </c>
      <c r="D161" s="4102"/>
      <c r="E161" s="4102"/>
      <c r="F161" s="4102"/>
      <c r="G161" s="4102"/>
      <c r="H161" s="4102"/>
      <c r="I161" s="4102"/>
      <c r="J161" s="4102"/>
      <c r="K161" s="4102"/>
      <c r="L161" s="4102"/>
      <c r="M161" s="4102"/>
      <c r="N161" s="4102"/>
      <c r="O161" s="4102"/>
      <c r="P161" s="4102"/>
    </row>
    <row r="162" spans="1:16">
      <c r="B162" s="4102"/>
      <c r="C162" s="4102"/>
      <c r="D162" s="4102"/>
      <c r="E162" s="4102"/>
      <c r="F162" s="4102"/>
      <c r="G162" s="4102"/>
      <c r="H162" s="4102"/>
      <c r="I162" s="4102"/>
      <c r="J162" s="4102"/>
      <c r="K162" s="4102"/>
      <c r="L162" s="4102"/>
      <c r="M162" s="4102"/>
      <c r="N162" s="4102"/>
      <c r="O162" s="4102"/>
      <c r="P162" s="4102"/>
    </row>
    <row r="163" spans="1:16">
      <c r="A163" s="4117"/>
      <c r="B163" s="4117"/>
      <c r="C163" s="4117"/>
      <c r="D163" s="4117"/>
      <c r="E163" s="4117"/>
      <c r="F163" s="4117"/>
      <c r="G163" s="4117"/>
      <c r="H163" s="4117"/>
      <c r="I163" s="4117"/>
      <c r="J163" s="4117"/>
      <c r="K163" s="4117"/>
      <c r="L163" s="4117"/>
      <c r="M163" s="4117"/>
      <c r="N163" s="4117"/>
      <c r="O163" s="4117"/>
      <c r="P163" s="4117"/>
    </row>
    <row r="164" spans="1:16">
      <c r="B164" s="4102"/>
      <c r="C164" s="4102"/>
      <c r="D164" s="4102"/>
      <c r="E164" s="4102"/>
      <c r="F164" s="4102"/>
      <c r="G164" s="4102"/>
      <c r="H164" s="4102"/>
      <c r="I164" s="4102"/>
      <c r="J164" s="4102"/>
      <c r="K164" s="4102"/>
      <c r="L164" s="4102"/>
      <c r="M164" s="4102"/>
      <c r="N164" s="4102"/>
      <c r="O164" s="4102"/>
      <c r="P164" s="4102"/>
    </row>
    <row r="165" spans="1:16" ht="18.75">
      <c r="B165" s="4101" t="s">
        <v>7578</v>
      </c>
      <c r="C165" s="4102"/>
      <c r="D165" s="4102"/>
      <c r="E165" s="4102"/>
      <c r="F165" s="4102"/>
      <c r="G165" s="4102"/>
      <c r="H165" s="4102"/>
      <c r="I165" s="4102"/>
      <c r="J165" s="4102"/>
      <c r="K165" s="4102"/>
      <c r="L165" s="4102"/>
      <c r="M165" s="4102"/>
      <c r="N165" s="4102"/>
      <c r="O165" s="4102"/>
      <c r="P165" s="4102"/>
    </row>
    <row r="166" spans="1:16">
      <c r="B166" s="4113" t="s">
        <v>723</v>
      </c>
      <c r="C166" s="4114" t="s">
        <v>7579</v>
      </c>
      <c r="D166" s="4102"/>
      <c r="E166" s="4102"/>
      <c r="F166" s="4102"/>
      <c r="G166" s="4102"/>
      <c r="H166" s="4102"/>
      <c r="I166" s="4102"/>
      <c r="J166" s="4102"/>
      <c r="K166" s="4102"/>
      <c r="L166" s="4102"/>
      <c r="M166" s="4102"/>
      <c r="N166" s="4102"/>
      <c r="O166" s="4102"/>
      <c r="P166" s="4102"/>
    </row>
    <row r="167" spans="1:16">
      <c r="B167" s="4102"/>
      <c r="C167" s="4102"/>
      <c r="D167" s="4102"/>
      <c r="E167" s="4102"/>
      <c r="F167" s="4102"/>
      <c r="G167" s="4102"/>
      <c r="H167" s="4102"/>
      <c r="I167" s="4102"/>
      <c r="J167" s="4102"/>
      <c r="K167" s="4102"/>
      <c r="L167" s="4102"/>
      <c r="M167" s="4102"/>
      <c r="N167" s="4102"/>
      <c r="O167" s="4102"/>
      <c r="P167" s="4102"/>
    </row>
    <row r="168" spans="1:16" ht="18.75">
      <c r="B168" s="4101" t="s">
        <v>7580</v>
      </c>
      <c r="C168" s="4102"/>
      <c r="D168" s="4102"/>
      <c r="E168" s="4102"/>
      <c r="F168" s="4102"/>
      <c r="G168" s="4102"/>
      <c r="H168" s="4102"/>
      <c r="I168" s="4102"/>
      <c r="J168" s="4102"/>
      <c r="K168" s="4102"/>
      <c r="L168" s="4102"/>
      <c r="M168" s="4102"/>
      <c r="N168" s="4102"/>
      <c r="O168" s="4102"/>
      <c r="P168" s="4102"/>
    </row>
    <row r="169" spans="1:16">
      <c r="B169" s="4113" t="s">
        <v>723</v>
      </c>
      <c r="C169" s="4114" t="s">
        <v>7581</v>
      </c>
      <c r="D169" s="4102"/>
      <c r="E169" s="4102"/>
      <c r="F169" s="4102"/>
      <c r="G169" s="4102"/>
      <c r="H169" s="4102"/>
      <c r="I169" s="4102"/>
      <c r="J169" s="4102"/>
      <c r="K169" s="4102"/>
      <c r="L169" s="4102"/>
      <c r="M169" s="4102"/>
      <c r="N169" s="4102"/>
      <c r="O169" s="4102"/>
      <c r="P169" s="4102"/>
    </row>
    <row r="170" spans="1:16" ht="18.75">
      <c r="B170" s="4101" t="s">
        <v>7582</v>
      </c>
      <c r="C170" s="4101"/>
      <c r="D170" s="4102"/>
      <c r="E170" s="4102"/>
      <c r="F170" s="4102"/>
      <c r="G170" s="4102"/>
      <c r="H170" s="4102"/>
      <c r="I170" s="4102"/>
      <c r="J170" s="4102"/>
      <c r="K170" s="4102"/>
      <c r="L170" s="4102"/>
      <c r="M170" s="4102"/>
      <c r="N170" s="4102"/>
      <c r="O170" s="4102"/>
      <c r="P170" s="4102"/>
    </row>
    <row r="171" spans="1:16">
      <c r="B171" s="4113" t="s">
        <v>723</v>
      </c>
      <c r="C171" s="4114" t="s">
        <v>7583</v>
      </c>
      <c r="D171" s="4102"/>
      <c r="E171" s="4102"/>
      <c r="F171" s="4102"/>
      <c r="G171" s="4102"/>
      <c r="H171" s="4102"/>
      <c r="I171" s="4102"/>
      <c r="J171" s="4102"/>
      <c r="K171" s="4102"/>
      <c r="L171" s="4102"/>
      <c r="M171" s="4102"/>
      <c r="N171" s="4102"/>
      <c r="O171" s="4102"/>
      <c r="P171" s="4102"/>
    </row>
    <row r="172" spans="1:16">
      <c r="B172" s="4102"/>
      <c r="C172" s="4102"/>
      <c r="D172" s="4102"/>
      <c r="E172" s="4102"/>
      <c r="F172" s="4102"/>
      <c r="G172" s="4102"/>
      <c r="H172" s="4102"/>
      <c r="I172" s="4102"/>
      <c r="J172" s="4102"/>
      <c r="K172" s="4102"/>
      <c r="L172" s="4102"/>
      <c r="M172" s="4102"/>
      <c r="N172" s="4102"/>
      <c r="O172" s="4102"/>
      <c r="P172" s="4102"/>
    </row>
    <row r="173" spans="1:16" ht="18.75">
      <c r="B173" s="4101" t="s">
        <v>7584</v>
      </c>
      <c r="C173" s="4101"/>
      <c r="D173" s="4102"/>
      <c r="E173" s="4102"/>
      <c r="F173" s="4102"/>
      <c r="G173" s="4102"/>
      <c r="H173" s="4102"/>
      <c r="I173" s="4102"/>
      <c r="J173" s="4102"/>
      <c r="K173" s="4102"/>
      <c r="L173" s="4102"/>
      <c r="M173" s="4102"/>
      <c r="N173" s="4102"/>
      <c r="O173" s="4102"/>
      <c r="P173" s="4102"/>
    </row>
    <row r="174" spans="1:16">
      <c r="B174" s="4113" t="s">
        <v>723</v>
      </c>
      <c r="C174" s="4114" t="s">
        <v>7585</v>
      </c>
      <c r="D174" s="4102"/>
      <c r="E174" s="4102"/>
      <c r="F174" s="4102"/>
      <c r="G174" s="4102"/>
      <c r="H174" s="4102"/>
      <c r="I174" s="4102"/>
      <c r="J174" s="4102"/>
      <c r="K174" s="4102"/>
      <c r="L174" s="4102"/>
      <c r="M174" s="4102"/>
      <c r="N174" s="4102"/>
      <c r="O174" s="4102"/>
      <c r="P174" s="4102"/>
    </row>
    <row r="175" spans="1:16">
      <c r="B175" s="4102"/>
      <c r="C175" s="4102"/>
      <c r="D175" s="4102"/>
      <c r="E175" s="4102"/>
      <c r="F175" s="4102"/>
      <c r="G175" s="4102"/>
      <c r="H175" s="4102"/>
      <c r="I175" s="4102"/>
      <c r="J175" s="4102"/>
      <c r="K175" s="4102"/>
      <c r="L175" s="4102"/>
      <c r="M175" s="4102"/>
      <c r="N175" s="4102"/>
      <c r="O175" s="4102"/>
      <c r="P175" s="4102"/>
    </row>
    <row r="176" spans="1:16" ht="18.75">
      <c r="B176" s="4101" t="s">
        <v>7586</v>
      </c>
      <c r="C176" s="4101"/>
      <c r="D176" s="4102"/>
      <c r="E176" s="4102"/>
      <c r="F176" s="4102"/>
      <c r="G176" s="4102"/>
      <c r="H176" s="4102"/>
      <c r="I176" s="4102"/>
      <c r="J176" s="4102"/>
      <c r="K176" s="4102"/>
      <c r="L176" s="4102"/>
      <c r="M176" s="4102"/>
      <c r="N176" s="4102"/>
      <c r="O176" s="4102"/>
      <c r="P176" s="4102"/>
    </row>
    <row r="177" spans="2:16">
      <c r="B177" s="4113" t="s">
        <v>723</v>
      </c>
      <c r="C177" s="4114" t="s">
        <v>7587</v>
      </c>
      <c r="D177" s="4102"/>
      <c r="E177" s="4102"/>
      <c r="F177" s="4102"/>
      <c r="G177" s="4102"/>
      <c r="H177" s="4102"/>
      <c r="I177" s="4102"/>
      <c r="J177" s="4102"/>
      <c r="K177" s="4102"/>
      <c r="L177" s="4102"/>
      <c r="M177" s="4102"/>
      <c r="N177" s="4102"/>
      <c r="O177" s="4102"/>
      <c r="P177" s="4102"/>
    </row>
    <row r="178" spans="2:16">
      <c r="B178" s="4102"/>
      <c r="C178" s="4102"/>
      <c r="D178" s="4102"/>
      <c r="E178" s="4102"/>
      <c r="F178" s="4102"/>
      <c r="G178" s="4102"/>
      <c r="H178" s="4102"/>
      <c r="I178" s="4102"/>
      <c r="J178" s="4102"/>
      <c r="K178" s="4102"/>
      <c r="L178" s="4102"/>
      <c r="M178" s="4102"/>
      <c r="N178" s="4102"/>
      <c r="O178" s="4102"/>
      <c r="P178" s="4102"/>
    </row>
    <row r="179" spans="2:16" ht="18.75">
      <c r="B179" s="4101" t="s">
        <v>7588</v>
      </c>
      <c r="C179" s="4101"/>
      <c r="D179" s="4102"/>
      <c r="E179" s="4102"/>
      <c r="F179" s="4102"/>
      <c r="G179" s="4102"/>
      <c r="H179" s="4102"/>
      <c r="I179" s="4102"/>
      <c r="J179" s="4102"/>
      <c r="K179" s="4102"/>
      <c r="L179" s="4102"/>
      <c r="M179" s="4102"/>
      <c r="N179" s="4102"/>
      <c r="O179" s="4102"/>
      <c r="P179" s="4102"/>
    </row>
    <row r="180" spans="2:16">
      <c r="B180" s="4113" t="s">
        <v>723</v>
      </c>
      <c r="C180" s="4114" t="s">
        <v>7589</v>
      </c>
      <c r="D180" s="4102"/>
      <c r="E180" s="4102"/>
      <c r="F180" s="4102"/>
      <c r="G180" s="4102"/>
      <c r="H180" s="4102"/>
      <c r="I180" s="4102"/>
      <c r="J180" s="4102"/>
      <c r="K180" s="4102"/>
      <c r="L180" s="4102"/>
      <c r="M180" s="4102"/>
      <c r="N180" s="4102"/>
      <c r="O180" s="4102"/>
      <c r="P180" s="4102"/>
    </row>
    <row r="181" spans="2:16">
      <c r="B181" s="4102"/>
      <c r="C181" s="4102"/>
      <c r="D181" s="4102"/>
      <c r="E181" s="4102"/>
      <c r="F181" s="4102"/>
      <c r="G181" s="4102"/>
      <c r="H181" s="4102"/>
      <c r="I181" s="4102"/>
      <c r="J181" s="4102"/>
      <c r="K181" s="4102"/>
      <c r="L181" s="4102"/>
      <c r="M181" s="4102"/>
      <c r="N181" s="4102"/>
      <c r="O181" s="4102"/>
      <c r="P181" s="4102"/>
    </row>
    <row r="182" spans="2:16" ht="18.75">
      <c r="B182" s="4101" t="s">
        <v>7590</v>
      </c>
      <c r="C182" s="4101"/>
      <c r="D182" s="4102"/>
      <c r="E182" s="4102"/>
      <c r="F182" s="4102"/>
      <c r="G182" s="4102"/>
      <c r="H182" s="4102"/>
      <c r="I182" s="4102"/>
      <c r="J182" s="4102"/>
      <c r="K182" s="4102"/>
      <c r="L182" s="4102"/>
      <c r="M182" s="4102"/>
      <c r="N182" s="4102"/>
      <c r="O182" s="4102"/>
      <c r="P182" s="4102"/>
    </row>
    <row r="183" spans="2:16">
      <c r="B183" s="4113" t="s">
        <v>723</v>
      </c>
      <c r="C183" s="4114" t="s">
        <v>7591</v>
      </c>
      <c r="D183" s="4102"/>
      <c r="E183" s="4102"/>
      <c r="F183" s="4102"/>
      <c r="G183" s="4102"/>
      <c r="H183" s="4102"/>
      <c r="I183" s="4102"/>
      <c r="J183" s="4102"/>
      <c r="K183" s="4102"/>
      <c r="L183" s="4102"/>
      <c r="M183" s="4102"/>
      <c r="N183" s="4102"/>
      <c r="O183" s="4102"/>
      <c r="P183" s="4102"/>
    </row>
    <row r="184" spans="2:16">
      <c r="B184" s="4102"/>
      <c r="C184" s="4102"/>
      <c r="D184" s="4102"/>
      <c r="E184" s="4102"/>
      <c r="F184" s="4102"/>
      <c r="G184" s="4102"/>
      <c r="H184" s="4102"/>
      <c r="I184" s="4102"/>
      <c r="J184" s="4102"/>
      <c r="K184" s="4102"/>
      <c r="L184" s="4102"/>
      <c r="M184" s="4102"/>
      <c r="N184" s="4102"/>
      <c r="O184" s="4102"/>
      <c r="P184" s="4102"/>
    </row>
    <row r="185" spans="2:16">
      <c r="B185" s="4117"/>
      <c r="C185" s="4117"/>
      <c r="D185" s="4117"/>
      <c r="E185" s="4117"/>
      <c r="F185" s="4117"/>
      <c r="G185" s="4117"/>
      <c r="H185" s="4117"/>
      <c r="I185" s="4117"/>
      <c r="J185" s="4117"/>
      <c r="K185" s="4117"/>
      <c r="L185" s="4117"/>
      <c r="M185" s="4117"/>
      <c r="N185" s="4117"/>
      <c r="O185" s="4117"/>
      <c r="P185" s="4117"/>
    </row>
    <row r="186" spans="2:16">
      <c r="B186" s="4102"/>
      <c r="C186" s="4102"/>
      <c r="D186" s="4102"/>
      <c r="E186" s="4102"/>
      <c r="F186" s="4102"/>
      <c r="G186" s="4102"/>
      <c r="H186" s="4102"/>
      <c r="I186" s="4102"/>
      <c r="J186" s="4102"/>
      <c r="K186" s="4102"/>
      <c r="L186" s="4102"/>
      <c r="M186" s="4102"/>
      <c r="N186" s="4102"/>
      <c r="O186" s="4102"/>
      <c r="P186" s="4102"/>
    </row>
    <row r="187" spans="2:16" ht="18.75">
      <c r="B187" s="4101" t="s">
        <v>7592</v>
      </c>
      <c r="C187" s="4102"/>
      <c r="D187" s="4102"/>
      <c r="E187" s="4102"/>
      <c r="F187" s="4102"/>
      <c r="G187" s="4102"/>
      <c r="H187" s="4102"/>
      <c r="I187" s="4102"/>
      <c r="J187" s="4102"/>
      <c r="K187" s="4102"/>
      <c r="L187" s="4102"/>
      <c r="M187" s="4102"/>
      <c r="N187" s="4102"/>
      <c r="O187" s="4102"/>
      <c r="P187" s="4102"/>
    </row>
    <row r="188" spans="2:16">
      <c r="B188" s="4113" t="s">
        <v>723</v>
      </c>
      <c r="C188" s="4115" t="s">
        <v>7593</v>
      </c>
      <c r="D188" s="4102"/>
      <c r="E188" s="4102"/>
      <c r="F188" s="4102"/>
      <c r="G188" s="4102"/>
      <c r="H188" s="4102"/>
      <c r="I188" s="4102"/>
      <c r="J188" s="4102"/>
      <c r="K188" s="4102"/>
      <c r="L188" s="4102"/>
      <c r="M188" s="4102"/>
      <c r="N188" s="4102"/>
      <c r="O188" s="4102"/>
      <c r="P188" s="4102"/>
    </row>
    <row r="189" spans="2:16">
      <c r="B189" s="7150" t="s">
        <v>7594</v>
      </c>
      <c r="C189" s="7150"/>
      <c r="D189" s="4115" t="s">
        <v>7595</v>
      </c>
      <c r="E189" s="4102"/>
      <c r="F189" s="4102"/>
      <c r="G189" s="4102"/>
      <c r="H189" s="4102"/>
      <c r="I189" s="4102"/>
      <c r="J189" s="4102"/>
      <c r="K189" s="4102"/>
      <c r="L189" s="4102"/>
      <c r="M189" s="4102"/>
      <c r="N189" s="4102"/>
      <c r="O189" s="4102"/>
      <c r="P189" s="4102"/>
    </row>
    <row r="190" spans="2:16">
      <c r="B190" s="4102"/>
      <c r="C190" s="4102"/>
      <c r="D190" s="4102"/>
      <c r="E190" s="4102"/>
      <c r="F190" s="4102"/>
      <c r="G190" s="4102"/>
      <c r="H190" s="4102"/>
      <c r="I190" s="4102"/>
      <c r="J190" s="4102"/>
      <c r="K190" s="4102"/>
      <c r="L190" s="4102"/>
      <c r="M190" s="4102"/>
      <c r="N190" s="4102"/>
      <c r="O190" s="4102"/>
      <c r="P190" s="4102"/>
    </row>
    <row r="191" spans="2:16" ht="18.75">
      <c r="B191" s="4101" t="s">
        <v>7596</v>
      </c>
      <c r="C191" s="4101"/>
      <c r="D191" s="4102"/>
      <c r="E191" s="4102"/>
      <c r="F191" s="4102"/>
      <c r="G191" s="4102"/>
      <c r="H191" s="4102"/>
      <c r="I191" s="4102"/>
      <c r="J191" s="4102"/>
      <c r="K191" s="4102"/>
      <c r="L191" s="4102"/>
      <c r="M191" s="4102"/>
      <c r="N191" s="4102"/>
      <c r="O191" s="4102"/>
      <c r="P191" s="4102"/>
    </row>
    <row r="192" spans="2:16">
      <c r="B192" s="4113" t="s">
        <v>723</v>
      </c>
      <c r="C192" s="4114" t="s">
        <v>7597</v>
      </c>
      <c r="D192" s="4102"/>
      <c r="E192" s="4102"/>
      <c r="F192" s="4102"/>
      <c r="G192" s="4102"/>
      <c r="H192" s="4102"/>
      <c r="I192" s="4102"/>
      <c r="J192" s="4102"/>
      <c r="K192" s="4102"/>
      <c r="L192" s="4102"/>
      <c r="M192" s="4102"/>
      <c r="N192" s="4102"/>
      <c r="O192" s="4102"/>
      <c r="P192" s="4102"/>
    </row>
    <row r="193" spans="2:16">
      <c r="B193" s="4102"/>
      <c r="C193" s="4102"/>
      <c r="D193" s="4102"/>
      <c r="E193" s="4102"/>
      <c r="F193" s="4102"/>
      <c r="G193" s="4102"/>
      <c r="H193" s="4102"/>
      <c r="I193" s="4102"/>
      <c r="J193" s="4102"/>
      <c r="K193" s="4102"/>
      <c r="L193" s="4102"/>
      <c r="M193" s="4102"/>
      <c r="N193" s="4102"/>
      <c r="O193" s="4102"/>
      <c r="P193" s="4102"/>
    </row>
    <row r="194" spans="2:16" ht="18.75">
      <c r="B194" s="4101" t="s">
        <v>7598</v>
      </c>
      <c r="C194" s="4101"/>
      <c r="D194" s="4102"/>
      <c r="E194" s="4102"/>
      <c r="F194" s="4102"/>
      <c r="G194" s="4102"/>
      <c r="H194" s="4102"/>
      <c r="I194" s="4102"/>
      <c r="J194" s="4102"/>
      <c r="K194" s="4102"/>
      <c r="L194" s="4102"/>
      <c r="M194" s="4102"/>
      <c r="N194" s="4102"/>
      <c r="O194" s="4102"/>
      <c r="P194" s="4102"/>
    </row>
    <row r="195" spans="2:16">
      <c r="B195" s="4113" t="s">
        <v>723</v>
      </c>
      <c r="C195" s="4114" t="s">
        <v>7599</v>
      </c>
      <c r="D195" s="4102"/>
      <c r="E195" s="4102"/>
      <c r="F195" s="4102"/>
      <c r="G195" s="4102"/>
      <c r="H195" s="4102"/>
      <c r="I195" s="4102"/>
      <c r="J195" s="4102"/>
      <c r="K195" s="4102"/>
      <c r="L195" s="4102"/>
      <c r="M195" s="4102"/>
      <c r="N195" s="4102"/>
      <c r="O195" s="4102"/>
      <c r="P195" s="4102"/>
    </row>
    <row r="196" spans="2:16">
      <c r="B196" s="4102"/>
      <c r="C196" s="4102"/>
      <c r="D196" s="4102"/>
      <c r="E196" s="4102"/>
      <c r="F196" s="4102"/>
      <c r="G196" s="4102"/>
      <c r="H196" s="4102"/>
      <c r="I196" s="4102"/>
      <c r="J196" s="4102"/>
      <c r="K196" s="4102"/>
      <c r="L196" s="4102"/>
      <c r="M196" s="4102"/>
      <c r="N196" s="4102"/>
      <c r="O196" s="4102"/>
      <c r="P196" s="4102"/>
    </row>
    <row r="197" spans="2:16" ht="18.75">
      <c r="B197" s="4101" t="s">
        <v>7600</v>
      </c>
      <c r="C197" s="4101"/>
      <c r="D197" s="4102"/>
      <c r="E197" s="4102"/>
      <c r="F197" s="4102"/>
      <c r="G197" s="4102"/>
      <c r="H197" s="4102"/>
      <c r="I197" s="4102"/>
      <c r="J197" s="4102"/>
      <c r="K197" s="4102"/>
      <c r="L197" s="4102"/>
      <c r="M197" s="4102"/>
      <c r="N197" s="4102"/>
      <c r="O197" s="4102"/>
      <c r="P197" s="4102"/>
    </row>
    <row r="198" spans="2:16">
      <c r="B198" s="4113" t="s">
        <v>723</v>
      </c>
      <c r="C198" s="4114" t="s">
        <v>7601</v>
      </c>
      <c r="D198" s="4102"/>
      <c r="E198" s="4102"/>
      <c r="F198" s="4102"/>
      <c r="G198" s="4102"/>
      <c r="H198" s="4102"/>
      <c r="I198" s="4102"/>
      <c r="J198" s="4102"/>
      <c r="K198" s="4102"/>
      <c r="L198" s="4102"/>
      <c r="M198" s="4102"/>
      <c r="N198" s="4102"/>
      <c r="O198" s="4102"/>
      <c r="P198" s="4102"/>
    </row>
    <row r="199" spans="2:16">
      <c r="B199" s="4102"/>
      <c r="C199" s="4102"/>
      <c r="D199" s="4102"/>
      <c r="E199" s="4102"/>
      <c r="F199" s="4102"/>
      <c r="G199" s="4102"/>
      <c r="H199" s="4102"/>
      <c r="I199" s="4102"/>
      <c r="J199" s="4102"/>
      <c r="K199" s="4102"/>
      <c r="L199" s="4102"/>
      <c r="M199" s="4102"/>
      <c r="N199" s="4102"/>
      <c r="O199" s="4102"/>
      <c r="P199" s="4102"/>
    </row>
    <row r="200" spans="2:16" ht="18.75">
      <c r="B200" s="4101" t="s">
        <v>7602</v>
      </c>
      <c r="C200" s="4101"/>
      <c r="D200" s="4102"/>
      <c r="E200" s="4102"/>
      <c r="F200" s="4102"/>
      <c r="G200" s="4102"/>
      <c r="H200" s="4102"/>
      <c r="I200" s="4102"/>
      <c r="J200" s="4102"/>
      <c r="K200" s="4102"/>
      <c r="L200" s="4102"/>
      <c r="M200" s="4102"/>
      <c r="N200" s="4102"/>
      <c r="O200" s="4102"/>
      <c r="P200" s="4102"/>
    </row>
    <row r="201" spans="2:16">
      <c r="B201" s="4113" t="s">
        <v>723</v>
      </c>
      <c r="C201" s="4114" t="s">
        <v>7603</v>
      </c>
      <c r="D201" s="4102"/>
      <c r="E201" s="4102"/>
      <c r="F201" s="4102"/>
      <c r="G201" s="4102"/>
      <c r="H201" s="4102"/>
      <c r="I201" s="4102"/>
      <c r="J201" s="4102"/>
      <c r="K201" s="4102"/>
      <c r="L201" s="4102"/>
      <c r="M201" s="4102"/>
      <c r="N201" s="4102"/>
      <c r="O201" s="4102"/>
      <c r="P201" s="4102"/>
    </row>
    <row r="202" spans="2:16">
      <c r="B202" s="4102"/>
      <c r="C202" s="4102"/>
      <c r="D202" s="4102"/>
      <c r="E202" s="4102"/>
      <c r="F202" s="4102"/>
      <c r="G202" s="4102"/>
      <c r="H202" s="4102"/>
      <c r="I202" s="4102"/>
      <c r="J202" s="4102"/>
      <c r="K202" s="4102"/>
      <c r="L202" s="4102"/>
      <c r="M202" s="4102"/>
      <c r="N202" s="4102"/>
      <c r="O202" s="4102"/>
      <c r="P202" s="4102"/>
    </row>
    <row r="203" spans="2:16">
      <c r="B203" s="4102" t="s">
        <v>7604</v>
      </c>
      <c r="C203" s="4102"/>
      <c r="D203" s="4102"/>
      <c r="E203" s="4102"/>
      <c r="F203" s="4102"/>
      <c r="G203" s="4102"/>
      <c r="H203" s="4102"/>
      <c r="I203" s="4102"/>
      <c r="J203" s="4102"/>
      <c r="K203" s="4102"/>
      <c r="L203" s="4102"/>
      <c r="M203" s="4102"/>
      <c r="N203" s="4102"/>
      <c r="O203" s="4102"/>
      <c r="P203" s="4102"/>
    </row>
    <row r="204" spans="2:16">
      <c r="B204" s="4102" t="s">
        <v>7605</v>
      </c>
      <c r="C204" s="4102"/>
      <c r="D204" s="4102"/>
      <c r="E204" s="4102"/>
      <c r="F204" s="4102"/>
      <c r="G204" s="4102"/>
      <c r="H204" s="4102"/>
      <c r="I204" s="4102"/>
      <c r="J204" s="4102"/>
      <c r="K204" s="4102"/>
      <c r="L204" s="4102"/>
      <c r="M204" s="4102"/>
      <c r="N204" s="4102"/>
      <c r="O204" s="4102"/>
      <c r="P204" s="4102"/>
    </row>
    <row r="205" spans="2:16">
      <c r="B205" s="4102" t="s">
        <v>7606</v>
      </c>
      <c r="C205" s="4102"/>
      <c r="D205" s="4102"/>
      <c r="E205" s="4114"/>
      <c r="F205" s="4102"/>
      <c r="G205" s="4102"/>
      <c r="H205" s="4102"/>
      <c r="I205" s="4102"/>
      <c r="J205" s="4102"/>
      <c r="K205" s="4102"/>
      <c r="L205" s="4102"/>
      <c r="M205" s="4102"/>
      <c r="N205" s="4102"/>
      <c r="O205" s="4102"/>
      <c r="P205" s="4102"/>
    </row>
    <row r="206" spans="2:16">
      <c r="B206" s="4102" t="s">
        <v>7607</v>
      </c>
      <c r="C206" s="4102"/>
      <c r="D206" s="4102"/>
      <c r="E206" s="4102"/>
      <c r="F206" s="4102"/>
      <c r="G206" s="4102"/>
      <c r="H206" s="4102"/>
      <c r="I206" s="4102"/>
      <c r="J206" s="4102"/>
      <c r="K206" s="4102"/>
      <c r="L206" s="4102"/>
      <c r="M206" s="4102"/>
      <c r="N206" s="4102"/>
      <c r="O206" s="4102"/>
      <c r="P206" s="4102"/>
    </row>
    <row r="207" spans="2:16">
      <c r="B207" s="4102"/>
      <c r="C207" s="4102"/>
      <c r="D207" s="4102"/>
      <c r="E207" s="4102"/>
      <c r="F207" s="4102"/>
      <c r="G207" s="4102"/>
      <c r="H207" s="4102"/>
      <c r="I207" s="4102"/>
      <c r="J207" s="4102"/>
      <c r="K207" s="4102"/>
      <c r="L207" s="4102"/>
      <c r="M207" s="4102"/>
      <c r="N207" s="4102"/>
      <c r="O207" s="4102"/>
      <c r="P207" s="4102"/>
    </row>
    <row r="208" spans="2:16" ht="18.75">
      <c r="B208" s="4101" t="s">
        <v>7608</v>
      </c>
      <c r="C208" s="4101"/>
      <c r="D208" s="4102"/>
      <c r="E208" s="4102"/>
      <c r="F208" s="4102"/>
      <c r="G208" s="4102"/>
      <c r="H208" s="4102"/>
      <c r="I208" s="4102"/>
      <c r="J208" s="4102"/>
      <c r="K208" s="4102"/>
      <c r="L208" s="4102"/>
      <c r="M208" s="4102"/>
      <c r="N208" s="4102"/>
      <c r="O208" s="4102"/>
      <c r="P208" s="4102"/>
    </row>
    <row r="209" spans="2:16">
      <c r="B209" s="4113" t="s">
        <v>723</v>
      </c>
      <c r="C209" s="4114" t="s">
        <v>7609</v>
      </c>
      <c r="D209" s="4102"/>
      <c r="E209" s="4102"/>
      <c r="F209" s="4102"/>
      <c r="G209" s="4102"/>
      <c r="H209" s="4102"/>
      <c r="I209" s="4102"/>
      <c r="J209" s="4102"/>
      <c r="K209" s="4102"/>
      <c r="L209" s="4102"/>
      <c r="M209" s="4102"/>
      <c r="N209" s="4102"/>
      <c r="O209" s="4102"/>
      <c r="P209" s="4102"/>
    </row>
    <row r="210" spans="2:16">
      <c r="B210" s="4102"/>
      <c r="C210" s="4102"/>
      <c r="D210" s="4102"/>
      <c r="E210" s="4102"/>
      <c r="F210" s="4102"/>
      <c r="G210" s="4102"/>
      <c r="H210" s="4102"/>
      <c r="I210" s="4102"/>
      <c r="J210" s="4102"/>
      <c r="K210" s="4102"/>
      <c r="L210" s="4102"/>
      <c r="M210" s="4102"/>
      <c r="N210" s="4102"/>
      <c r="O210" s="4102"/>
      <c r="P210" s="4102"/>
    </row>
    <row r="211" spans="2:16" ht="18.75">
      <c r="B211" s="4101" t="s">
        <v>7596</v>
      </c>
      <c r="C211" s="4101"/>
      <c r="D211" s="4102"/>
      <c r="E211" s="4102"/>
      <c r="F211" s="4102"/>
      <c r="G211" s="4102"/>
      <c r="H211" s="4102"/>
      <c r="I211" s="4102"/>
      <c r="J211" s="4102"/>
      <c r="K211" s="4102"/>
      <c r="L211" s="4102"/>
      <c r="M211" s="4102"/>
      <c r="N211" s="4102"/>
      <c r="O211" s="4102"/>
      <c r="P211" s="4102"/>
    </row>
    <row r="212" spans="2:16">
      <c r="B212" s="4113" t="s">
        <v>723</v>
      </c>
      <c r="C212" s="4114" t="s">
        <v>7597</v>
      </c>
      <c r="D212" s="4102"/>
      <c r="E212" s="4102"/>
      <c r="F212" s="4102"/>
      <c r="G212" s="4102"/>
      <c r="H212" s="4102"/>
      <c r="I212" s="4102"/>
      <c r="J212" s="4102"/>
      <c r="K212" s="4102"/>
      <c r="L212" s="4102"/>
      <c r="M212" s="4102"/>
      <c r="N212" s="4102"/>
      <c r="O212" s="4102"/>
      <c r="P212" s="4102"/>
    </row>
    <row r="213" spans="2:16">
      <c r="B213" s="4102"/>
      <c r="C213" s="4102"/>
      <c r="D213" s="4102"/>
      <c r="E213" s="4102"/>
      <c r="F213" s="4102"/>
      <c r="G213" s="4102"/>
      <c r="H213" s="4102"/>
      <c r="I213" s="4102"/>
      <c r="J213" s="4102"/>
      <c r="K213" s="4102"/>
      <c r="L213" s="4102"/>
      <c r="M213" s="4102"/>
      <c r="N213" s="4102"/>
      <c r="O213" s="4102"/>
      <c r="P213" s="4102"/>
    </row>
    <row r="214" spans="2:16" ht="18.75">
      <c r="B214" s="4101" t="s">
        <v>7610</v>
      </c>
      <c r="C214" s="4101"/>
      <c r="D214" s="4102"/>
      <c r="E214" s="4102"/>
      <c r="F214" s="4102"/>
      <c r="G214" s="4102"/>
      <c r="H214" s="4102"/>
      <c r="I214" s="4102"/>
      <c r="J214" s="4102"/>
      <c r="K214" s="4102"/>
      <c r="L214" s="4102"/>
      <c r="M214" s="4102"/>
      <c r="N214" s="4102"/>
      <c r="O214" s="4102"/>
      <c r="P214" s="4102"/>
    </row>
    <row r="215" spans="2:16">
      <c r="B215" s="4113" t="s">
        <v>723</v>
      </c>
      <c r="C215" s="4114" t="s">
        <v>7611</v>
      </c>
      <c r="D215" s="4102"/>
      <c r="E215" s="4102"/>
      <c r="F215" s="4102"/>
      <c r="G215" s="4102"/>
      <c r="H215" s="4102"/>
      <c r="I215" s="4102"/>
      <c r="J215" s="4102"/>
      <c r="K215" s="4102"/>
      <c r="L215" s="4102"/>
      <c r="M215" s="4102"/>
      <c r="N215" s="4102"/>
      <c r="O215" s="4102"/>
      <c r="P215" s="4102"/>
    </row>
    <row r="216" spans="2:16">
      <c r="B216" s="4102"/>
      <c r="C216" s="4102"/>
      <c r="D216" s="4102"/>
      <c r="E216" s="4102"/>
      <c r="F216" s="4102"/>
      <c r="G216" s="4102"/>
      <c r="H216" s="4102"/>
      <c r="I216" s="4102"/>
      <c r="J216" s="4102"/>
      <c r="K216" s="4102"/>
      <c r="L216" s="4102"/>
      <c r="M216" s="4102"/>
      <c r="N216" s="4102"/>
      <c r="O216" s="4102"/>
      <c r="P216" s="4102"/>
    </row>
    <row r="217" spans="2:16" ht="18.75">
      <c r="B217" s="4101" t="s">
        <v>7612</v>
      </c>
      <c r="C217" s="4102"/>
      <c r="D217" s="4102"/>
      <c r="E217" s="4102"/>
      <c r="F217" s="4102"/>
      <c r="G217" s="4102"/>
      <c r="H217" s="4102"/>
      <c r="I217" s="4102"/>
      <c r="J217" s="4102"/>
      <c r="K217" s="4102"/>
      <c r="L217" s="4102"/>
      <c r="M217" s="4102"/>
      <c r="N217" s="4102"/>
      <c r="O217" s="4102"/>
      <c r="P217" s="4102"/>
    </row>
    <row r="218" spans="2:16">
      <c r="B218" s="4113" t="s">
        <v>723</v>
      </c>
      <c r="C218" s="4115" t="s">
        <v>7613</v>
      </c>
      <c r="D218" s="4102"/>
      <c r="E218" s="4102"/>
      <c r="F218" s="4102"/>
      <c r="G218" s="4102"/>
      <c r="H218" s="4102"/>
      <c r="I218" s="4102"/>
      <c r="J218" s="4102"/>
      <c r="K218" s="4102"/>
      <c r="L218" s="4102"/>
      <c r="M218" s="4102"/>
      <c r="N218" s="4102"/>
      <c r="O218" s="4102"/>
      <c r="P218" s="4102"/>
    </row>
    <row r="219" spans="2:16">
      <c r="B219" s="7137" t="s">
        <v>7614</v>
      </c>
      <c r="C219" s="7137"/>
      <c r="D219" s="4114" t="s">
        <v>7615</v>
      </c>
      <c r="E219" s="4102"/>
      <c r="F219" s="4102"/>
      <c r="G219" s="4102"/>
      <c r="H219" s="4102"/>
      <c r="I219" s="4102"/>
      <c r="J219" s="4102"/>
      <c r="K219" s="4102"/>
      <c r="L219" s="4102"/>
      <c r="M219" s="4102"/>
      <c r="N219" s="4102"/>
      <c r="O219" s="4102"/>
      <c r="P219" s="4102"/>
    </row>
    <row r="220" spans="2:16">
      <c r="B220" s="4102"/>
      <c r="C220" s="4102"/>
      <c r="D220" s="4102"/>
      <c r="E220" s="4102"/>
      <c r="F220" s="4102"/>
      <c r="G220" s="4102"/>
      <c r="H220" s="4102"/>
      <c r="I220" s="4102"/>
      <c r="J220" s="4102"/>
      <c r="K220" s="4102"/>
      <c r="L220" s="4102"/>
      <c r="M220" s="4102"/>
      <c r="N220" s="4102"/>
      <c r="O220" s="4102"/>
      <c r="P220" s="4102"/>
    </row>
    <row r="221" spans="2:16" ht="18.75">
      <c r="B221" s="4101" t="s">
        <v>7616</v>
      </c>
      <c r="C221" s="4102"/>
      <c r="D221" s="4102"/>
      <c r="E221" s="4102"/>
      <c r="F221" s="4102"/>
      <c r="G221" s="4102"/>
      <c r="H221" s="4102"/>
      <c r="I221" s="4102"/>
      <c r="J221" s="4102"/>
      <c r="K221" s="4102"/>
      <c r="L221" s="4102"/>
      <c r="M221" s="4102"/>
      <c r="N221" s="4102"/>
      <c r="O221" s="4102"/>
      <c r="P221" s="4102"/>
    </row>
    <row r="222" spans="2:16">
      <c r="B222" s="4113" t="s">
        <v>723</v>
      </c>
      <c r="C222" s="4114" t="s">
        <v>7617</v>
      </c>
      <c r="D222" s="4102"/>
      <c r="E222" s="4102"/>
      <c r="F222" s="4102"/>
      <c r="G222" s="4102"/>
      <c r="H222" s="4102"/>
      <c r="I222" s="4102"/>
      <c r="J222" s="4102"/>
      <c r="K222" s="4102"/>
      <c r="L222" s="4102"/>
      <c r="M222" s="4102"/>
      <c r="N222" s="4102"/>
      <c r="O222" s="4102"/>
      <c r="P222" s="4102"/>
    </row>
    <row r="223" spans="2:16">
      <c r="B223" s="7137" t="s">
        <v>7618</v>
      </c>
      <c r="C223" s="7137"/>
      <c r="D223" s="4114" t="s">
        <v>7619</v>
      </c>
      <c r="E223" s="4102"/>
      <c r="F223" s="4102"/>
      <c r="G223" s="4102"/>
      <c r="H223" s="4102"/>
      <c r="I223" s="4102"/>
      <c r="J223" s="4102"/>
      <c r="K223" s="4102"/>
      <c r="L223" s="4102"/>
      <c r="M223" s="4102"/>
      <c r="N223" s="4102"/>
      <c r="O223" s="4102"/>
      <c r="P223" s="4102"/>
    </row>
    <row r="224" spans="2:16">
      <c r="B224" s="4102"/>
      <c r="C224" s="4102"/>
      <c r="D224" s="4102"/>
      <c r="E224" s="4102"/>
      <c r="F224" s="4102"/>
      <c r="G224" s="4102"/>
      <c r="H224" s="4102"/>
      <c r="I224" s="4102"/>
      <c r="J224" s="4102"/>
      <c r="K224" s="4102"/>
      <c r="L224" s="4102"/>
      <c r="M224" s="4102"/>
      <c r="N224" s="4102"/>
      <c r="O224" s="4102"/>
      <c r="P224" s="4102"/>
    </row>
    <row r="225" spans="1:16" ht="18.75">
      <c r="B225" s="4101" t="s">
        <v>7620</v>
      </c>
      <c r="C225" s="4101"/>
      <c r="D225" s="4102"/>
      <c r="E225" s="4102"/>
      <c r="F225" s="4102"/>
      <c r="G225" s="4102"/>
      <c r="H225" s="4102"/>
      <c r="I225" s="4102"/>
      <c r="J225" s="4102"/>
      <c r="K225" s="4102"/>
      <c r="L225" s="4102"/>
      <c r="M225" s="4102"/>
      <c r="N225" s="4102"/>
      <c r="O225" s="4102"/>
      <c r="P225" s="4102"/>
    </row>
    <row r="226" spans="1:16">
      <c r="B226" s="4113" t="s">
        <v>723</v>
      </c>
      <c r="C226" s="4114" t="s">
        <v>7621</v>
      </c>
      <c r="D226" s="4102"/>
      <c r="E226" s="4102"/>
      <c r="F226" s="4102"/>
      <c r="G226" s="4102"/>
      <c r="H226" s="4102"/>
      <c r="I226" s="4102"/>
      <c r="J226" s="4102"/>
      <c r="K226" s="4102"/>
      <c r="L226" s="4102"/>
      <c r="M226" s="4102"/>
      <c r="N226" s="4102"/>
      <c r="O226" s="4102"/>
      <c r="P226" s="4102"/>
    </row>
    <row r="227" spans="1:16">
      <c r="B227" s="4102"/>
      <c r="C227" s="4102"/>
      <c r="D227" s="4102"/>
      <c r="E227" s="4102"/>
      <c r="F227" s="4102"/>
      <c r="G227" s="4102"/>
      <c r="H227" s="4102"/>
      <c r="I227" s="4102"/>
      <c r="J227" s="4102"/>
      <c r="K227" s="4102"/>
      <c r="L227" s="4102"/>
      <c r="M227" s="4102"/>
      <c r="N227" s="4102"/>
      <c r="O227" s="4102"/>
      <c r="P227" s="4102"/>
    </row>
    <row r="228" spans="1:16" ht="18.75">
      <c r="A228" s="4102"/>
      <c r="B228" s="4101" t="s">
        <v>7622</v>
      </c>
      <c r="C228" s="4101"/>
      <c r="D228" s="4102"/>
      <c r="E228" s="4102"/>
      <c r="F228" s="4102"/>
      <c r="G228" s="4102"/>
      <c r="H228" s="4102"/>
      <c r="I228" s="4102"/>
      <c r="J228" s="4102"/>
      <c r="K228" s="4102"/>
      <c r="L228" s="4102"/>
      <c r="M228" s="4102"/>
      <c r="N228" s="4102"/>
      <c r="O228" s="4102"/>
      <c r="P228" s="4102"/>
    </row>
    <row r="229" spans="1:16">
      <c r="A229" s="4102"/>
      <c r="B229" s="4113" t="s">
        <v>723</v>
      </c>
      <c r="C229" s="4114" t="s">
        <v>7623</v>
      </c>
      <c r="D229" s="4102"/>
      <c r="E229" s="4102"/>
      <c r="F229" s="4102"/>
      <c r="G229" s="4102"/>
      <c r="H229" s="4102"/>
      <c r="I229" s="4102"/>
      <c r="J229" s="4102"/>
      <c r="K229" s="4102"/>
      <c r="L229" s="4102"/>
      <c r="M229" s="4102"/>
      <c r="N229" s="4102"/>
      <c r="O229" s="4102"/>
      <c r="P229" s="4102"/>
    </row>
    <row r="230" spans="1:16">
      <c r="B230" s="4102"/>
      <c r="C230" s="4102"/>
      <c r="D230" s="4102"/>
      <c r="E230" s="4102"/>
      <c r="F230" s="4102"/>
      <c r="G230" s="4102"/>
      <c r="H230" s="4102"/>
      <c r="I230" s="4102"/>
      <c r="J230" s="4102"/>
      <c r="K230" s="4102"/>
      <c r="L230" s="4102"/>
      <c r="M230" s="4102"/>
      <c r="N230" s="4102"/>
      <c r="O230" s="4102"/>
      <c r="P230" s="4102"/>
    </row>
    <row r="231" spans="1:16" ht="18.75">
      <c r="B231" s="4101" t="s">
        <v>7624</v>
      </c>
      <c r="C231" s="4102"/>
      <c r="D231" s="4102"/>
      <c r="E231" s="4102"/>
      <c r="F231" s="4102"/>
      <c r="G231" s="4102"/>
      <c r="H231" s="4102"/>
      <c r="I231" s="4102"/>
      <c r="J231" s="4102"/>
      <c r="K231" s="4102"/>
      <c r="L231" s="4102"/>
      <c r="M231" s="4102"/>
      <c r="N231" s="4102"/>
      <c r="O231" s="4102"/>
      <c r="P231" s="4102"/>
    </row>
    <row r="232" spans="1:16">
      <c r="B232" s="4113" t="s">
        <v>723</v>
      </c>
      <c r="C232" s="4114" t="s">
        <v>7625</v>
      </c>
      <c r="D232" s="4102"/>
      <c r="E232" s="4102"/>
      <c r="F232" s="4102"/>
      <c r="G232" s="4102"/>
      <c r="H232" s="4102"/>
      <c r="I232" s="4102"/>
      <c r="J232" s="4102"/>
      <c r="K232" s="4102"/>
      <c r="L232" s="4102"/>
      <c r="M232" s="4102"/>
      <c r="N232" s="4102"/>
      <c r="O232" s="4102"/>
      <c r="P232" s="4102"/>
    </row>
    <row r="233" spans="1:16">
      <c r="B233" s="7137" t="s">
        <v>7626</v>
      </c>
      <c r="C233" s="7137"/>
      <c r="D233" s="4114" t="s">
        <v>7627</v>
      </c>
      <c r="E233" s="4102"/>
      <c r="F233" s="4102"/>
      <c r="G233" s="4102"/>
      <c r="H233" s="4102"/>
      <c r="I233" s="4102"/>
      <c r="J233" s="4102"/>
      <c r="K233" s="4102"/>
      <c r="L233" s="4102"/>
      <c r="M233" s="4102"/>
      <c r="N233" s="4102"/>
      <c r="O233" s="4102"/>
      <c r="P233" s="4102"/>
    </row>
    <row r="234" spans="1:16">
      <c r="B234" s="4102"/>
      <c r="C234" s="4102"/>
      <c r="D234" s="4102"/>
      <c r="E234" s="4102"/>
      <c r="F234" s="4102"/>
      <c r="G234" s="4102"/>
      <c r="H234" s="4102"/>
      <c r="I234" s="4102"/>
      <c r="J234" s="4102"/>
      <c r="K234" s="4102"/>
      <c r="L234" s="4102"/>
      <c r="M234" s="4102"/>
      <c r="N234" s="4102"/>
      <c r="O234" s="4102"/>
      <c r="P234" s="4102"/>
    </row>
    <row r="235" spans="1:16">
      <c r="B235" s="4102" t="s">
        <v>7628</v>
      </c>
      <c r="C235" s="4102"/>
      <c r="D235" s="4102"/>
      <c r="E235" s="4102"/>
      <c r="F235" s="4102"/>
      <c r="G235" s="4102"/>
      <c r="H235" s="4102"/>
      <c r="I235" s="4102"/>
      <c r="J235" s="4102"/>
      <c r="K235" s="4102"/>
      <c r="L235" s="4102"/>
      <c r="M235" s="4102" t="s">
        <v>7577</v>
      </c>
      <c r="N235" s="4102"/>
      <c r="O235" s="4102"/>
      <c r="P235" s="4102"/>
    </row>
    <row r="236" spans="1:16">
      <c r="B236" s="4102" t="s">
        <v>7629</v>
      </c>
      <c r="C236" s="4102"/>
      <c r="D236" s="4102"/>
      <c r="E236" s="4102"/>
      <c r="F236" s="4102"/>
      <c r="G236" s="4102"/>
      <c r="H236" s="4102"/>
      <c r="I236" s="4102"/>
      <c r="J236" s="4102"/>
      <c r="K236" s="4102"/>
      <c r="L236" s="4102"/>
      <c r="M236" s="4102"/>
      <c r="N236" s="4102"/>
      <c r="O236" s="4102"/>
      <c r="P236" s="4102"/>
    </row>
    <row r="237" spans="1:16">
      <c r="B237" s="4102" t="s">
        <v>7630</v>
      </c>
      <c r="C237" s="4102"/>
      <c r="D237" s="4102"/>
      <c r="E237" s="4102"/>
      <c r="F237" s="4102"/>
      <c r="G237" s="4102"/>
      <c r="H237" s="4102"/>
      <c r="I237" s="4102"/>
      <c r="J237" s="4102"/>
      <c r="K237" s="4102"/>
      <c r="L237" s="4102"/>
      <c r="M237" s="4102"/>
      <c r="N237" s="4102"/>
      <c r="O237" s="4102"/>
      <c r="P237" s="4102"/>
    </row>
    <row r="238" spans="1:16">
      <c r="B238" s="4102" t="s">
        <v>7631</v>
      </c>
      <c r="C238" s="4102"/>
      <c r="D238" s="4102"/>
      <c r="E238" s="4102"/>
      <c r="F238" s="4102"/>
      <c r="G238" s="4102"/>
      <c r="H238" s="4102"/>
      <c r="I238" s="4102"/>
      <c r="J238" s="4102"/>
      <c r="K238" s="4102"/>
      <c r="L238" s="4102"/>
      <c r="M238" s="4102"/>
      <c r="N238" s="4102"/>
      <c r="O238" s="4102"/>
      <c r="P238" s="4102"/>
    </row>
    <row r="239" spans="1:16">
      <c r="B239" s="4102" t="s">
        <v>7632</v>
      </c>
      <c r="C239" s="4102"/>
      <c r="D239" s="4102"/>
      <c r="E239" s="4102"/>
      <c r="F239" s="4102"/>
      <c r="G239" s="4102"/>
      <c r="H239" s="4102"/>
      <c r="I239" s="4102"/>
      <c r="J239" s="4102"/>
      <c r="K239" s="4102"/>
      <c r="L239" s="4102"/>
      <c r="M239" s="4102"/>
      <c r="N239" s="4102"/>
      <c r="O239" s="4102"/>
      <c r="P239" s="4102"/>
    </row>
    <row r="240" spans="1:16">
      <c r="B240" s="4102" t="s">
        <v>7633</v>
      </c>
      <c r="C240" s="4102"/>
      <c r="D240" s="4102"/>
      <c r="E240" s="4102"/>
      <c r="F240" s="4102"/>
      <c r="G240" s="4102"/>
      <c r="H240" s="4102"/>
      <c r="I240" s="4102"/>
      <c r="J240" s="4102"/>
      <c r="K240" s="4102"/>
      <c r="L240" s="4102"/>
      <c r="M240" s="4102" t="s">
        <v>7619</v>
      </c>
      <c r="N240" s="4102"/>
      <c r="O240" s="4102"/>
      <c r="P240" s="4102"/>
    </row>
    <row r="241" spans="1:16">
      <c r="B241" s="4102"/>
      <c r="C241" s="4102"/>
      <c r="D241" s="4102"/>
      <c r="E241" s="4102"/>
      <c r="F241" s="4102"/>
      <c r="G241" s="4102"/>
      <c r="H241" s="4102"/>
      <c r="I241" s="4102"/>
      <c r="J241" s="4102"/>
      <c r="K241" s="4102"/>
      <c r="L241" s="4102"/>
      <c r="M241" s="4102"/>
      <c r="N241" s="4102"/>
      <c r="O241" s="4102"/>
      <c r="P241" s="4102"/>
    </row>
    <row r="242" spans="1:16">
      <c r="B242" s="4102"/>
      <c r="C242" s="4102"/>
      <c r="D242" s="4102"/>
      <c r="E242" s="4102"/>
      <c r="F242" s="4102"/>
      <c r="G242" s="4102"/>
      <c r="H242" s="4102"/>
      <c r="I242" s="4102"/>
      <c r="J242" s="4102"/>
      <c r="K242" s="4102"/>
      <c r="L242" s="4102"/>
      <c r="M242" s="4102"/>
      <c r="N242" s="4102"/>
      <c r="O242" s="4102"/>
      <c r="P242" s="4102"/>
    </row>
    <row r="243" spans="1:16" s="2127" customFormat="1" ht="21.75" customHeight="1">
      <c r="A243" s="4106"/>
      <c r="B243" s="4110"/>
      <c r="C243" s="4110" t="s">
        <v>2024</v>
      </c>
      <c r="D243" s="2296"/>
      <c r="E243" s="2126"/>
      <c r="F243" s="2126"/>
      <c r="G243" s="2126"/>
      <c r="H243" s="2126"/>
      <c r="I243" s="2126"/>
      <c r="J243" s="2126"/>
      <c r="K243" s="2126"/>
      <c r="L243" s="2126"/>
      <c r="M243" s="2126"/>
      <c r="N243" s="2126"/>
      <c r="O243" s="2126"/>
      <c r="P243" s="2126"/>
    </row>
    <row r="244" spans="1:16">
      <c r="B244" s="4102"/>
      <c r="C244" s="4122"/>
      <c r="D244" s="4102"/>
      <c r="E244" s="4102"/>
      <c r="F244" s="4102"/>
      <c r="G244" s="4102"/>
      <c r="H244" s="4102"/>
      <c r="I244" s="4102"/>
      <c r="J244" s="4102"/>
      <c r="K244" s="4102"/>
      <c r="L244" s="4102"/>
      <c r="M244" s="4102"/>
      <c r="N244" s="4102"/>
      <c r="O244" s="4102"/>
      <c r="P244" s="4102"/>
    </row>
    <row r="245" spans="1:16" ht="18.75">
      <c r="B245" s="4101" t="s">
        <v>7634</v>
      </c>
      <c r="C245" s="4102"/>
      <c r="D245" s="4102"/>
      <c r="E245" s="4102"/>
      <c r="F245" s="4102"/>
      <c r="G245" s="4102"/>
      <c r="H245" s="4102"/>
      <c r="I245" s="4102"/>
      <c r="J245" s="4102"/>
      <c r="K245" s="4102"/>
      <c r="L245" s="4102"/>
      <c r="M245" s="4102"/>
      <c r="N245" s="4102"/>
      <c r="O245" s="4102"/>
      <c r="P245" s="4102"/>
    </row>
    <row r="246" spans="1:16" ht="18.75">
      <c r="B246" s="4113" t="s">
        <v>990</v>
      </c>
      <c r="C246" s="4118" t="s">
        <v>7635</v>
      </c>
      <c r="D246" s="4102"/>
      <c r="E246" s="4102"/>
      <c r="F246" s="4102"/>
      <c r="G246" s="4102"/>
      <c r="H246" s="4102"/>
      <c r="I246" s="4102"/>
      <c r="J246" s="4102"/>
      <c r="K246" s="4102"/>
      <c r="L246" s="4102"/>
      <c r="M246" s="4102"/>
      <c r="N246" s="4102"/>
      <c r="O246" s="4102"/>
      <c r="P246" s="4102"/>
    </row>
    <row r="247" spans="1:16">
      <c r="B247" s="4102"/>
      <c r="C247" s="4122"/>
      <c r="D247" s="4102"/>
      <c r="E247" s="4102"/>
      <c r="F247" s="4102"/>
      <c r="G247" s="4102"/>
      <c r="H247" s="4102"/>
      <c r="I247" s="4102"/>
      <c r="J247" s="4102"/>
      <c r="K247" s="4102"/>
      <c r="L247" s="4102"/>
      <c r="M247" s="4102"/>
      <c r="N247" s="4102"/>
      <c r="O247" s="4102"/>
      <c r="P247" s="4102"/>
    </row>
    <row r="248" spans="1:16" ht="18.75">
      <c r="B248" s="4101" t="s">
        <v>7636</v>
      </c>
      <c r="C248" s="4102"/>
      <c r="D248" s="4102"/>
      <c r="E248" s="4102"/>
      <c r="F248" s="4102"/>
      <c r="G248" s="4102"/>
      <c r="H248" s="4102"/>
      <c r="I248" s="4102"/>
      <c r="J248" s="4102"/>
      <c r="K248" s="4102"/>
      <c r="L248" s="4102"/>
      <c r="M248" s="4102"/>
      <c r="N248" s="4102"/>
      <c r="O248" s="4102"/>
      <c r="P248" s="4102"/>
    </row>
    <row r="249" spans="1:16" ht="18.75">
      <c r="B249" s="4113" t="s">
        <v>990</v>
      </c>
      <c r="C249" s="4118" t="s">
        <v>7637</v>
      </c>
      <c r="D249" s="4102"/>
      <c r="E249" s="4102"/>
      <c r="F249" s="4102"/>
      <c r="G249" s="4102"/>
      <c r="H249" s="4102"/>
      <c r="I249" s="4102"/>
      <c r="J249" s="4102"/>
      <c r="K249" s="4102"/>
      <c r="L249" s="4102"/>
      <c r="M249" s="4102"/>
      <c r="N249" s="4102"/>
      <c r="O249" s="4102"/>
      <c r="P249" s="4102"/>
    </row>
    <row r="250" spans="1:16">
      <c r="B250" s="4102"/>
      <c r="C250" s="4122"/>
      <c r="D250" s="4102"/>
      <c r="E250" s="4102"/>
      <c r="F250" s="4102"/>
      <c r="G250" s="4102"/>
      <c r="H250" s="4102"/>
      <c r="I250" s="4102"/>
      <c r="J250" s="4102"/>
      <c r="K250" s="4102"/>
      <c r="L250" s="4102"/>
      <c r="M250" s="4102"/>
      <c r="N250" s="4102"/>
      <c r="O250" s="4102"/>
      <c r="P250" s="4102"/>
    </row>
    <row r="251" spans="1:16" ht="18.75">
      <c r="B251" s="4113" t="s">
        <v>990</v>
      </c>
      <c r="C251" s="4118" t="s">
        <v>2026</v>
      </c>
      <c r="D251" s="4102"/>
      <c r="E251" s="4102"/>
      <c r="F251" s="4102"/>
      <c r="G251" s="4102"/>
      <c r="H251" s="4102"/>
      <c r="I251" s="4102"/>
      <c r="J251" s="4102"/>
      <c r="K251" s="4102" t="s">
        <v>2025</v>
      </c>
      <c r="L251" s="4102"/>
      <c r="M251" s="4102"/>
      <c r="N251" s="4102"/>
      <c r="O251" s="4102"/>
      <c r="P251" s="4102"/>
    </row>
    <row r="252" spans="1:16">
      <c r="B252" s="4102"/>
      <c r="C252" s="4122"/>
      <c r="D252" s="4102"/>
      <c r="E252" s="4102"/>
      <c r="F252" s="4102"/>
      <c r="G252" s="4102"/>
      <c r="H252" s="4102"/>
      <c r="I252" s="4102"/>
      <c r="J252" s="4102"/>
      <c r="K252" s="4102"/>
      <c r="L252" s="4102"/>
      <c r="M252" s="4102"/>
      <c r="N252" s="4102"/>
      <c r="O252" s="4102"/>
      <c r="P252" s="4102"/>
    </row>
    <row r="253" spans="1:16" ht="18.75">
      <c r="B253" s="4113" t="s">
        <v>723</v>
      </c>
      <c r="C253" s="4118" t="s">
        <v>2027</v>
      </c>
      <c r="D253" s="4102"/>
      <c r="E253" s="4102"/>
      <c r="F253" s="4102"/>
      <c r="G253" s="4102"/>
      <c r="H253" s="4102"/>
      <c r="I253" s="4102"/>
      <c r="J253" s="4102"/>
      <c r="K253" s="4102"/>
      <c r="L253" s="4102"/>
      <c r="M253" s="4102"/>
      <c r="N253" s="4102"/>
      <c r="O253" s="4102"/>
      <c r="P253" s="4102"/>
    </row>
    <row r="254" spans="1:16">
      <c r="B254" s="4102"/>
      <c r="C254" s="4122"/>
      <c r="D254" s="4102"/>
      <c r="E254" s="4102"/>
      <c r="F254" s="4102"/>
      <c r="G254" s="4102"/>
      <c r="H254" s="4102"/>
      <c r="I254" s="4102"/>
      <c r="J254" s="4102"/>
      <c r="K254" s="4102"/>
      <c r="L254" s="4102"/>
      <c r="M254" s="4102"/>
      <c r="N254" s="4102"/>
      <c r="O254" s="4102"/>
      <c r="P254" s="4102"/>
    </row>
    <row r="255" spans="1:16" ht="18.75">
      <c r="B255" s="4113" t="s">
        <v>723</v>
      </c>
      <c r="C255" s="4118" t="s">
        <v>2031</v>
      </c>
      <c r="D255" s="4102"/>
      <c r="E255" s="4102"/>
      <c r="F255" s="4102"/>
      <c r="G255" s="4102"/>
      <c r="H255" s="4102"/>
      <c r="I255" s="4102"/>
      <c r="J255" s="4102"/>
      <c r="K255" s="4102" t="s">
        <v>2030</v>
      </c>
      <c r="L255" s="4102"/>
      <c r="M255" s="4102"/>
      <c r="N255" s="4102"/>
      <c r="O255" s="4102"/>
      <c r="P255" s="4102"/>
    </row>
    <row r="256" spans="1:16">
      <c r="B256" s="4102"/>
      <c r="C256" s="4122"/>
      <c r="D256" s="4102"/>
      <c r="E256" s="4102"/>
      <c r="F256" s="4102"/>
      <c r="G256" s="4102"/>
      <c r="H256" s="4102"/>
      <c r="I256" s="4102"/>
      <c r="J256" s="4102"/>
      <c r="K256" s="4102"/>
      <c r="L256" s="4102"/>
      <c r="M256" s="4102"/>
      <c r="N256" s="4102"/>
      <c r="O256" s="4102"/>
      <c r="P256" s="4102"/>
    </row>
    <row r="257" spans="2:16" ht="18.75">
      <c r="B257" s="4113" t="s">
        <v>723</v>
      </c>
      <c r="C257" s="4118" t="s">
        <v>2033</v>
      </c>
      <c r="D257" s="4102"/>
      <c r="E257" s="4102"/>
      <c r="F257" s="4102"/>
      <c r="G257" s="4102"/>
      <c r="H257" s="4102"/>
      <c r="I257" s="4102"/>
      <c r="J257" s="4102"/>
      <c r="K257" s="4102" t="s">
        <v>2032</v>
      </c>
      <c r="L257" s="4102"/>
      <c r="M257" s="4102"/>
      <c r="N257" s="4102"/>
      <c r="O257" s="4102"/>
      <c r="P257" s="4102"/>
    </row>
    <row r="258" spans="2:16">
      <c r="B258" s="4102"/>
      <c r="C258" s="4122"/>
      <c r="D258" s="4102"/>
      <c r="E258" s="4102"/>
      <c r="F258" s="4102"/>
      <c r="G258" s="4102"/>
      <c r="H258" s="4102"/>
      <c r="I258" s="4102"/>
      <c r="J258" s="4102"/>
      <c r="K258" s="4102"/>
      <c r="L258" s="4102"/>
      <c r="M258" s="4102"/>
      <c r="N258" s="4102"/>
      <c r="O258" s="4102"/>
      <c r="P258" s="4102"/>
    </row>
    <row r="259" spans="2:16" ht="18.75">
      <c r="B259" s="4113" t="s">
        <v>723</v>
      </c>
      <c r="C259" s="4118" t="s">
        <v>2035</v>
      </c>
      <c r="D259" s="4102"/>
      <c r="E259" s="4102"/>
      <c r="F259" s="4102"/>
      <c r="G259" s="4102"/>
      <c r="H259" s="4102"/>
      <c r="I259" s="4102"/>
      <c r="J259" s="4102"/>
      <c r="K259" s="4102" t="s">
        <v>2034</v>
      </c>
      <c r="L259" s="4102"/>
      <c r="M259" s="4102"/>
      <c r="N259" s="4102"/>
      <c r="O259" s="4102"/>
      <c r="P259" s="4102"/>
    </row>
    <row r="260" spans="2:16">
      <c r="B260" s="4102"/>
      <c r="C260" s="4122"/>
      <c r="D260" s="4102"/>
      <c r="E260" s="4102"/>
      <c r="F260" s="4102"/>
      <c r="G260" s="4102"/>
      <c r="H260" s="4102"/>
      <c r="I260" s="4102"/>
      <c r="J260" s="4102"/>
      <c r="K260" s="4102"/>
      <c r="L260" s="4102"/>
      <c r="M260" s="4102"/>
      <c r="N260" s="4102"/>
      <c r="O260" s="4102"/>
      <c r="P260" s="4102"/>
    </row>
    <row r="261" spans="2:16" ht="18.75">
      <c r="B261" s="4113" t="s">
        <v>723</v>
      </c>
      <c r="C261" s="4118" t="s">
        <v>2037</v>
      </c>
      <c r="D261" s="4102"/>
      <c r="E261" s="4102"/>
      <c r="F261" s="4102"/>
      <c r="G261" s="4102"/>
      <c r="H261" s="4102"/>
      <c r="I261" s="4102"/>
      <c r="J261" s="4102"/>
      <c r="K261" s="4102" t="s">
        <v>2036</v>
      </c>
      <c r="L261" s="4102"/>
      <c r="M261" s="4102"/>
      <c r="N261" s="4102"/>
      <c r="O261" s="4102"/>
      <c r="P261" s="4102"/>
    </row>
    <row r="262" spans="2:16">
      <c r="B262" s="4102"/>
      <c r="C262" s="4122"/>
      <c r="D262" s="4102"/>
      <c r="E262" s="4102"/>
      <c r="F262" s="4102"/>
      <c r="G262" s="4102"/>
      <c r="H262" s="4102"/>
      <c r="I262" s="4102"/>
      <c r="J262" s="4102"/>
      <c r="K262" s="4102"/>
      <c r="L262" s="4102"/>
      <c r="M262" s="4102"/>
      <c r="N262" s="4102"/>
      <c r="O262" s="4102"/>
      <c r="P262" s="4102"/>
    </row>
    <row r="263" spans="2:16" ht="18.75">
      <c r="B263" s="4113" t="s">
        <v>723</v>
      </c>
      <c r="C263" s="4118" t="s">
        <v>2029</v>
      </c>
      <c r="D263" s="4102"/>
      <c r="E263" s="4102"/>
      <c r="F263" s="4102"/>
      <c r="G263" s="4102"/>
      <c r="H263" s="4102"/>
      <c r="I263" s="4102"/>
      <c r="J263" s="4102"/>
      <c r="K263" s="4102" t="s">
        <v>2028</v>
      </c>
      <c r="L263" s="4102"/>
      <c r="M263" s="4102"/>
      <c r="N263" s="4102"/>
      <c r="O263" s="4102"/>
      <c r="P263" s="4102"/>
    </row>
    <row r="264" spans="2:16">
      <c r="B264" s="4102"/>
      <c r="C264" s="4122"/>
      <c r="D264" s="4102"/>
      <c r="E264" s="4102"/>
      <c r="F264" s="4102"/>
      <c r="G264" s="4102"/>
      <c r="H264" s="4102"/>
      <c r="I264" s="4102"/>
      <c r="J264" s="4102"/>
      <c r="K264" s="4102"/>
      <c r="L264" s="4102"/>
      <c r="M264" s="4102"/>
      <c r="N264" s="4102"/>
      <c r="O264" s="4102"/>
      <c r="P264" s="4102"/>
    </row>
    <row r="265" spans="2:16" ht="18.75">
      <c r="B265" s="4113" t="s">
        <v>723</v>
      </c>
      <c r="C265" s="4118" t="s">
        <v>2039</v>
      </c>
      <c r="D265" s="4102"/>
      <c r="E265" s="4102"/>
      <c r="F265" s="4102"/>
      <c r="G265" s="4102"/>
      <c r="H265" s="4102"/>
      <c r="I265" s="4102"/>
      <c r="J265" s="4102"/>
      <c r="K265" s="4102" t="s">
        <v>2038</v>
      </c>
      <c r="L265" s="4102"/>
      <c r="M265" s="4102"/>
      <c r="N265" s="4102"/>
      <c r="O265" s="4102"/>
      <c r="P265" s="4102"/>
    </row>
    <row r="266" spans="2:16">
      <c r="B266" s="4102"/>
      <c r="C266" s="4122"/>
      <c r="D266" s="4102"/>
      <c r="E266" s="4102"/>
      <c r="F266" s="4102"/>
      <c r="G266" s="4102"/>
      <c r="H266" s="4102"/>
      <c r="I266" s="4102"/>
      <c r="J266" s="4102"/>
      <c r="K266" s="4102"/>
      <c r="L266" s="4102"/>
      <c r="M266" s="4102"/>
      <c r="N266" s="4102"/>
      <c r="O266" s="4102"/>
      <c r="P266" s="4102"/>
    </row>
    <row r="267" spans="2:16" ht="18.75">
      <c r="B267" s="4113" t="s">
        <v>990</v>
      </c>
      <c r="C267" s="4118" t="s">
        <v>2040</v>
      </c>
      <c r="D267" s="4102"/>
      <c r="E267" s="4102"/>
      <c r="F267" s="4102"/>
      <c r="G267" s="4102"/>
      <c r="H267" s="4102"/>
      <c r="I267" s="4102"/>
      <c r="J267" s="4102"/>
      <c r="K267" s="4102"/>
      <c r="L267" s="4102"/>
      <c r="M267" s="4102"/>
      <c r="N267" s="4102"/>
      <c r="O267" s="4102"/>
      <c r="P267" s="4102"/>
    </row>
    <row r="268" spans="2:16">
      <c r="B268" s="4102"/>
      <c r="C268" s="4122"/>
      <c r="D268" s="4102"/>
      <c r="E268" s="4102"/>
      <c r="F268" s="4102"/>
      <c r="G268" s="4102"/>
      <c r="H268" s="4102"/>
      <c r="I268" s="4102"/>
      <c r="J268" s="4102"/>
      <c r="K268" s="4102"/>
      <c r="L268" s="4102"/>
      <c r="M268" s="4102"/>
      <c r="N268" s="4102"/>
      <c r="O268" s="4102"/>
      <c r="P268" s="4102"/>
    </row>
    <row r="269" spans="2:16" ht="18.75">
      <c r="B269" s="4113" t="s">
        <v>723</v>
      </c>
      <c r="C269" s="4118" t="s">
        <v>2041</v>
      </c>
      <c r="D269" s="4102"/>
      <c r="E269" s="4102"/>
      <c r="F269" s="4102"/>
      <c r="G269" s="4102"/>
      <c r="H269" s="4102"/>
      <c r="I269" s="4102"/>
      <c r="J269" s="4102"/>
      <c r="K269" s="4102"/>
      <c r="L269" s="4102"/>
      <c r="M269" s="4102"/>
      <c r="N269" s="4102"/>
      <c r="O269" s="4102"/>
      <c r="P269" s="4102"/>
    </row>
    <row r="270" spans="2:16">
      <c r="B270" s="4102"/>
      <c r="C270" s="4122"/>
      <c r="D270" s="4102"/>
      <c r="E270" s="4102"/>
      <c r="F270" s="4102"/>
      <c r="G270" s="4102"/>
      <c r="H270" s="4102"/>
      <c r="I270" s="4102"/>
      <c r="J270" s="4102"/>
      <c r="K270" s="4102"/>
      <c r="L270" s="4102"/>
      <c r="M270" s="4102"/>
      <c r="N270" s="4102"/>
      <c r="O270" s="4102"/>
      <c r="P270" s="4102"/>
    </row>
    <row r="271" spans="2:16" ht="18.75">
      <c r="B271" s="4113" t="s">
        <v>723</v>
      </c>
      <c r="C271" s="4118" t="s">
        <v>2242</v>
      </c>
      <c r="D271" s="4102"/>
      <c r="E271" s="4102"/>
      <c r="F271" s="4102"/>
      <c r="G271" s="4102"/>
      <c r="H271" s="4102"/>
      <c r="I271" s="4102"/>
      <c r="J271" s="4102"/>
      <c r="K271" s="4102"/>
      <c r="L271" s="4102"/>
      <c r="M271" s="4102"/>
      <c r="N271" s="4102"/>
      <c r="O271" s="4102"/>
      <c r="P271" s="4102"/>
    </row>
    <row r="272" spans="2:16">
      <c r="B272" s="4102"/>
      <c r="C272" s="4122"/>
      <c r="D272" s="4102"/>
      <c r="E272" s="4102"/>
      <c r="F272" s="4102"/>
      <c r="G272" s="4102"/>
      <c r="H272" s="4102"/>
      <c r="I272" s="4102"/>
      <c r="J272" s="4102"/>
      <c r="K272" s="4102"/>
      <c r="L272" s="4102"/>
      <c r="M272" s="4102"/>
      <c r="N272" s="4102"/>
      <c r="O272" s="4102"/>
      <c r="P272" s="4102"/>
    </row>
    <row r="273" spans="1:16" ht="18.75">
      <c r="B273" s="4113" t="s">
        <v>723</v>
      </c>
      <c r="C273" s="4118" t="s">
        <v>2243</v>
      </c>
      <c r="D273" s="4102"/>
      <c r="E273" s="4102"/>
      <c r="F273" s="4102"/>
      <c r="G273" s="4102"/>
      <c r="H273" s="4102"/>
      <c r="I273" s="4102"/>
      <c r="J273" s="4102"/>
      <c r="K273" s="4102"/>
      <c r="L273" s="4102"/>
      <c r="M273" s="4102"/>
      <c r="N273" s="4102"/>
      <c r="O273" s="4102"/>
      <c r="P273" s="4102"/>
    </row>
    <row r="274" spans="1:16">
      <c r="B274" s="4102"/>
      <c r="C274" s="4122"/>
      <c r="D274" s="4102"/>
      <c r="E274" s="4102"/>
      <c r="F274" s="4102"/>
      <c r="G274" s="4102"/>
      <c r="H274" s="4102"/>
      <c r="I274" s="4102"/>
      <c r="J274" s="4102"/>
      <c r="K274" s="4102"/>
      <c r="L274" s="4102"/>
      <c r="M274" s="4102"/>
      <c r="N274" s="4102"/>
      <c r="O274" s="4102"/>
      <c r="P274" s="4102"/>
    </row>
    <row r="275" spans="1:16" ht="18.75">
      <c r="B275" s="4113" t="s">
        <v>723</v>
      </c>
      <c r="C275" s="4118" t="s">
        <v>2245</v>
      </c>
      <c r="D275" s="4102"/>
      <c r="E275" s="4102"/>
      <c r="F275" s="4102"/>
      <c r="G275" s="4102"/>
      <c r="H275" s="4102"/>
      <c r="I275" s="4102"/>
      <c r="J275" s="4102"/>
      <c r="K275" s="4102"/>
      <c r="L275" s="4102"/>
      <c r="M275" s="4102"/>
      <c r="N275" s="4102"/>
      <c r="O275" s="4102"/>
      <c r="P275" s="4102"/>
    </row>
    <row r="276" spans="1:16">
      <c r="B276" s="4102"/>
      <c r="C276" s="4122"/>
      <c r="D276" s="4102"/>
      <c r="E276" s="4102"/>
      <c r="F276" s="4102"/>
      <c r="G276" s="4102"/>
      <c r="H276" s="4102"/>
      <c r="I276" s="4102"/>
      <c r="J276" s="4102"/>
      <c r="K276" s="4102"/>
      <c r="L276" s="4102"/>
      <c r="M276" s="4102"/>
      <c r="N276" s="4102"/>
      <c r="O276" s="4102"/>
      <c r="P276" s="4102"/>
    </row>
    <row r="277" spans="1:16" ht="18.75">
      <c r="B277" s="4113" t="s">
        <v>723</v>
      </c>
      <c r="C277" s="4118" t="s">
        <v>730</v>
      </c>
      <c r="D277" s="4102"/>
      <c r="E277" s="4102"/>
      <c r="F277" s="4102"/>
      <c r="G277" s="4102"/>
      <c r="H277" s="4102"/>
      <c r="I277" s="4102"/>
      <c r="J277" s="4102"/>
      <c r="K277" s="4102"/>
      <c r="L277" s="4102"/>
      <c r="M277" s="4102"/>
      <c r="N277" s="4102" t="s">
        <v>230</v>
      </c>
      <c r="O277" s="4102"/>
      <c r="P277" s="4102"/>
    </row>
    <row r="278" spans="1:16">
      <c r="B278" s="4102"/>
      <c r="C278" s="4102"/>
      <c r="D278" s="4102"/>
      <c r="E278" s="4102"/>
      <c r="F278" s="4102"/>
      <c r="G278" s="4102"/>
      <c r="H278" s="4102"/>
      <c r="I278" s="4102"/>
      <c r="J278" s="4102"/>
      <c r="K278" s="4102"/>
      <c r="L278" s="4102"/>
      <c r="M278" s="4102"/>
      <c r="N278" s="4102"/>
      <c r="O278" s="4102"/>
      <c r="P278" s="4102"/>
    </row>
    <row r="279" spans="1:16">
      <c r="B279" s="4113" t="s">
        <v>723</v>
      </c>
      <c r="C279" s="4122" t="s">
        <v>722</v>
      </c>
      <c r="D279" s="4102"/>
      <c r="E279" s="4102"/>
      <c r="F279" s="4102"/>
      <c r="G279" s="4102"/>
      <c r="H279" s="4102"/>
      <c r="I279" s="4102"/>
      <c r="J279" s="4102"/>
      <c r="K279" s="4102"/>
      <c r="L279" s="4102"/>
      <c r="M279" s="4102" t="s">
        <v>731</v>
      </c>
      <c r="N279" s="4102"/>
      <c r="O279" s="4102"/>
      <c r="P279" s="4102"/>
    </row>
    <row r="280" spans="1:16">
      <c r="B280" s="4102"/>
      <c r="C280" s="4122"/>
      <c r="D280" s="4102"/>
      <c r="E280" s="4102"/>
      <c r="F280" s="4102"/>
      <c r="G280" s="4102"/>
      <c r="H280" s="4102"/>
      <c r="I280" s="4102"/>
      <c r="J280" s="4102"/>
      <c r="K280" s="4102"/>
      <c r="L280" s="4102"/>
      <c r="M280" s="4102"/>
      <c r="N280" s="4102"/>
      <c r="O280" s="4102"/>
      <c r="P280" s="4102"/>
    </row>
    <row r="281" spans="1:16" ht="18.75">
      <c r="B281" s="4113" t="s">
        <v>365</v>
      </c>
      <c r="C281" s="4118" t="s">
        <v>981</v>
      </c>
      <c r="D281" s="4102"/>
      <c r="E281" s="4102"/>
      <c r="F281" s="4102"/>
      <c r="G281" s="4102"/>
      <c r="H281" s="4102"/>
      <c r="I281" s="4102"/>
      <c r="J281" s="4102"/>
      <c r="K281" s="4102"/>
      <c r="L281" s="4102"/>
      <c r="M281" s="4102"/>
      <c r="N281" s="4102"/>
      <c r="O281" s="4102"/>
      <c r="P281" s="4102"/>
    </row>
    <row r="282" spans="1:16">
      <c r="B282" s="4102"/>
      <c r="C282" s="4102"/>
      <c r="D282" s="4102"/>
      <c r="E282" s="4102"/>
      <c r="F282" s="4102"/>
      <c r="G282" s="4102"/>
      <c r="H282" s="4102"/>
      <c r="I282" s="4102"/>
      <c r="J282" s="4102"/>
      <c r="K282" s="4102"/>
      <c r="L282" s="4102"/>
      <c r="M282" s="4102"/>
      <c r="N282" s="4102"/>
      <c r="O282" s="4102"/>
      <c r="P282" s="4102"/>
    </row>
    <row r="283" spans="1:16" s="2127" customFormat="1" ht="39.950000000000003" customHeight="1">
      <c r="A283" s="2125"/>
      <c r="B283" s="4123" t="s">
        <v>2247</v>
      </c>
      <c r="C283" s="2125"/>
      <c r="D283" s="2125"/>
      <c r="E283" s="2125"/>
      <c r="F283" s="2125"/>
      <c r="G283" s="2125"/>
      <c r="H283" s="2125"/>
      <c r="I283" s="2125"/>
      <c r="J283" s="2125"/>
      <c r="K283" s="2125"/>
      <c r="L283" s="2125"/>
      <c r="M283" s="2125"/>
      <c r="N283" s="2125"/>
      <c r="O283" s="2125"/>
      <c r="P283" s="2125"/>
    </row>
    <row r="284" spans="1:16" s="2127" customFormat="1" ht="24" customHeight="1">
      <c r="A284" s="2125"/>
      <c r="B284" s="4124" t="s">
        <v>2248</v>
      </c>
      <c r="C284" s="2125"/>
      <c r="D284" s="2125"/>
      <c r="E284" s="2125"/>
      <c r="F284" s="2125"/>
      <c r="G284" s="2125"/>
      <c r="H284" s="2125"/>
      <c r="I284" s="2125"/>
      <c r="J284" s="2125"/>
      <c r="K284" s="2125"/>
      <c r="L284" s="2125"/>
      <c r="M284" s="2125"/>
      <c r="N284" s="2125"/>
      <c r="O284" s="2125"/>
      <c r="P284" s="2125"/>
    </row>
    <row r="285" spans="1:16" s="2128" customFormat="1" ht="39.950000000000003" customHeight="1">
      <c r="A285" s="2125"/>
      <c r="B285" s="4125" t="s">
        <v>1983</v>
      </c>
      <c r="C285" s="2309"/>
      <c r="D285" s="2125"/>
      <c r="E285" s="2125"/>
      <c r="F285" s="2125"/>
      <c r="G285" s="2125"/>
      <c r="H285" s="2125"/>
      <c r="I285" s="3046"/>
      <c r="J285" s="2125"/>
      <c r="K285" s="2125"/>
      <c r="L285" s="3046"/>
      <c r="M285" s="3046"/>
      <c r="N285" s="3046"/>
      <c r="O285" s="3046"/>
      <c r="P285" s="4126" t="s">
        <v>7638</v>
      </c>
    </row>
  </sheetData>
  <mergeCells count="6">
    <mergeCell ref="B233:C233"/>
    <mergeCell ref="B2:P4"/>
    <mergeCell ref="B5:P7"/>
    <mergeCell ref="B189:C189"/>
    <mergeCell ref="B219:C219"/>
    <mergeCell ref="B223:C223"/>
  </mergeCells>
  <hyperlinks>
    <hyperlink ref="C16" r:id="rId1" xr:uid="{00000000-0004-0000-2100-000000000000}"/>
    <hyperlink ref="C36" r:id="rId2" xr:uid="{00000000-0004-0000-2100-000001000000}"/>
    <hyperlink ref="C39" r:id="rId3" xr:uid="{00000000-0004-0000-2100-000002000000}"/>
    <hyperlink ref="C45" r:id="rId4" xr:uid="{00000000-0004-0000-2100-000003000000}"/>
    <hyperlink ref="C18" r:id="rId5" xr:uid="{00000000-0004-0000-2100-000004000000}"/>
    <hyperlink ref="C188" r:id="rId6" xr:uid="{00000000-0004-0000-2100-000005000000}"/>
    <hyperlink ref="D189" r:id="rId7" xr:uid="{00000000-0004-0000-2100-000006000000}"/>
    <hyperlink ref="C218" r:id="rId8" xr:uid="{00000000-0004-0000-2100-000007000000}"/>
    <hyperlink ref="D219" r:id="rId9" xr:uid="{00000000-0004-0000-2100-000008000000}"/>
    <hyperlink ref="C222" r:id="rId10" xr:uid="{00000000-0004-0000-2100-000009000000}"/>
    <hyperlink ref="C232" r:id="rId11" xr:uid="{00000000-0004-0000-2100-00000A000000}"/>
    <hyperlink ref="C149" r:id="rId12" xr:uid="{00000000-0004-0000-2100-00000B000000}"/>
    <hyperlink ref="C171" r:id="rId13" xr:uid="{00000000-0004-0000-2100-00000C000000}"/>
    <hyperlink ref="C174" r:id="rId14" xr:uid="{00000000-0004-0000-2100-00000D000000}"/>
    <hyperlink ref="C177" r:id="rId15" xr:uid="{00000000-0004-0000-2100-00000E000000}"/>
    <hyperlink ref="C183" r:id="rId16" xr:uid="{00000000-0004-0000-2100-00000F000000}"/>
    <hyperlink ref="C201" r:id="rId17" xr:uid="{00000000-0004-0000-2100-000010000000}"/>
    <hyperlink ref="C195" r:id="rId18" xr:uid="{00000000-0004-0000-2100-000011000000}"/>
    <hyperlink ref="C198" r:id="rId19" xr:uid="{00000000-0004-0000-2100-000012000000}"/>
    <hyperlink ref="C13" r:id="rId20" xr:uid="{00000000-0004-0000-2100-000013000000}"/>
    <hyperlink ref="C180" r:id="rId21" xr:uid="{00000000-0004-0000-2100-000014000000}"/>
    <hyperlink ref="C209" r:id="rId22" xr:uid="{00000000-0004-0000-2100-000015000000}"/>
    <hyperlink ref="C212" r:id="rId23" xr:uid="{00000000-0004-0000-2100-000016000000}"/>
    <hyperlink ref="C215" r:id="rId24" xr:uid="{00000000-0004-0000-2100-000017000000}"/>
    <hyperlink ref="C134" r:id="rId25" xr:uid="{00000000-0004-0000-2100-000018000000}"/>
    <hyperlink ref="C110" r:id="rId26" xr:uid="{00000000-0004-0000-2100-000019000000}"/>
    <hyperlink ref="C152" r:id="rId27" xr:uid="{00000000-0004-0000-2100-00001A000000}"/>
    <hyperlink ref="C226" r:id="rId28" xr:uid="{00000000-0004-0000-2100-00001B000000}"/>
    <hyperlink ref="C146" r:id="rId29" xr:uid="{00000000-0004-0000-2100-00001C000000}"/>
    <hyperlink ref="C140" r:id="rId30" xr:uid="{00000000-0004-0000-2100-00001D000000}"/>
    <hyperlink ref="C137" r:id="rId31" xr:uid="{00000000-0004-0000-2100-00001E000000}"/>
    <hyperlink ref="C92" r:id="rId32" xr:uid="{00000000-0004-0000-2100-00001F000000}"/>
    <hyperlink ref="C115" r:id="rId33" xr:uid="{00000000-0004-0000-2100-000020000000}"/>
    <hyperlink ref="C95" r:id="rId34" xr:uid="{00000000-0004-0000-2100-000021000000}"/>
    <hyperlink ref="C101" r:id="rId35" xr:uid="{00000000-0004-0000-2100-000022000000}"/>
    <hyperlink ref="C128" r:id="rId36" xr:uid="{00000000-0004-0000-2100-000023000000}"/>
    <hyperlink ref="C169" r:id="rId37" xr:uid="{00000000-0004-0000-2100-000024000000}"/>
    <hyperlink ref="C192" r:id="rId38" xr:uid="{00000000-0004-0000-2100-000025000000}"/>
    <hyperlink ref="C143" r:id="rId39" xr:uid="{00000000-0004-0000-2100-000026000000}"/>
    <hyperlink ref="C87" r:id="rId40" xr:uid="{00000000-0004-0000-2100-000027000000}"/>
    <hyperlink ref="C62" r:id="rId41" xr:uid="{00000000-0004-0000-2100-000028000000}"/>
    <hyperlink ref="C166" r:id="rId42" xr:uid="{00000000-0004-0000-2100-000029000000}"/>
    <hyperlink ref="D233" r:id="rId43" xr:uid="{00000000-0004-0000-2100-00002A000000}"/>
    <hyperlink ref="C131" r:id="rId44" xr:uid="{00000000-0004-0000-2100-00002B000000}"/>
    <hyperlink ref="D223" r:id="rId45" xr:uid="{00000000-0004-0000-2100-00002C000000}"/>
    <hyperlink ref="C42" r:id="rId46" xr:uid="{00000000-0004-0000-2100-00002D000000}"/>
    <hyperlink ref="C118" r:id="rId47" xr:uid="{00000000-0004-0000-2100-00002E000000}"/>
    <hyperlink ref="C155" r:id="rId48" xr:uid="{00000000-0004-0000-2100-00002F000000}"/>
    <hyperlink ref="C158" r:id="rId49" xr:uid="{00000000-0004-0000-2100-000030000000}"/>
    <hyperlink ref="C161" r:id="rId50" xr:uid="{00000000-0004-0000-2100-000031000000}"/>
    <hyperlink ref="C105" r:id="rId51" display="Faire des SI imbriqués dans Excel" xr:uid="{00000000-0004-0000-2100-000032000000}"/>
    <hyperlink ref="C251" r:id="rId52" xr:uid="{00000000-0004-0000-2100-000033000000}"/>
    <hyperlink ref="C275" r:id="rId53" xr:uid="{00000000-0004-0000-2100-000034000000}"/>
    <hyperlink ref="C103" r:id="rId54" xr:uid="{00000000-0004-0000-2100-000035000000}"/>
    <hyperlink ref="C273" r:id="rId55" xr:uid="{00000000-0004-0000-2100-000036000000}"/>
    <hyperlink ref="C271" r:id="rId56" xr:uid="{00000000-0004-0000-2100-000037000000}"/>
    <hyperlink ref="C89" r:id="rId57" xr:uid="{00000000-0004-0000-2100-000038000000}"/>
    <hyperlink ref="C269" r:id="rId58" xr:uid="{00000000-0004-0000-2100-000039000000}"/>
    <hyperlink ref="C267" r:id="rId59" xr:uid="{00000000-0004-0000-2100-00003A000000}"/>
    <hyperlink ref="C281" r:id="rId60" xr:uid="{00000000-0004-0000-2100-00003B000000}"/>
    <hyperlink ref="C107" r:id="rId61" xr:uid="{00000000-0004-0000-2100-00003C000000}"/>
    <hyperlink ref="C277" r:id="rId62" xr:uid="{00000000-0004-0000-2100-00003D000000}"/>
    <hyperlink ref="C121" r:id="rId63" xr:uid="{00000000-0004-0000-2100-00003E000000}"/>
    <hyperlink ref="C279" r:id="rId64" xr:uid="{00000000-0004-0000-2100-00003F000000}"/>
    <hyperlink ref="C263" r:id="rId65" xr:uid="{00000000-0004-0000-2100-000040000000}"/>
    <hyperlink ref="C253" r:id="rId66" xr:uid="{00000000-0004-0000-2100-000041000000}"/>
    <hyperlink ref="C265" r:id="rId67" xr:uid="{00000000-0004-0000-2100-000042000000}"/>
    <hyperlink ref="C261" r:id="rId68" xr:uid="{00000000-0004-0000-2100-000043000000}"/>
    <hyperlink ref="C259" r:id="rId69" xr:uid="{00000000-0004-0000-2100-000044000000}"/>
    <hyperlink ref="C257" r:id="rId70" xr:uid="{00000000-0004-0000-2100-000045000000}"/>
    <hyperlink ref="C255" r:id="rId71" xr:uid="{00000000-0004-0000-2100-000046000000}"/>
    <hyperlink ref="C123" r:id="rId72" xr:uid="{00000000-0004-0000-2100-000047000000}"/>
    <hyperlink ref="C125" r:id="rId73" xr:uid="{00000000-0004-0000-2100-000048000000}"/>
    <hyperlink ref="C246" r:id="rId74" xr:uid="{00000000-0004-0000-2100-000049000000}"/>
    <hyperlink ref="C249" r:id="rId75" xr:uid="{00000000-0004-0000-2100-00004A000000}"/>
  </hyperlinks>
  <pageMargins left="0.7" right="0.7" top="0.75" bottom="0.75" header="0.3" footer="0.3"/>
  <pageSetup paperSize="9" orientation="portrait" r:id="rId7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X98"/>
  <sheetViews>
    <sheetView zoomScaleNormal="100" workbookViewId="0">
      <selection activeCell="Y42" sqref="Y42"/>
    </sheetView>
  </sheetViews>
  <sheetFormatPr baseColWidth="10" defaultRowHeight="15"/>
  <cols>
    <col min="1" max="1" width="4.25" style="3191" customWidth="1"/>
    <col min="2" max="37" width="10.25" style="3191" customWidth="1"/>
    <col min="38" max="16384" width="11" style="3191"/>
  </cols>
  <sheetData>
    <row r="1" spans="1:24">
      <c r="A1" s="641"/>
      <c r="B1" s="641"/>
      <c r="C1" s="641"/>
      <c r="D1" s="641"/>
      <c r="E1" s="641"/>
      <c r="F1" s="641"/>
      <c r="G1" s="641"/>
      <c r="H1" s="641"/>
      <c r="I1" s="641"/>
      <c r="J1" s="641"/>
      <c r="K1" s="641"/>
      <c r="L1" s="641"/>
      <c r="M1" s="641"/>
      <c r="N1" s="641"/>
      <c r="O1" s="641"/>
      <c r="P1" s="641"/>
    </row>
    <row r="2" spans="1:24" ht="26.25">
      <c r="A2" s="3017"/>
      <c r="B2" s="3017"/>
      <c r="C2" s="3017"/>
      <c r="D2" s="3017"/>
      <c r="E2" s="3017"/>
      <c r="F2" s="3017"/>
      <c r="G2" s="3017"/>
      <c r="H2" s="3017"/>
      <c r="I2" s="3017"/>
      <c r="J2" s="3017"/>
      <c r="K2" s="3864" t="s">
        <v>2991</v>
      </c>
      <c r="L2" s="641"/>
      <c r="M2" s="641"/>
      <c r="N2" s="641"/>
      <c r="O2" s="641"/>
      <c r="P2" s="3018"/>
    </row>
    <row r="3" spans="1:24" ht="26.25">
      <c r="A3" s="641"/>
      <c r="B3" s="641"/>
      <c r="C3" s="641"/>
      <c r="D3" s="641"/>
      <c r="E3" s="641"/>
      <c r="F3" s="641"/>
      <c r="G3" s="641"/>
      <c r="H3" s="641"/>
      <c r="I3" s="641"/>
      <c r="J3" s="641"/>
      <c r="K3" s="3864" t="s">
        <v>714</v>
      </c>
      <c r="L3" s="641"/>
      <c r="M3" s="641"/>
      <c r="N3" s="641"/>
      <c r="O3" s="641"/>
      <c r="P3" s="3018"/>
    </row>
    <row r="4" spans="1:24">
      <c r="A4" s="641"/>
      <c r="B4" s="641"/>
      <c r="C4" s="641"/>
      <c r="D4" s="641"/>
      <c r="E4" s="641"/>
      <c r="F4" s="641"/>
      <c r="G4" s="641"/>
      <c r="H4" s="641"/>
      <c r="I4" s="641"/>
      <c r="J4" s="641"/>
      <c r="K4" s="641"/>
      <c r="L4" s="641"/>
      <c r="M4" s="641"/>
      <c r="N4" s="641"/>
      <c r="O4" s="641"/>
      <c r="P4" s="641"/>
    </row>
    <row r="6" spans="1:24" ht="18">
      <c r="B6" s="7151" t="s">
        <v>1523</v>
      </c>
      <c r="C6" s="7151"/>
      <c r="D6" s="7151"/>
      <c r="E6" s="7151"/>
      <c r="F6" s="7151"/>
      <c r="G6" s="7151"/>
      <c r="I6" s="7151" t="s">
        <v>1524</v>
      </c>
      <c r="J6" s="7151"/>
      <c r="K6" s="7151"/>
      <c r="L6" s="7151"/>
      <c r="M6" s="7151"/>
      <c r="N6" s="7151"/>
      <c r="O6" s="7151"/>
      <c r="P6" s="7151"/>
      <c r="R6" s="3193" t="s">
        <v>7639</v>
      </c>
      <c r="S6" s="3193"/>
      <c r="T6" s="3193"/>
      <c r="U6" s="3193"/>
      <c r="V6" s="3193"/>
    </row>
    <row r="7" spans="1:24" ht="18">
      <c r="I7" s="4127"/>
      <c r="J7" s="4127"/>
      <c r="K7" s="4127"/>
      <c r="L7" s="4127"/>
      <c r="M7" s="4127"/>
      <c r="N7" s="4127"/>
      <c r="O7" s="4128" t="str">
        <f ca="1">"Page "&amp;_xlfn.SHEET()&amp;" sur "&amp;_xlfn.SHEETS()</f>
        <v>Page 37 sur 37</v>
      </c>
      <c r="P7" s="4128"/>
      <c r="R7" s="4129" t="s">
        <v>723</v>
      </c>
      <c r="S7" s="4130" t="s">
        <v>7640</v>
      </c>
    </row>
    <row r="8" spans="1:24" ht="15.75">
      <c r="B8" s="7152" t="s">
        <v>1525</v>
      </c>
      <c r="C8" s="7152"/>
      <c r="E8" s="7153" t="s">
        <v>1526</v>
      </c>
      <c r="F8" s="7153"/>
      <c r="G8" s="7153"/>
      <c r="I8" s="2029">
        <v>1</v>
      </c>
      <c r="J8" s="2030">
        <v>2</v>
      </c>
      <c r="K8" s="2031">
        <v>3</v>
      </c>
      <c r="L8" s="2032">
        <v>4</v>
      </c>
      <c r="M8" s="2033">
        <v>5</v>
      </c>
      <c r="N8" s="2034">
        <v>6</v>
      </c>
      <c r="O8" s="2035">
        <v>7</v>
      </c>
      <c r="P8" s="2036">
        <v>8</v>
      </c>
      <c r="R8" s="3193"/>
      <c r="S8" s="3193"/>
      <c r="T8" s="3193"/>
      <c r="U8" s="3193"/>
      <c r="V8" s="3193"/>
    </row>
    <row r="9" spans="1:24">
      <c r="I9" s="2037">
        <v>9</v>
      </c>
      <c r="J9" s="2038">
        <v>10</v>
      </c>
      <c r="K9" s="2039">
        <v>11</v>
      </c>
      <c r="L9" s="2040">
        <v>12</v>
      </c>
      <c r="M9" s="2041">
        <v>13</v>
      </c>
      <c r="N9" s="2042">
        <v>14</v>
      </c>
      <c r="O9" s="2043">
        <v>15</v>
      </c>
      <c r="P9" s="2044">
        <v>16</v>
      </c>
      <c r="R9" s="3193" t="s">
        <v>7641</v>
      </c>
      <c r="S9" s="3193"/>
      <c r="T9" s="3193"/>
      <c r="U9" s="3193"/>
      <c r="V9" s="3193"/>
      <c r="W9" s="2045"/>
      <c r="X9" s="2045"/>
    </row>
    <row r="10" spans="1:24" ht="15.75">
      <c r="B10" s="7154" t="s">
        <v>1527</v>
      </c>
      <c r="C10" s="7154"/>
      <c r="E10" s="7155" t="s">
        <v>1528</v>
      </c>
      <c r="F10" s="7155"/>
      <c r="G10" s="7155"/>
      <c r="I10" s="2046">
        <v>17</v>
      </c>
      <c r="J10" s="2047">
        <v>18</v>
      </c>
      <c r="K10" s="2048">
        <v>19</v>
      </c>
      <c r="L10" s="2049">
        <v>20</v>
      </c>
      <c r="M10" s="2050">
        <v>21</v>
      </c>
      <c r="N10" s="2051">
        <v>22</v>
      </c>
      <c r="O10" s="2052">
        <v>23</v>
      </c>
      <c r="P10" s="2053">
        <v>24</v>
      </c>
      <c r="R10" s="4129" t="s">
        <v>723</v>
      </c>
      <c r="S10" s="4130" t="s">
        <v>7642</v>
      </c>
      <c r="T10" s="3193"/>
      <c r="U10" s="3193"/>
      <c r="V10" s="3193"/>
    </row>
    <row r="11" spans="1:24" ht="15.75">
      <c r="E11" s="7156" t="s">
        <v>1529</v>
      </c>
      <c r="F11" s="7156"/>
      <c r="G11" s="7156"/>
      <c r="I11" s="2054">
        <v>25</v>
      </c>
      <c r="J11" s="2055">
        <v>26</v>
      </c>
      <c r="K11" s="2056">
        <v>27</v>
      </c>
      <c r="L11" s="2057">
        <v>28</v>
      </c>
      <c r="M11" s="2058">
        <v>29</v>
      </c>
      <c r="N11" s="2059">
        <v>30</v>
      </c>
      <c r="O11" s="2060">
        <v>31</v>
      </c>
      <c r="P11" s="2061">
        <v>32</v>
      </c>
      <c r="R11" s="3193"/>
      <c r="S11" s="3193"/>
      <c r="T11" s="3193"/>
      <c r="U11" s="3193"/>
      <c r="V11" s="3193"/>
    </row>
    <row r="12" spans="1:24" ht="15.75">
      <c r="B12" s="7157" t="s">
        <v>1530</v>
      </c>
      <c r="C12" s="7157"/>
      <c r="E12" s="7158" t="s">
        <v>1531</v>
      </c>
      <c r="F12" s="7158"/>
      <c r="G12" s="7158"/>
      <c r="I12" s="2062">
        <v>33</v>
      </c>
      <c r="J12" s="2063">
        <v>34</v>
      </c>
      <c r="K12" s="2064">
        <v>35</v>
      </c>
      <c r="L12" s="2065">
        <v>36</v>
      </c>
      <c r="M12" s="2066">
        <v>37</v>
      </c>
      <c r="N12" s="2067">
        <v>38</v>
      </c>
      <c r="O12" s="2068">
        <v>39</v>
      </c>
      <c r="P12" s="2069">
        <v>40</v>
      </c>
      <c r="R12" s="3193" t="s">
        <v>7643</v>
      </c>
      <c r="S12" s="3193"/>
      <c r="T12" s="3193"/>
      <c r="U12" s="3193"/>
      <c r="V12" s="3193"/>
    </row>
    <row r="13" spans="1:24" ht="15.75">
      <c r="E13" s="7159" t="s">
        <v>1532</v>
      </c>
      <c r="F13" s="7159"/>
      <c r="G13" s="7159"/>
      <c r="I13" s="2070">
        <v>41</v>
      </c>
      <c r="J13" s="2071">
        <v>42</v>
      </c>
      <c r="K13" s="2072">
        <v>43</v>
      </c>
      <c r="L13" s="2073">
        <v>44</v>
      </c>
      <c r="M13" s="2074">
        <v>45</v>
      </c>
      <c r="N13" s="2075">
        <v>46</v>
      </c>
      <c r="O13" s="2076">
        <v>47</v>
      </c>
      <c r="P13" s="2077">
        <v>48</v>
      </c>
      <c r="R13" s="4129" t="s">
        <v>723</v>
      </c>
      <c r="S13" s="4130" t="s">
        <v>7644</v>
      </c>
      <c r="T13" s="3193"/>
      <c r="U13" s="3193"/>
      <c r="V13" s="3193"/>
    </row>
    <row r="14" spans="1:24" ht="15.75">
      <c r="B14" s="7160" t="s">
        <v>1533</v>
      </c>
      <c r="C14" s="7160"/>
      <c r="E14" s="7161" t="s">
        <v>1534</v>
      </c>
      <c r="F14" s="7161"/>
      <c r="G14" s="7161"/>
      <c r="I14" s="2078">
        <v>49</v>
      </c>
      <c r="J14" s="2079">
        <v>50</v>
      </c>
      <c r="K14" s="2080">
        <v>51</v>
      </c>
      <c r="L14" s="2081">
        <v>52</v>
      </c>
      <c r="M14" s="2082">
        <v>53</v>
      </c>
      <c r="N14" s="2083">
        <v>54</v>
      </c>
      <c r="O14" s="2084">
        <v>55</v>
      </c>
      <c r="P14" s="2085">
        <v>56</v>
      </c>
      <c r="R14" s="3193"/>
      <c r="S14" s="3193"/>
      <c r="T14" s="3193"/>
      <c r="U14" s="3193"/>
      <c r="V14" s="3193"/>
    </row>
    <row r="15" spans="1:24" ht="15.75">
      <c r="E15" s="7162" t="s">
        <v>1535</v>
      </c>
      <c r="F15" s="7162"/>
      <c r="G15" s="7162"/>
      <c r="I15" s="7163" t="s">
        <v>1536</v>
      </c>
      <c r="J15" s="7163"/>
      <c r="K15" s="7163"/>
      <c r="L15" s="7163"/>
      <c r="M15" s="7163"/>
      <c r="N15" s="7163"/>
      <c r="O15" s="7163"/>
      <c r="P15" s="7163"/>
      <c r="Q15" s="4131"/>
      <c r="R15" s="3193" t="s">
        <v>7645</v>
      </c>
      <c r="S15" s="3193"/>
      <c r="T15" s="3193"/>
      <c r="U15" s="3193"/>
      <c r="V15" s="3193"/>
    </row>
    <row r="16" spans="1:24" ht="15.75">
      <c r="B16" s="7165" t="s">
        <v>1537</v>
      </c>
      <c r="C16" s="7165"/>
      <c r="E16" s="7166" t="s">
        <v>1538</v>
      </c>
      <c r="F16" s="7166"/>
      <c r="G16" s="7166"/>
      <c r="I16" s="7164"/>
      <c r="J16" s="7164"/>
      <c r="K16" s="7164"/>
      <c r="L16" s="7164"/>
      <c r="M16" s="7164"/>
      <c r="N16" s="7164"/>
      <c r="O16" s="7164"/>
      <c r="P16" s="7164"/>
      <c r="R16" s="4129" t="s">
        <v>723</v>
      </c>
      <c r="S16" s="4130" t="s">
        <v>7646</v>
      </c>
      <c r="T16" s="3193"/>
      <c r="U16" s="3193"/>
      <c r="V16" s="3193"/>
    </row>
    <row r="17" spans="2:22" ht="15.75">
      <c r="E17" s="7153" t="s">
        <v>1526</v>
      </c>
      <c r="F17" s="7153"/>
      <c r="G17" s="7153"/>
      <c r="I17" s="7167" t="s">
        <v>1524</v>
      </c>
      <c r="J17" s="7168"/>
      <c r="K17" s="7168"/>
      <c r="L17" s="7168"/>
      <c r="M17" s="7168"/>
      <c r="N17" s="7168"/>
      <c r="O17" s="7168"/>
      <c r="P17" s="7169"/>
      <c r="R17" s="3193"/>
      <c r="S17" s="3193"/>
      <c r="T17" s="3193"/>
      <c r="U17" s="3193"/>
      <c r="V17" s="3193"/>
    </row>
    <row r="18" spans="2:22" ht="18">
      <c r="B18" s="7171" t="s">
        <v>1539</v>
      </c>
      <c r="C18" s="7171"/>
      <c r="E18" s="7172" t="s">
        <v>1540</v>
      </c>
      <c r="F18" s="7172"/>
      <c r="G18" s="7172"/>
      <c r="I18" s="4132" t="s">
        <v>1541</v>
      </c>
      <c r="J18" s="4132" t="s">
        <v>1542</v>
      </c>
      <c r="K18" s="4133" t="s">
        <v>1543</v>
      </c>
      <c r="L18" s="4134" t="s">
        <v>1543</v>
      </c>
      <c r="M18" s="4135" t="s">
        <v>1544</v>
      </c>
      <c r="N18" s="4136" t="s">
        <v>1544</v>
      </c>
      <c r="O18" s="4137" t="s">
        <v>1545</v>
      </c>
      <c r="P18" s="4138" t="s">
        <v>1545</v>
      </c>
      <c r="R18" s="4139" t="s">
        <v>2761</v>
      </c>
      <c r="S18" s="4140"/>
    </row>
    <row r="19" spans="2:22" ht="15.75">
      <c r="E19" s="7173" t="s">
        <v>1527</v>
      </c>
      <c r="F19" s="7173"/>
      <c r="G19" s="7173"/>
      <c r="I19" s="4141" t="s">
        <v>1546</v>
      </c>
      <c r="J19" s="4132" t="s">
        <v>1546</v>
      </c>
      <c r="K19" s="4142" t="s">
        <v>1547</v>
      </c>
      <c r="L19" s="4143" t="s">
        <v>1547</v>
      </c>
      <c r="M19" s="4144" t="s">
        <v>1548</v>
      </c>
      <c r="N19" s="4145" t="s">
        <v>1548</v>
      </c>
      <c r="O19" s="4146" t="s">
        <v>1549</v>
      </c>
      <c r="P19" s="4147" t="s">
        <v>1549</v>
      </c>
      <c r="R19" s="4148"/>
      <c r="S19" s="4149"/>
    </row>
    <row r="20" spans="2:22" ht="15.75">
      <c r="B20" s="7174" t="s">
        <v>280</v>
      </c>
      <c r="C20" s="7174"/>
      <c r="E20" s="7175" t="s">
        <v>1537</v>
      </c>
      <c r="F20" s="7175"/>
      <c r="G20" s="7175"/>
      <c r="I20" s="4132" t="s">
        <v>1550</v>
      </c>
      <c r="J20" s="4150" t="s">
        <v>1550</v>
      </c>
      <c r="K20" s="4151" t="s">
        <v>1551</v>
      </c>
      <c r="L20" s="4152" t="s">
        <v>1551</v>
      </c>
      <c r="M20" s="4153" t="s">
        <v>1552</v>
      </c>
      <c r="N20" s="4154" t="s">
        <v>1552</v>
      </c>
      <c r="O20" s="4155" t="s">
        <v>1553</v>
      </c>
      <c r="P20" s="4156" t="s">
        <v>1553</v>
      </c>
      <c r="R20" s="4129" t="s">
        <v>723</v>
      </c>
      <c r="S20" s="4157" t="s">
        <v>2762</v>
      </c>
    </row>
    <row r="21" spans="2:22" ht="15.75">
      <c r="E21" s="7176" t="s">
        <v>1554</v>
      </c>
      <c r="F21" s="7176"/>
      <c r="G21" s="7176"/>
      <c r="I21" s="4158" t="s">
        <v>1555</v>
      </c>
      <c r="J21" s="4159" t="s">
        <v>1555</v>
      </c>
      <c r="K21" s="4160" t="s">
        <v>1556</v>
      </c>
      <c r="L21" s="4161" t="s">
        <v>1556</v>
      </c>
      <c r="M21" s="4162" t="s">
        <v>1557</v>
      </c>
      <c r="N21" s="4163" t="s">
        <v>1557</v>
      </c>
      <c r="O21" s="4164" t="s">
        <v>1558</v>
      </c>
      <c r="P21" s="4165" t="s">
        <v>1558</v>
      </c>
      <c r="R21" s="4148"/>
      <c r="S21" s="4149"/>
    </row>
    <row r="22" spans="2:22" ht="15.75">
      <c r="B22" s="7177" t="s">
        <v>1559</v>
      </c>
      <c r="C22" s="7177"/>
      <c r="E22" s="7162" t="s">
        <v>1560</v>
      </c>
      <c r="F22" s="7162"/>
      <c r="G22" s="7162"/>
      <c r="I22" s="4166" t="s">
        <v>1561</v>
      </c>
      <c r="J22" s="4167" t="s">
        <v>1561</v>
      </c>
      <c r="K22" s="4168" t="s">
        <v>1562</v>
      </c>
      <c r="L22" s="4169" t="s">
        <v>1562</v>
      </c>
      <c r="M22" s="4170" t="s">
        <v>1563</v>
      </c>
      <c r="N22" s="4171" t="s">
        <v>1563</v>
      </c>
      <c r="O22" s="4172" t="s">
        <v>1564</v>
      </c>
      <c r="P22" s="4173" t="s">
        <v>1564</v>
      </c>
      <c r="R22" s="4129" t="s">
        <v>723</v>
      </c>
      <c r="S22" s="4157" t="s">
        <v>2763</v>
      </c>
    </row>
    <row r="23" spans="2:22" ht="15.75">
      <c r="E23" s="7178" t="s">
        <v>1565</v>
      </c>
      <c r="F23" s="7178"/>
      <c r="G23" s="7178"/>
      <c r="I23" s="4153" t="s">
        <v>1566</v>
      </c>
      <c r="J23" s="4154" t="s">
        <v>1566</v>
      </c>
      <c r="K23" s="4170" t="s">
        <v>1567</v>
      </c>
      <c r="L23" s="4171" t="s">
        <v>1567</v>
      </c>
      <c r="M23" s="4174" t="s">
        <v>1568</v>
      </c>
      <c r="N23" s="4175" t="s">
        <v>1568</v>
      </c>
      <c r="O23" s="4176" t="s">
        <v>1569</v>
      </c>
      <c r="P23" s="4177" t="s">
        <v>1569</v>
      </c>
      <c r="R23" s="4148"/>
      <c r="S23" s="4149"/>
    </row>
    <row r="24" spans="2:22" ht="15.75">
      <c r="E24" s="7179" t="s">
        <v>1570</v>
      </c>
      <c r="F24" s="7179"/>
      <c r="G24" s="7179"/>
      <c r="I24" s="4178" t="s">
        <v>1571</v>
      </c>
      <c r="J24" s="4179" t="s">
        <v>1571</v>
      </c>
      <c r="K24" s="4180" t="s">
        <v>1572</v>
      </c>
      <c r="L24" s="4181" t="s">
        <v>1572</v>
      </c>
      <c r="M24" s="4182" t="s">
        <v>1573</v>
      </c>
      <c r="N24" s="4183" t="s">
        <v>1573</v>
      </c>
      <c r="O24" s="4184" t="s">
        <v>1574</v>
      </c>
      <c r="P24" s="4185" t="s">
        <v>1574</v>
      </c>
      <c r="R24" s="4129" t="s">
        <v>723</v>
      </c>
      <c r="S24" s="4157" t="s">
        <v>2764</v>
      </c>
    </row>
    <row r="25" spans="2:22" ht="15.75">
      <c r="E25" s="7180" t="s">
        <v>1575</v>
      </c>
      <c r="F25" s="7180"/>
      <c r="G25" s="7180"/>
      <c r="I25" s="4186" t="s">
        <v>1576</v>
      </c>
      <c r="J25" s="4187" t="s">
        <v>1576</v>
      </c>
      <c r="K25" s="4188" t="s">
        <v>1577</v>
      </c>
      <c r="L25" s="4189" t="s">
        <v>1577</v>
      </c>
      <c r="M25" s="4190" t="s">
        <v>1578</v>
      </c>
      <c r="N25" s="4191" t="s">
        <v>1578</v>
      </c>
      <c r="O25" s="4192" t="s">
        <v>1579</v>
      </c>
      <c r="P25" s="4193" t="s">
        <v>1579</v>
      </c>
      <c r="R25" s="4148"/>
      <c r="S25" s="4149"/>
    </row>
    <row r="26" spans="2:22" ht="15.75">
      <c r="E26" s="7170" t="s">
        <v>1580</v>
      </c>
      <c r="F26" s="7170"/>
      <c r="G26" s="7170"/>
      <c r="I26" s="4194" t="s">
        <v>1581</v>
      </c>
      <c r="J26" s="4195" t="s">
        <v>1581</v>
      </c>
      <c r="K26" s="4196" t="s">
        <v>1582</v>
      </c>
      <c r="L26" s="4197" t="s">
        <v>1582</v>
      </c>
      <c r="M26" s="4198" t="s">
        <v>1583</v>
      </c>
      <c r="N26" s="4199" t="s">
        <v>1583</v>
      </c>
      <c r="O26" s="4200" t="s">
        <v>1584</v>
      </c>
      <c r="P26" s="4201" t="s">
        <v>1584</v>
      </c>
      <c r="R26" s="4129" t="s">
        <v>723</v>
      </c>
      <c r="S26" s="4157" t="s">
        <v>2765</v>
      </c>
    </row>
    <row r="27" spans="2:22">
      <c r="I27" s="4135" t="s">
        <v>1585</v>
      </c>
      <c r="J27" s="4136" t="s">
        <v>1585</v>
      </c>
      <c r="K27" s="4202" t="s">
        <v>1586</v>
      </c>
      <c r="L27" s="4203" t="s">
        <v>1586</v>
      </c>
      <c r="M27" s="4204" t="s">
        <v>1587</v>
      </c>
      <c r="N27" s="4205" t="s">
        <v>1587</v>
      </c>
      <c r="O27" s="4160" t="s">
        <v>1588</v>
      </c>
      <c r="P27" s="4161" t="s">
        <v>1588</v>
      </c>
      <c r="R27" s="4148"/>
      <c r="S27" s="4149"/>
    </row>
    <row r="28" spans="2:22" ht="18.75">
      <c r="C28" s="2086"/>
      <c r="F28" s="2086"/>
      <c r="G28" s="2086" t="s">
        <v>1589</v>
      </c>
      <c r="I28" s="4206" t="s">
        <v>1590</v>
      </c>
      <c r="J28" s="4207" t="s">
        <v>1590</v>
      </c>
      <c r="K28" s="4208" t="s">
        <v>1591</v>
      </c>
      <c r="L28" s="4209" t="s">
        <v>1591</v>
      </c>
      <c r="M28" s="4210" t="s">
        <v>1592</v>
      </c>
      <c r="N28" s="4211" t="s">
        <v>1592</v>
      </c>
      <c r="O28" s="4212" t="s">
        <v>1593</v>
      </c>
      <c r="P28" s="4213" t="s">
        <v>1593</v>
      </c>
      <c r="R28" s="4129" t="s">
        <v>723</v>
      </c>
      <c r="S28" s="4157" t="s">
        <v>2766</v>
      </c>
    </row>
    <row r="29" spans="2:22" ht="15.75">
      <c r="E29" s="7155" t="s">
        <v>1594</v>
      </c>
      <c r="F29" s="7155"/>
      <c r="G29" s="7155"/>
      <c r="I29" s="4208" t="s">
        <v>1595</v>
      </c>
      <c r="J29" s="4209" t="s">
        <v>1595</v>
      </c>
      <c r="K29" s="4186" t="s">
        <v>1596</v>
      </c>
      <c r="L29" s="4187" t="s">
        <v>1596</v>
      </c>
      <c r="M29" s="4214" t="s">
        <v>1597</v>
      </c>
      <c r="N29" s="4215" t="s">
        <v>1597</v>
      </c>
      <c r="O29" s="4216" t="s">
        <v>1598</v>
      </c>
      <c r="P29" s="4217" t="s">
        <v>1598</v>
      </c>
      <c r="R29" s="4148"/>
      <c r="S29" s="4149"/>
    </row>
    <row r="30" spans="2:22" ht="15.75">
      <c r="E30" s="7156" t="s">
        <v>1599</v>
      </c>
      <c r="F30" s="7156"/>
      <c r="G30" s="7156"/>
      <c r="I30" s="4218" t="s">
        <v>1600</v>
      </c>
      <c r="J30" s="4219" t="s">
        <v>1600</v>
      </c>
      <c r="K30" s="4178" t="s">
        <v>1601</v>
      </c>
      <c r="L30" s="4179" t="s">
        <v>1601</v>
      </c>
      <c r="M30" s="4220" t="s">
        <v>1602</v>
      </c>
      <c r="N30" s="4221" t="s">
        <v>1602</v>
      </c>
      <c r="O30" s="4132"/>
      <c r="P30" s="4132"/>
      <c r="R30" s="4129" t="s">
        <v>723</v>
      </c>
      <c r="S30" s="4157" t="s">
        <v>2767</v>
      </c>
    </row>
    <row r="31" spans="2:22" ht="15.75">
      <c r="E31" s="7158" t="s">
        <v>1603</v>
      </c>
      <c r="F31" s="7158"/>
      <c r="G31" s="7158"/>
      <c r="I31" s="4222" t="s">
        <v>1604</v>
      </c>
      <c r="J31" s="4223" t="s">
        <v>1604</v>
      </c>
      <c r="K31" s="4194" t="s">
        <v>1605</v>
      </c>
      <c r="L31" s="4195" t="s">
        <v>1605</v>
      </c>
      <c r="M31" s="4224" t="s">
        <v>1606</v>
      </c>
      <c r="N31" s="4225" t="s">
        <v>1606</v>
      </c>
      <c r="O31" s="4132"/>
      <c r="P31" s="4132"/>
      <c r="R31" s="4148"/>
      <c r="S31" s="4149"/>
    </row>
    <row r="32" spans="2:22" ht="15.75">
      <c r="E32" s="7159" t="s">
        <v>1607</v>
      </c>
      <c r="F32" s="7159"/>
      <c r="G32" s="7159"/>
      <c r="I32" s="4144" t="s">
        <v>1608</v>
      </c>
      <c r="J32" s="4145" t="s">
        <v>1608</v>
      </c>
      <c r="K32" s="4222" t="s">
        <v>1609</v>
      </c>
      <c r="L32" s="4223" t="s">
        <v>1609</v>
      </c>
      <c r="M32" s="4226" t="s">
        <v>1610</v>
      </c>
      <c r="N32" s="4227" t="s">
        <v>1610</v>
      </c>
      <c r="O32" s="4132"/>
      <c r="P32" s="4228"/>
      <c r="R32" s="4129" t="s">
        <v>723</v>
      </c>
      <c r="S32" s="4157" t="s">
        <v>2766</v>
      </c>
    </row>
    <row r="33" spans="1:19" ht="15.75">
      <c r="E33" s="7161" t="s">
        <v>1611</v>
      </c>
      <c r="F33" s="7161"/>
      <c r="G33" s="7161"/>
      <c r="I33" s="2087"/>
      <c r="J33" s="2087"/>
      <c r="K33" s="2087"/>
      <c r="L33" s="2087"/>
      <c r="M33" s="2087"/>
      <c r="N33" s="2087"/>
      <c r="O33" s="2087"/>
      <c r="P33" s="2087"/>
      <c r="R33" s="4148"/>
      <c r="S33" s="4149"/>
    </row>
    <row r="34" spans="1:19" ht="15.75">
      <c r="E34" s="7162" t="s">
        <v>1612</v>
      </c>
      <c r="F34" s="7162"/>
      <c r="G34" s="7162"/>
      <c r="I34" s="4132" t="s">
        <v>1613</v>
      </c>
      <c r="J34" s="4132" t="s">
        <v>1614</v>
      </c>
      <c r="K34" s="4132" t="s">
        <v>1615</v>
      </c>
      <c r="L34" s="4229" t="s">
        <v>1616</v>
      </c>
      <c r="M34" s="4230" t="s">
        <v>1617</v>
      </c>
      <c r="N34" s="4231" t="s">
        <v>1618</v>
      </c>
      <c r="O34" s="4232" t="s">
        <v>1619</v>
      </c>
      <c r="P34" s="4233" t="s">
        <v>1620</v>
      </c>
      <c r="R34" s="4129" t="s">
        <v>723</v>
      </c>
      <c r="S34" s="4157" t="s">
        <v>2768</v>
      </c>
    </row>
    <row r="35" spans="1:19" ht="15.75">
      <c r="E35" s="7166" t="s">
        <v>1621</v>
      </c>
      <c r="F35" s="7166"/>
      <c r="G35" s="7166"/>
      <c r="I35" s="4234" t="s">
        <v>1622</v>
      </c>
      <c r="J35" s="4132" t="s">
        <v>1546</v>
      </c>
      <c r="K35" s="4132" t="s">
        <v>1623</v>
      </c>
      <c r="L35" s="4234" t="s">
        <v>1623</v>
      </c>
      <c r="M35" s="4235">
        <v>0</v>
      </c>
      <c r="N35" s="4235">
        <v>0</v>
      </c>
      <c r="O35" s="4235">
        <v>0</v>
      </c>
      <c r="P35" s="4233" t="s">
        <v>1624</v>
      </c>
      <c r="R35" s="4236"/>
      <c r="S35" s="4237"/>
    </row>
    <row r="36" spans="1:19" ht="15.75">
      <c r="E36" s="7153" t="s">
        <v>1625</v>
      </c>
      <c r="F36" s="7153"/>
      <c r="G36" s="7153"/>
      <c r="I36" s="4132" t="s">
        <v>1626</v>
      </c>
      <c r="J36" s="4150" t="s">
        <v>1550</v>
      </c>
      <c r="K36" s="4132" t="s">
        <v>1627</v>
      </c>
      <c r="L36" s="4132" t="s">
        <v>1627</v>
      </c>
      <c r="M36" s="4235">
        <v>255</v>
      </c>
      <c r="N36" s="4235">
        <v>255</v>
      </c>
      <c r="O36" s="4235">
        <v>255</v>
      </c>
      <c r="P36" s="4233" t="s">
        <v>1628</v>
      </c>
      <c r="R36" s="4129" t="s">
        <v>723</v>
      </c>
      <c r="S36" s="4157" t="s">
        <v>2769</v>
      </c>
    </row>
    <row r="37" spans="1:19" ht="15.75">
      <c r="E37" s="7172" t="s">
        <v>1629</v>
      </c>
      <c r="F37" s="7172"/>
      <c r="G37" s="7172"/>
      <c r="I37" s="4158" t="s">
        <v>1630</v>
      </c>
      <c r="J37" s="4159" t="s">
        <v>1555</v>
      </c>
      <c r="K37" s="4132" t="s">
        <v>1631</v>
      </c>
      <c r="L37" s="4158" t="s">
        <v>1631</v>
      </c>
      <c r="M37" s="4235">
        <v>255</v>
      </c>
      <c r="N37" s="4235">
        <v>0</v>
      </c>
      <c r="O37" s="4235">
        <v>0</v>
      </c>
      <c r="P37" s="4233" t="s">
        <v>1632</v>
      </c>
      <c r="R37" s="4148"/>
      <c r="S37" s="4149"/>
    </row>
    <row r="38" spans="1:19" ht="15.75">
      <c r="E38" s="7173" t="s">
        <v>1633</v>
      </c>
      <c r="F38" s="7173"/>
      <c r="G38" s="7173"/>
      <c r="I38" s="4166" t="s">
        <v>1618</v>
      </c>
      <c r="J38" s="4167" t="s">
        <v>1561</v>
      </c>
      <c r="K38" s="4132" t="s">
        <v>1634</v>
      </c>
      <c r="L38" s="4166" t="s">
        <v>1634</v>
      </c>
      <c r="M38" s="4235">
        <v>0</v>
      </c>
      <c r="N38" s="4235">
        <v>255</v>
      </c>
      <c r="O38" s="4235">
        <v>0</v>
      </c>
      <c r="P38" s="4233" t="s">
        <v>1635</v>
      </c>
      <c r="R38" s="4129" t="s">
        <v>723</v>
      </c>
      <c r="S38" s="4157" t="s">
        <v>2770</v>
      </c>
    </row>
    <row r="39" spans="1:19" ht="15.75">
      <c r="E39" s="7175" t="s">
        <v>1636</v>
      </c>
      <c r="F39" s="7175"/>
      <c r="G39" s="7175"/>
      <c r="I39" s="4153" t="s">
        <v>1619</v>
      </c>
      <c r="J39" s="4154" t="s">
        <v>1566</v>
      </c>
      <c r="K39" s="4132" t="s">
        <v>1637</v>
      </c>
      <c r="L39" s="4153" t="s">
        <v>1637</v>
      </c>
      <c r="M39" s="4235">
        <v>0</v>
      </c>
      <c r="N39" s="4235">
        <v>0</v>
      </c>
      <c r="O39" s="4235">
        <v>255</v>
      </c>
      <c r="P39" s="4233" t="s">
        <v>1638</v>
      </c>
      <c r="R39" s="4148"/>
      <c r="S39" s="4149"/>
    </row>
    <row r="40" spans="1:19" ht="15.75">
      <c r="E40" s="7176" t="s">
        <v>1639</v>
      </c>
      <c r="F40" s="7176"/>
      <c r="G40" s="7176"/>
      <c r="I40" s="4178" t="s">
        <v>1640</v>
      </c>
      <c r="J40" s="4179" t="s">
        <v>1571</v>
      </c>
      <c r="K40" s="4132" t="s">
        <v>1641</v>
      </c>
      <c r="L40" s="4178" t="s">
        <v>1641</v>
      </c>
      <c r="M40" s="4235">
        <v>255</v>
      </c>
      <c r="N40" s="4235">
        <v>255</v>
      </c>
      <c r="O40" s="4235">
        <v>0</v>
      </c>
      <c r="P40" s="4233" t="s">
        <v>1642</v>
      </c>
      <c r="R40" s="2785">
        <v>0</v>
      </c>
      <c r="S40" s="4238">
        <v>0</v>
      </c>
    </row>
    <row r="41" spans="1:19" ht="15.75">
      <c r="E41" s="7162" t="s">
        <v>1612</v>
      </c>
      <c r="F41" s="7162"/>
      <c r="G41" s="7162"/>
      <c r="I41" s="4186" t="s">
        <v>1643</v>
      </c>
      <c r="J41" s="4187" t="s">
        <v>1576</v>
      </c>
      <c r="K41" s="4132" t="s">
        <v>1644</v>
      </c>
      <c r="L41" s="4186" t="s">
        <v>1644</v>
      </c>
      <c r="M41" s="4235">
        <v>255</v>
      </c>
      <c r="N41" s="4235">
        <v>0</v>
      </c>
      <c r="O41" s="4235">
        <v>255</v>
      </c>
      <c r="P41" s="4233" t="s">
        <v>1645</v>
      </c>
      <c r="R41" s="4129" t="s">
        <v>723</v>
      </c>
      <c r="S41" s="4157" t="s">
        <v>2771</v>
      </c>
    </row>
    <row r="42" spans="1:19" ht="15.75">
      <c r="E42" s="7178" t="s">
        <v>1646</v>
      </c>
      <c r="F42" s="7178"/>
      <c r="G42" s="7178"/>
      <c r="I42" s="4194" t="s">
        <v>1647</v>
      </c>
      <c r="J42" s="4195" t="s">
        <v>1581</v>
      </c>
      <c r="K42" s="4132" t="s">
        <v>1648</v>
      </c>
      <c r="L42" s="4194" t="s">
        <v>1648</v>
      </c>
      <c r="M42" s="4235">
        <v>0</v>
      </c>
      <c r="N42" s="4235">
        <v>255</v>
      </c>
      <c r="O42" s="4235">
        <v>255</v>
      </c>
      <c r="P42" s="4233" t="s">
        <v>1649</v>
      </c>
      <c r="R42" s="2785">
        <v>0</v>
      </c>
      <c r="S42" s="4238">
        <v>0</v>
      </c>
    </row>
    <row r="43" spans="1:19" ht="15.75">
      <c r="E43" s="7179" t="s">
        <v>1650</v>
      </c>
      <c r="F43" s="7179"/>
      <c r="G43" s="7179"/>
      <c r="I43" s="4135" t="s">
        <v>1585</v>
      </c>
      <c r="J43" s="4136" t="s">
        <v>1585</v>
      </c>
      <c r="K43" s="4132" t="s">
        <v>1651</v>
      </c>
      <c r="L43" s="4135" t="s">
        <v>1651</v>
      </c>
      <c r="M43" s="4235">
        <v>128</v>
      </c>
      <c r="N43" s="4235">
        <v>0</v>
      </c>
      <c r="O43" s="4235">
        <v>0</v>
      </c>
      <c r="P43" s="4132" t="s">
        <v>1585</v>
      </c>
      <c r="R43" s="4129" t="s">
        <v>723</v>
      </c>
      <c r="S43" s="4157" t="s">
        <v>2772</v>
      </c>
    </row>
    <row r="44" spans="1:19" ht="15.75">
      <c r="E44" s="7180" t="s">
        <v>1652</v>
      </c>
      <c r="F44" s="7180"/>
      <c r="G44" s="7180"/>
      <c r="I44" s="4206" t="s">
        <v>1590</v>
      </c>
      <c r="J44" s="4207" t="s">
        <v>1590</v>
      </c>
      <c r="K44" s="4132" t="s">
        <v>1653</v>
      </c>
      <c r="L44" s="4206" t="s">
        <v>1653</v>
      </c>
      <c r="M44" s="4235">
        <v>0</v>
      </c>
      <c r="N44" s="4235">
        <v>128</v>
      </c>
      <c r="O44" s="4235">
        <v>0</v>
      </c>
      <c r="P44" s="4132" t="s">
        <v>1590</v>
      </c>
      <c r="R44" s="2785">
        <v>0</v>
      </c>
      <c r="S44" s="4238">
        <v>0</v>
      </c>
    </row>
    <row r="45" spans="1:19" ht="15.75">
      <c r="E45" s="7170" t="s">
        <v>1654</v>
      </c>
      <c r="F45" s="7170"/>
      <c r="G45" s="7170"/>
      <c r="I45" s="4208" t="s">
        <v>1595</v>
      </c>
      <c r="J45" s="4209" t="s">
        <v>1595</v>
      </c>
      <c r="K45" s="4132" t="s">
        <v>1655</v>
      </c>
      <c r="L45" s="4208" t="s">
        <v>1655</v>
      </c>
      <c r="M45" s="4235">
        <v>0</v>
      </c>
      <c r="N45" s="4235">
        <v>0</v>
      </c>
      <c r="O45" s="4235">
        <v>128</v>
      </c>
      <c r="P45" s="4132" t="s">
        <v>1595</v>
      </c>
      <c r="R45" s="4129" t="s">
        <v>723</v>
      </c>
      <c r="S45" s="4157" t="s">
        <v>2773</v>
      </c>
    </row>
    <row r="46" spans="1:19">
      <c r="A46" s="3193"/>
      <c r="B46" s="3193"/>
      <c r="C46" s="3193"/>
      <c r="D46" s="3193"/>
      <c r="E46" s="3193"/>
      <c r="F46" s="3193"/>
      <c r="G46" s="3193"/>
      <c r="I46" s="4218" t="s">
        <v>1600</v>
      </c>
      <c r="J46" s="4219" t="s">
        <v>1600</v>
      </c>
      <c r="K46" s="4132" t="s">
        <v>1656</v>
      </c>
      <c r="L46" s="4218" t="s">
        <v>1656</v>
      </c>
      <c r="M46" s="4235">
        <v>128</v>
      </c>
      <c r="N46" s="4235">
        <v>128</v>
      </c>
      <c r="O46" s="4235">
        <v>0</v>
      </c>
      <c r="P46" s="4132" t="s">
        <v>1600</v>
      </c>
      <c r="R46" s="2785">
        <v>0</v>
      </c>
      <c r="S46" s="4238">
        <v>0</v>
      </c>
    </row>
    <row r="47" spans="1:19">
      <c r="A47" s="3193"/>
      <c r="I47" s="4239" t="s">
        <v>1604</v>
      </c>
      <c r="J47" s="4240" t="s">
        <v>1604</v>
      </c>
      <c r="K47" s="4241" t="s">
        <v>1657</v>
      </c>
      <c r="L47" s="4239" t="s">
        <v>1657</v>
      </c>
      <c r="M47" s="4242">
        <v>128</v>
      </c>
      <c r="N47" s="4242">
        <v>0</v>
      </c>
      <c r="O47" s="4242">
        <v>128</v>
      </c>
      <c r="P47" s="4241" t="s">
        <v>1604</v>
      </c>
      <c r="R47" s="4129" t="s">
        <v>723</v>
      </c>
      <c r="S47" s="4157" t="s">
        <v>2774</v>
      </c>
    </row>
    <row r="48" spans="1:19">
      <c r="I48" s="4243" t="s">
        <v>1608</v>
      </c>
      <c r="J48" s="4244" t="s">
        <v>1608</v>
      </c>
      <c r="K48" s="4241" t="s">
        <v>1658</v>
      </c>
      <c r="L48" s="4243" t="s">
        <v>1658</v>
      </c>
      <c r="M48" s="4242">
        <v>0</v>
      </c>
      <c r="N48" s="4242">
        <v>128</v>
      </c>
      <c r="O48" s="4242">
        <v>128</v>
      </c>
      <c r="P48" s="4241" t="s">
        <v>1608</v>
      </c>
      <c r="S48" s="4245"/>
    </row>
    <row r="49" spans="1:16">
      <c r="A49" s="3193"/>
      <c r="I49" s="4246" t="s">
        <v>1543</v>
      </c>
      <c r="J49" s="4247" t="s">
        <v>1543</v>
      </c>
      <c r="K49" s="4241" t="s">
        <v>1659</v>
      </c>
      <c r="L49" s="4246" t="s">
        <v>1659</v>
      </c>
      <c r="M49" s="4242">
        <v>192</v>
      </c>
      <c r="N49" s="4242">
        <v>192</v>
      </c>
      <c r="O49" s="4242">
        <v>192</v>
      </c>
      <c r="P49" s="4241" t="s">
        <v>1543</v>
      </c>
    </row>
    <row r="50" spans="1:16">
      <c r="A50" s="3193"/>
      <c r="I50" s="4248" t="s">
        <v>1547</v>
      </c>
      <c r="J50" s="4249" t="s">
        <v>1547</v>
      </c>
      <c r="K50" s="4241" t="s">
        <v>1660</v>
      </c>
      <c r="L50" s="4248" t="s">
        <v>1660</v>
      </c>
      <c r="M50" s="4242">
        <v>128</v>
      </c>
      <c r="N50" s="4242">
        <v>128</v>
      </c>
      <c r="O50" s="4242">
        <v>128</v>
      </c>
      <c r="P50" s="4241" t="s">
        <v>1547</v>
      </c>
    </row>
    <row r="51" spans="1:16">
      <c r="A51" s="3193"/>
      <c r="I51" s="4250" t="s">
        <v>1551</v>
      </c>
      <c r="J51" s="4251" t="s">
        <v>1551</v>
      </c>
      <c r="K51" s="4241" t="s">
        <v>1661</v>
      </c>
      <c r="L51" s="4250" t="s">
        <v>1661</v>
      </c>
      <c r="M51" s="4242">
        <v>153</v>
      </c>
      <c r="N51" s="4242">
        <v>153</v>
      </c>
      <c r="O51" s="4242">
        <v>255</v>
      </c>
      <c r="P51" s="4241" t="s">
        <v>1551</v>
      </c>
    </row>
    <row r="52" spans="1:16">
      <c r="A52" s="3193"/>
      <c r="I52" s="4252" t="s">
        <v>1556</v>
      </c>
      <c r="J52" s="4253" t="s">
        <v>1556</v>
      </c>
      <c r="K52" s="4241" t="s">
        <v>1662</v>
      </c>
      <c r="L52" s="4252" t="s">
        <v>1662</v>
      </c>
      <c r="M52" s="4242">
        <v>153</v>
      </c>
      <c r="N52" s="4242">
        <v>51</v>
      </c>
      <c r="O52" s="4242">
        <v>102</v>
      </c>
      <c r="P52" s="4241" t="s">
        <v>1556</v>
      </c>
    </row>
    <row r="53" spans="1:16">
      <c r="A53" s="3193"/>
      <c r="I53" s="2045"/>
      <c r="J53" s="2045"/>
      <c r="K53" s="2045"/>
      <c r="L53" s="2045"/>
      <c r="M53" s="2045"/>
      <c r="N53" s="2045"/>
      <c r="O53" s="2045"/>
      <c r="P53" s="2045"/>
    </row>
    <row r="54" spans="1:16">
      <c r="A54" s="3193"/>
      <c r="I54" s="4254" t="s">
        <v>1567</v>
      </c>
      <c r="J54" s="4255" t="s">
        <v>1567</v>
      </c>
      <c r="K54" s="4241" t="s">
        <v>1663</v>
      </c>
      <c r="L54" s="4254" t="s">
        <v>1663</v>
      </c>
      <c r="M54" s="4242">
        <v>204</v>
      </c>
      <c r="N54" s="4242">
        <v>255</v>
      </c>
      <c r="O54" s="4242">
        <v>255</v>
      </c>
      <c r="P54" s="4241" t="s">
        <v>1567</v>
      </c>
    </row>
    <row r="55" spans="1:16">
      <c r="A55" s="3193"/>
      <c r="I55" s="4256" t="s">
        <v>1572</v>
      </c>
      <c r="J55" s="4257" t="s">
        <v>1572</v>
      </c>
      <c r="K55" s="4241" t="s">
        <v>1664</v>
      </c>
      <c r="L55" s="4256" t="s">
        <v>1664</v>
      </c>
      <c r="M55" s="4242">
        <v>102</v>
      </c>
      <c r="N55" s="4242">
        <v>0</v>
      </c>
      <c r="O55" s="4242">
        <v>102</v>
      </c>
      <c r="P55" s="4241" t="s">
        <v>1572</v>
      </c>
    </row>
    <row r="56" spans="1:16">
      <c r="A56" s="3193"/>
      <c r="I56" s="4258" t="s">
        <v>1577</v>
      </c>
      <c r="J56" s="4259" t="s">
        <v>1577</v>
      </c>
      <c r="K56" s="4241" t="s">
        <v>1665</v>
      </c>
      <c r="L56" s="4258" t="s">
        <v>1665</v>
      </c>
      <c r="M56" s="4242">
        <v>255</v>
      </c>
      <c r="N56" s="4242">
        <v>128</v>
      </c>
      <c r="O56" s="4242">
        <v>128</v>
      </c>
      <c r="P56" s="4241" t="s">
        <v>1577</v>
      </c>
    </row>
    <row r="57" spans="1:16">
      <c r="A57" s="3193"/>
      <c r="I57" s="4260" t="s">
        <v>1582</v>
      </c>
      <c r="J57" s="4261" t="s">
        <v>1582</v>
      </c>
      <c r="K57" s="4241" t="s">
        <v>1666</v>
      </c>
      <c r="L57" s="4260" t="s">
        <v>1666</v>
      </c>
      <c r="M57" s="4242">
        <v>0</v>
      </c>
      <c r="N57" s="4242">
        <v>102</v>
      </c>
      <c r="O57" s="4242">
        <v>204</v>
      </c>
      <c r="P57" s="4241" t="s">
        <v>1582</v>
      </c>
    </row>
    <row r="58" spans="1:16">
      <c r="A58" s="3193"/>
      <c r="I58" s="4262" t="s">
        <v>1586</v>
      </c>
      <c r="J58" s="4263" t="s">
        <v>1586</v>
      </c>
      <c r="K58" s="4241" t="s">
        <v>1667</v>
      </c>
      <c r="L58" s="4262" t="s">
        <v>1667</v>
      </c>
      <c r="M58" s="4242">
        <v>204</v>
      </c>
      <c r="N58" s="4242">
        <v>204</v>
      </c>
      <c r="O58" s="4242">
        <v>255</v>
      </c>
      <c r="P58" s="4241" t="s">
        <v>1586</v>
      </c>
    </row>
    <row r="59" spans="1:16">
      <c r="I59" s="4264" t="s">
        <v>1591</v>
      </c>
      <c r="J59" s="4265" t="s">
        <v>1591</v>
      </c>
      <c r="K59" s="4241" t="s">
        <v>1655</v>
      </c>
      <c r="L59" s="4264" t="s">
        <v>1655</v>
      </c>
      <c r="M59" s="4242">
        <v>0</v>
      </c>
      <c r="N59" s="4242">
        <v>0</v>
      </c>
      <c r="O59" s="4242">
        <v>128</v>
      </c>
      <c r="P59" s="4241" t="s">
        <v>1591</v>
      </c>
    </row>
    <row r="60" spans="1:16">
      <c r="I60" s="4266" t="s">
        <v>1596</v>
      </c>
      <c r="J60" s="4267" t="s">
        <v>1596</v>
      </c>
      <c r="K60" s="4241" t="s">
        <v>1644</v>
      </c>
      <c r="L60" s="4266" t="s">
        <v>1644</v>
      </c>
      <c r="M60" s="4242">
        <v>255</v>
      </c>
      <c r="N60" s="4242">
        <v>0</v>
      </c>
      <c r="O60" s="4242">
        <v>255</v>
      </c>
      <c r="P60" s="4241" t="s">
        <v>1596</v>
      </c>
    </row>
    <row r="61" spans="1:16">
      <c r="I61" s="4268" t="s">
        <v>1601</v>
      </c>
      <c r="J61" s="4269" t="s">
        <v>1601</v>
      </c>
      <c r="K61" s="4241" t="s">
        <v>1641</v>
      </c>
      <c r="L61" s="4268" t="s">
        <v>1641</v>
      </c>
      <c r="M61" s="4242">
        <v>255</v>
      </c>
      <c r="N61" s="4242">
        <v>255</v>
      </c>
      <c r="O61" s="4242">
        <v>0</v>
      </c>
      <c r="P61" s="4241" t="s">
        <v>1601</v>
      </c>
    </row>
    <row r="62" spans="1:16">
      <c r="I62" s="4270" t="s">
        <v>1605</v>
      </c>
      <c r="J62" s="4271" t="s">
        <v>1605</v>
      </c>
      <c r="K62" s="4241" t="s">
        <v>1648</v>
      </c>
      <c r="L62" s="4270" t="s">
        <v>1648</v>
      </c>
      <c r="M62" s="4242">
        <v>0</v>
      </c>
      <c r="N62" s="4242">
        <v>255</v>
      </c>
      <c r="O62" s="4242">
        <v>255</v>
      </c>
      <c r="P62" s="4241" t="s">
        <v>1605</v>
      </c>
    </row>
    <row r="63" spans="1:16">
      <c r="I63" s="4239" t="s">
        <v>1609</v>
      </c>
      <c r="J63" s="4240" t="s">
        <v>1609</v>
      </c>
      <c r="K63" s="4241" t="s">
        <v>1657</v>
      </c>
      <c r="L63" s="4239" t="s">
        <v>1657</v>
      </c>
      <c r="M63" s="4242">
        <v>128</v>
      </c>
      <c r="N63" s="4242">
        <v>0</v>
      </c>
      <c r="O63" s="4242">
        <v>128</v>
      </c>
      <c r="P63" s="4241" t="s">
        <v>1609</v>
      </c>
    </row>
    <row r="64" spans="1:16">
      <c r="I64" s="4272" t="s">
        <v>1544</v>
      </c>
      <c r="J64" s="4273" t="s">
        <v>1544</v>
      </c>
      <c r="K64" s="4241" t="s">
        <v>1651</v>
      </c>
      <c r="L64" s="4272" t="s">
        <v>1651</v>
      </c>
      <c r="M64" s="4242">
        <v>128</v>
      </c>
      <c r="N64" s="4242">
        <v>0</v>
      </c>
      <c r="O64" s="4242">
        <v>0</v>
      </c>
      <c r="P64" s="4241" t="s">
        <v>1544</v>
      </c>
    </row>
    <row r="65" spans="9:16">
      <c r="I65" s="4243" t="s">
        <v>1548</v>
      </c>
      <c r="J65" s="4244" t="s">
        <v>1548</v>
      </c>
      <c r="K65" s="4241" t="s">
        <v>1658</v>
      </c>
      <c r="L65" s="4243" t="s">
        <v>1658</v>
      </c>
      <c r="M65" s="4242">
        <v>0</v>
      </c>
      <c r="N65" s="4242">
        <v>128</v>
      </c>
      <c r="O65" s="4242">
        <v>128</v>
      </c>
      <c r="P65" s="4241" t="s">
        <v>1548</v>
      </c>
    </row>
    <row r="66" spans="9:16">
      <c r="I66" s="4274" t="s">
        <v>1552</v>
      </c>
      <c r="J66" s="4275" t="s">
        <v>1552</v>
      </c>
      <c r="K66" s="4241" t="s">
        <v>1637</v>
      </c>
      <c r="L66" s="4274" t="s">
        <v>1637</v>
      </c>
      <c r="M66" s="4242">
        <v>0</v>
      </c>
      <c r="N66" s="4242">
        <v>0</v>
      </c>
      <c r="O66" s="4242">
        <v>255</v>
      </c>
      <c r="P66" s="4241" t="s">
        <v>1552</v>
      </c>
    </row>
    <row r="67" spans="9:16">
      <c r="I67" s="4276" t="s">
        <v>1557</v>
      </c>
      <c r="J67" s="4277" t="s">
        <v>1557</v>
      </c>
      <c r="K67" s="4241" t="s">
        <v>1668</v>
      </c>
      <c r="L67" s="4276" t="s">
        <v>1668</v>
      </c>
      <c r="M67" s="4242">
        <v>0</v>
      </c>
      <c r="N67" s="4242">
        <v>204</v>
      </c>
      <c r="O67" s="4242">
        <v>255</v>
      </c>
      <c r="P67" s="4241" t="s">
        <v>1557</v>
      </c>
    </row>
    <row r="68" spans="9:16">
      <c r="I68" s="4254" t="s">
        <v>1563</v>
      </c>
      <c r="J68" s="4255" t="s">
        <v>1563</v>
      </c>
      <c r="K68" s="4241" t="s">
        <v>1663</v>
      </c>
      <c r="L68" s="4254" t="s">
        <v>1663</v>
      </c>
      <c r="M68" s="4242">
        <v>204</v>
      </c>
      <c r="N68" s="4242">
        <v>255</v>
      </c>
      <c r="O68" s="4242">
        <v>255</v>
      </c>
      <c r="P68" s="4241" t="s">
        <v>1563</v>
      </c>
    </row>
    <row r="69" spans="9:16">
      <c r="I69" s="4278" t="s">
        <v>1568</v>
      </c>
      <c r="J69" s="4279" t="s">
        <v>1568</v>
      </c>
      <c r="K69" s="4241" t="s">
        <v>1669</v>
      </c>
      <c r="L69" s="4278" t="s">
        <v>1669</v>
      </c>
      <c r="M69" s="4242">
        <v>204</v>
      </c>
      <c r="N69" s="4242">
        <v>255</v>
      </c>
      <c r="O69" s="4242">
        <v>204</v>
      </c>
      <c r="P69" s="4241" t="s">
        <v>1568</v>
      </c>
    </row>
    <row r="70" spans="9:16">
      <c r="I70" s="4280" t="s">
        <v>1573</v>
      </c>
      <c r="J70" s="4281" t="s">
        <v>1573</v>
      </c>
      <c r="K70" s="4241" t="s">
        <v>1670</v>
      </c>
      <c r="L70" s="4280" t="s">
        <v>1670</v>
      </c>
      <c r="M70" s="4242">
        <v>255</v>
      </c>
      <c r="N70" s="4242">
        <v>255</v>
      </c>
      <c r="O70" s="4242">
        <v>153</v>
      </c>
      <c r="P70" s="4241" t="s">
        <v>1573</v>
      </c>
    </row>
    <row r="71" spans="9:16">
      <c r="I71" s="4282" t="s">
        <v>1578</v>
      </c>
      <c r="J71" s="4283" t="s">
        <v>1578</v>
      </c>
      <c r="K71" s="4241" t="s">
        <v>1671</v>
      </c>
      <c r="L71" s="4282" t="s">
        <v>1671</v>
      </c>
      <c r="M71" s="4242">
        <v>153</v>
      </c>
      <c r="N71" s="4242">
        <v>204</v>
      </c>
      <c r="O71" s="4242">
        <v>255</v>
      </c>
      <c r="P71" s="4241" t="s">
        <v>1578</v>
      </c>
    </row>
    <row r="72" spans="9:16">
      <c r="I72" s="4284" t="s">
        <v>1583</v>
      </c>
      <c r="J72" s="4285" t="s">
        <v>1583</v>
      </c>
      <c r="K72" s="4241" t="s">
        <v>1672</v>
      </c>
      <c r="L72" s="4284" t="s">
        <v>1672</v>
      </c>
      <c r="M72" s="4242">
        <v>255</v>
      </c>
      <c r="N72" s="4242">
        <v>153</v>
      </c>
      <c r="O72" s="4242">
        <v>204</v>
      </c>
      <c r="P72" s="4241" t="s">
        <v>1583</v>
      </c>
    </row>
    <row r="73" spans="9:16">
      <c r="I73" s="4286" t="s">
        <v>1587</v>
      </c>
      <c r="J73" s="4287" t="s">
        <v>1587</v>
      </c>
      <c r="K73" s="4241" t="s">
        <v>1673</v>
      </c>
      <c r="L73" s="4286" t="s">
        <v>1673</v>
      </c>
      <c r="M73" s="4242">
        <v>204</v>
      </c>
      <c r="N73" s="4242">
        <v>153</v>
      </c>
      <c r="O73" s="4242">
        <v>255</v>
      </c>
      <c r="P73" s="4241" t="s">
        <v>1587</v>
      </c>
    </row>
    <row r="74" spans="9:16">
      <c r="I74" s="4288" t="s">
        <v>1592</v>
      </c>
      <c r="J74" s="4289" t="s">
        <v>1592</v>
      </c>
      <c r="K74" s="4241" t="s">
        <v>1674</v>
      </c>
      <c r="L74" s="4288" t="s">
        <v>1674</v>
      </c>
      <c r="M74" s="4242">
        <v>255</v>
      </c>
      <c r="N74" s="4242">
        <v>204</v>
      </c>
      <c r="O74" s="4242">
        <v>153</v>
      </c>
      <c r="P74" s="4241" t="s">
        <v>1592</v>
      </c>
    </row>
    <row r="75" spans="9:16">
      <c r="I75" s="4290" t="s">
        <v>1597</v>
      </c>
      <c r="J75" s="4291" t="s">
        <v>1597</v>
      </c>
      <c r="K75" s="4241" t="s">
        <v>1675</v>
      </c>
      <c r="L75" s="4290" t="s">
        <v>1675</v>
      </c>
      <c r="M75" s="4242">
        <v>51</v>
      </c>
      <c r="N75" s="4242">
        <v>102</v>
      </c>
      <c r="O75" s="4242">
        <v>255</v>
      </c>
      <c r="P75" s="4241" t="s">
        <v>1597</v>
      </c>
    </row>
    <row r="76" spans="9:16">
      <c r="I76" s="4292" t="s">
        <v>1602</v>
      </c>
      <c r="J76" s="4293" t="s">
        <v>1602</v>
      </c>
      <c r="K76" s="4241" t="s">
        <v>1676</v>
      </c>
      <c r="L76" s="4292" t="s">
        <v>1676</v>
      </c>
      <c r="M76" s="4242">
        <v>51</v>
      </c>
      <c r="N76" s="4242">
        <v>204</v>
      </c>
      <c r="O76" s="4242">
        <v>204</v>
      </c>
      <c r="P76" s="4241" t="s">
        <v>1602</v>
      </c>
    </row>
    <row r="77" spans="9:16">
      <c r="I77" s="4294" t="s">
        <v>1606</v>
      </c>
      <c r="J77" s="4295" t="s">
        <v>1606</v>
      </c>
      <c r="K77" s="4241" t="s">
        <v>1677</v>
      </c>
      <c r="L77" s="4294" t="s">
        <v>1677</v>
      </c>
      <c r="M77" s="4242">
        <v>153</v>
      </c>
      <c r="N77" s="4242">
        <v>204</v>
      </c>
      <c r="O77" s="4242">
        <v>0</v>
      </c>
      <c r="P77" s="4241" t="s">
        <v>1606</v>
      </c>
    </row>
    <row r="78" spans="9:16">
      <c r="I78" s="4296" t="s">
        <v>1610</v>
      </c>
      <c r="J78" s="4297" t="s">
        <v>1610</v>
      </c>
      <c r="K78" s="4241" t="s">
        <v>1678</v>
      </c>
      <c r="L78" s="4296" t="s">
        <v>1678</v>
      </c>
      <c r="M78" s="4242">
        <v>255</v>
      </c>
      <c r="N78" s="4242">
        <v>204</v>
      </c>
      <c r="O78" s="4242">
        <v>0</v>
      </c>
      <c r="P78" s="4241" t="s">
        <v>1610</v>
      </c>
    </row>
    <row r="79" spans="9:16">
      <c r="I79" s="4298" t="s">
        <v>1545</v>
      </c>
      <c r="J79" s="4299" t="s">
        <v>1545</v>
      </c>
      <c r="K79" s="4241" t="s">
        <v>1679</v>
      </c>
      <c r="L79" s="4298" t="s">
        <v>1679</v>
      </c>
      <c r="M79" s="4242">
        <v>255</v>
      </c>
      <c r="N79" s="4242">
        <v>153</v>
      </c>
      <c r="O79" s="4242">
        <v>0</v>
      </c>
      <c r="P79" s="4241" t="s">
        <v>1545</v>
      </c>
    </row>
    <row r="80" spans="9:16">
      <c r="I80" s="4300" t="s">
        <v>1549</v>
      </c>
      <c r="J80" s="4301" t="s">
        <v>1549</v>
      </c>
      <c r="K80" s="4241" t="s">
        <v>1680</v>
      </c>
      <c r="L80" s="4300" t="s">
        <v>1680</v>
      </c>
      <c r="M80" s="4242">
        <v>255</v>
      </c>
      <c r="N80" s="4242">
        <v>102</v>
      </c>
      <c r="O80" s="4242">
        <v>0</v>
      </c>
      <c r="P80" s="4241" t="s">
        <v>1549</v>
      </c>
    </row>
    <row r="81" spans="9:19">
      <c r="I81" s="4302" t="s">
        <v>1553</v>
      </c>
      <c r="J81" s="4303" t="s">
        <v>1553</v>
      </c>
      <c r="K81" s="4241" t="s">
        <v>1681</v>
      </c>
      <c r="L81" s="4302" t="s">
        <v>1681</v>
      </c>
      <c r="M81" s="4242">
        <v>102</v>
      </c>
      <c r="N81" s="4242">
        <v>102</v>
      </c>
      <c r="O81" s="4242">
        <v>153</v>
      </c>
      <c r="P81" s="4241" t="s">
        <v>1553</v>
      </c>
    </row>
    <row r="82" spans="9:19">
      <c r="I82" s="4304" t="s">
        <v>1558</v>
      </c>
      <c r="J82" s="4305" t="s">
        <v>1558</v>
      </c>
      <c r="K82" s="4241" t="s">
        <v>1682</v>
      </c>
      <c r="L82" s="4304" t="s">
        <v>1682</v>
      </c>
      <c r="M82" s="4242">
        <v>150</v>
      </c>
      <c r="N82" s="4242">
        <v>150</v>
      </c>
      <c r="O82" s="4242">
        <v>150</v>
      </c>
      <c r="P82" s="4241" t="s">
        <v>1558</v>
      </c>
    </row>
    <row r="83" spans="9:19">
      <c r="I83" s="4306" t="s">
        <v>1564</v>
      </c>
      <c r="J83" s="4307" t="s">
        <v>1564</v>
      </c>
      <c r="K83" s="4241" t="s">
        <v>1683</v>
      </c>
      <c r="L83" s="4306" t="s">
        <v>1683</v>
      </c>
      <c r="M83" s="4242">
        <v>0</v>
      </c>
      <c r="N83" s="4242">
        <v>51</v>
      </c>
      <c r="O83" s="4242">
        <v>102</v>
      </c>
      <c r="P83" s="4241" t="s">
        <v>1564</v>
      </c>
    </row>
    <row r="84" spans="9:19">
      <c r="I84" s="4308" t="s">
        <v>1569</v>
      </c>
      <c r="J84" s="4309" t="s">
        <v>1569</v>
      </c>
      <c r="K84" s="4241" t="s">
        <v>1684</v>
      </c>
      <c r="L84" s="4308" t="s">
        <v>1684</v>
      </c>
      <c r="M84" s="4242">
        <v>51</v>
      </c>
      <c r="N84" s="4242">
        <v>153</v>
      </c>
      <c r="O84" s="4242">
        <v>102</v>
      </c>
      <c r="P84" s="4241" t="s">
        <v>1569</v>
      </c>
    </row>
    <row r="85" spans="9:19">
      <c r="I85" s="4310" t="s">
        <v>1574</v>
      </c>
      <c r="J85" s="4311" t="s">
        <v>1574</v>
      </c>
      <c r="K85" s="4241" t="s">
        <v>1685</v>
      </c>
      <c r="L85" s="4310" t="s">
        <v>1685</v>
      </c>
      <c r="M85" s="4242">
        <v>0</v>
      </c>
      <c r="N85" s="4242">
        <v>51</v>
      </c>
      <c r="O85" s="4242">
        <v>0</v>
      </c>
      <c r="P85" s="4241" t="s">
        <v>1574</v>
      </c>
      <c r="S85" s="4131"/>
    </row>
    <row r="86" spans="9:19">
      <c r="I86" s="4312" t="s">
        <v>1579</v>
      </c>
      <c r="J86" s="4313" t="s">
        <v>1579</v>
      </c>
      <c r="K86" s="4241" t="s">
        <v>1686</v>
      </c>
      <c r="L86" s="4312" t="s">
        <v>1686</v>
      </c>
      <c r="M86" s="4242">
        <v>51</v>
      </c>
      <c r="N86" s="4242">
        <v>51</v>
      </c>
      <c r="O86" s="4242">
        <v>0</v>
      </c>
      <c r="P86" s="4241" t="s">
        <v>1579</v>
      </c>
    </row>
    <row r="87" spans="9:19">
      <c r="I87" s="4314" t="s">
        <v>1584</v>
      </c>
      <c r="J87" s="4315" t="s">
        <v>1584</v>
      </c>
      <c r="K87" s="4241" t="s">
        <v>1687</v>
      </c>
      <c r="L87" s="4314" t="s">
        <v>1687</v>
      </c>
      <c r="M87" s="4242">
        <v>153</v>
      </c>
      <c r="N87" s="4242">
        <v>51</v>
      </c>
      <c r="O87" s="4242">
        <v>0</v>
      </c>
      <c r="P87" s="4241" t="s">
        <v>1584</v>
      </c>
    </row>
    <row r="88" spans="9:19">
      <c r="I88" s="4252" t="s">
        <v>1588</v>
      </c>
      <c r="J88" s="4253" t="s">
        <v>1588</v>
      </c>
      <c r="K88" s="4241" t="s">
        <v>1662</v>
      </c>
      <c r="L88" s="4252" t="s">
        <v>1662</v>
      </c>
      <c r="M88" s="4242">
        <v>153</v>
      </c>
      <c r="N88" s="4242">
        <v>51</v>
      </c>
      <c r="O88" s="4242">
        <v>102</v>
      </c>
      <c r="P88" s="4241" t="s">
        <v>1588</v>
      </c>
    </row>
    <row r="89" spans="9:19">
      <c r="I89" s="4316" t="s">
        <v>1593</v>
      </c>
      <c r="J89" s="4317" t="s">
        <v>1593</v>
      </c>
      <c r="K89" s="4241" t="s">
        <v>1688</v>
      </c>
      <c r="L89" s="4316" t="s">
        <v>1688</v>
      </c>
      <c r="M89" s="4242">
        <v>51</v>
      </c>
      <c r="N89" s="4242">
        <v>51</v>
      </c>
      <c r="O89" s="4242">
        <v>153</v>
      </c>
      <c r="P89" s="4241" t="s">
        <v>1593</v>
      </c>
    </row>
    <row r="90" spans="9:19">
      <c r="I90" s="4318" t="s">
        <v>1598</v>
      </c>
      <c r="J90" s="4319" t="s">
        <v>1598</v>
      </c>
      <c r="K90" s="4241" t="s">
        <v>1689</v>
      </c>
      <c r="L90" s="4318" t="s">
        <v>1689</v>
      </c>
      <c r="M90" s="4242">
        <v>51</v>
      </c>
      <c r="N90" s="4242">
        <v>51</v>
      </c>
      <c r="O90" s="4242">
        <v>51</v>
      </c>
      <c r="P90" s="4241" t="s">
        <v>1598</v>
      </c>
    </row>
    <row r="91" spans="9:19" ht="15" customHeight="1">
      <c r="I91" s="7187" t="s">
        <v>1690</v>
      </c>
      <c r="J91" s="7188"/>
      <c r="K91" s="7188"/>
      <c r="L91" s="7188"/>
      <c r="M91" s="7188"/>
      <c r="N91" s="7188"/>
      <c r="O91" s="7188"/>
      <c r="P91" s="7189"/>
    </row>
    <row r="92" spans="9:19">
      <c r="I92" s="7190"/>
      <c r="J92" s="7191"/>
      <c r="K92" s="7191"/>
      <c r="L92" s="7191"/>
      <c r="M92" s="7191"/>
      <c r="N92" s="7191"/>
      <c r="O92" s="7191"/>
      <c r="P92" s="7192"/>
    </row>
    <row r="93" spans="9:19">
      <c r="I93" s="7181" t="s">
        <v>1691</v>
      </c>
      <c r="J93" s="7182"/>
      <c r="K93" s="7182"/>
      <c r="L93" s="7182"/>
      <c r="M93" s="7182"/>
      <c r="N93" s="7182"/>
      <c r="O93" s="7182"/>
      <c r="P93" s="7183"/>
    </row>
    <row r="94" spans="9:19">
      <c r="I94" s="7181"/>
      <c r="J94" s="7182"/>
      <c r="K94" s="7182"/>
      <c r="L94" s="7182"/>
      <c r="M94" s="7182"/>
      <c r="N94" s="7182"/>
      <c r="O94" s="7182"/>
      <c r="P94" s="7183"/>
    </row>
    <row r="95" spans="9:19">
      <c r="I95" s="7184"/>
      <c r="J95" s="7185"/>
      <c r="K95" s="7185"/>
      <c r="L95" s="7185"/>
      <c r="M95" s="7185"/>
      <c r="N95" s="7185"/>
      <c r="O95" s="7185"/>
      <c r="P95" s="7186"/>
    </row>
    <row r="97" spans="9:16" ht="18.75">
      <c r="I97" s="2088" t="s">
        <v>1692</v>
      </c>
      <c r="J97" s="2045"/>
      <c r="K97" s="2045"/>
      <c r="L97" s="2045"/>
      <c r="M97" s="2045"/>
      <c r="N97" s="2045"/>
      <c r="O97" s="2045"/>
      <c r="P97" s="2045"/>
    </row>
    <row r="98" spans="9:16" ht="18.75">
      <c r="I98" s="2088" t="s">
        <v>1693</v>
      </c>
      <c r="J98" s="2045"/>
      <c r="K98" s="2045"/>
      <c r="L98" s="2045"/>
      <c r="M98" s="2045"/>
      <c r="N98" s="2045"/>
      <c r="O98" s="2045"/>
      <c r="P98" s="2045"/>
    </row>
  </sheetData>
  <mergeCells count="49">
    <mergeCell ref="I93:P95"/>
    <mergeCell ref="E41:G41"/>
    <mergeCell ref="E42:G42"/>
    <mergeCell ref="E43:G43"/>
    <mergeCell ref="E44:G44"/>
    <mergeCell ref="E45:G45"/>
    <mergeCell ref="I91:P92"/>
    <mergeCell ref="E40:G40"/>
    <mergeCell ref="E29:G29"/>
    <mergeCell ref="E30:G30"/>
    <mergeCell ref="E31:G31"/>
    <mergeCell ref="E32:G32"/>
    <mergeCell ref="E33:G33"/>
    <mergeCell ref="E34:G34"/>
    <mergeCell ref="E35:G35"/>
    <mergeCell ref="E36:G36"/>
    <mergeCell ref="E37:G37"/>
    <mergeCell ref="E38:G38"/>
    <mergeCell ref="E39:G39"/>
    <mergeCell ref="E26:G26"/>
    <mergeCell ref="B18:C18"/>
    <mergeCell ref="E18:G18"/>
    <mergeCell ref="E19:G19"/>
    <mergeCell ref="B20:C20"/>
    <mergeCell ref="E20:G20"/>
    <mergeCell ref="E21:G21"/>
    <mergeCell ref="B22:C22"/>
    <mergeCell ref="E22:G22"/>
    <mergeCell ref="E23:G23"/>
    <mergeCell ref="E24:G24"/>
    <mergeCell ref="E25:G25"/>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00000000-0004-0000-2200-000000000000}"/>
    <hyperlink ref="I91" r:id="rId2" location="dpalette" display="http://dmcritchie.mvps.org/excel/colors.htm - dpalette" xr:uid="{00000000-0004-0000-2200-000001000000}"/>
    <hyperlink ref="S7" r:id="rId3" xr:uid="{00000000-0004-0000-2200-000002000000}"/>
    <hyperlink ref="S10" r:id="rId4" xr:uid="{00000000-0004-0000-2200-000003000000}"/>
    <hyperlink ref="S13" r:id="rId5" xr:uid="{00000000-0004-0000-2200-000004000000}"/>
    <hyperlink ref="S16" r:id="rId6" xr:uid="{00000000-0004-0000-2200-000005000000}"/>
    <hyperlink ref="S38" r:id="rId7" xr:uid="{00000000-0004-0000-2200-000006000000}"/>
    <hyperlink ref="S47" r:id="rId8" xr:uid="{00000000-0004-0000-2200-000007000000}"/>
    <hyperlink ref="S32" r:id="rId9" xr:uid="{00000000-0004-0000-2200-000008000000}"/>
    <hyperlink ref="S26" r:id="rId10" xr:uid="{00000000-0004-0000-2200-000009000000}"/>
    <hyperlink ref="S28" r:id="rId11" xr:uid="{00000000-0004-0000-2200-00000A000000}"/>
    <hyperlink ref="S30" r:id="rId12" xr:uid="{00000000-0004-0000-2200-00000B000000}"/>
    <hyperlink ref="S34" r:id="rId13" xr:uid="{00000000-0004-0000-2200-00000C000000}"/>
    <hyperlink ref="S20" r:id="rId14" display="Trouver n'Importe quel Code Couleur HTML en 2 clics [Images, Vidéos, PDF...]" xr:uid="{00000000-0004-0000-2200-00000D000000}"/>
    <hyperlink ref="S22" r:id="rId15" xr:uid="{00000000-0004-0000-2200-00000E000000}"/>
    <hyperlink ref="S36" r:id="rId16" xr:uid="{00000000-0004-0000-2200-00000F000000}"/>
    <hyperlink ref="S24" r:id="rId17" display="Téléchargez votre image Cliquez sur l'image pour obtenir le code couleur. https://www.ginifab.com/feeds/pms/color_picker_from_image.fr.php" xr:uid="{00000000-0004-0000-2200-000010000000}"/>
    <hyperlink ref="S41" r:id="rId18" xr:uid="{00000000-0004-0000-2200-000011000000}"/>
    <hyperlink ref="S43" r:id="rId19" xr:uid="{00000000-0004-0000-2200-000012000000}"/>
    <hyperlink ref="S45" r:id="rId20" xr:uid="{00000000-0004-0000-2200-000013000000}"/>
  </hyperlink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R177"/>
  <sheetViews>
    <sheetView zoomScale="75" zoomScaleNormal="75" workbookViewId="0">
      <selection activeCell="Y23" sqref="Y23"/>
    </sheetView>
  </sheetViews>
  <sheetFormatPr baseColWidth="10" defaultRowHeight="15.75"/>
  <sheetData>
    <row r="2" spans="1:18" s="1" customFormat="1" ht="33">
      <c r="A2" s="635">
        <f>(ROW())</f>
        <v>2</v>
      </c>
      <c r="B2" s="5298" t="s">
        <v>2109</v>
      </c>
      <c r="C2" s="5298"/>
      <c r="D2" s="5298"/>
      <c r="E2" s="5298"/>
      <c r="F2" s="5298"/>
      <c r="G2" s="5298"/>
      <c r="H2" s="5298"/>
      <c r="I2" s="5298"/>
      <c r="J2" s="5298"/>
      <c r="K2" s="5298"/>
      <c r="L2" s="5298"/>
      <c r="M2" s="5298"/>
      <c r="N2" s="5298"/>
      <c r="O2" s="5298"/>
      <c r="P2" s="5298"/>
      <c r="Q2" s="5298"/>
    </row>
    <row r="3" spans="1:18" s="1" customFormat="1" ht="15">
      <c r="A3" s="2"/>
      <c r="B3" s="3"/>
      <c r="C3" s="3"/>
      <c r="D3" s="3"/>
      <c r="E3" s="3"/>
      <c r="F3" s="3"/>
      <c r="G3" s="3"/>
      <c r="H3" s="3"/>
      <c r="I3" s="3"/>
      <c r="J3" s="3"/>
      <c r="K3" s="3"/>
      <c r="L3" s="3"/>
      <c r="M3" s="3"/>
      <c r="N3" s="3"/>
      <c r="O3" s="3"/>
      <c r="P3" s="3"/>
      <c r="Q3" s="3"/>
    </row>
    <row r="4" spans="1:18" s="1" customFormat="1" ht="21">
      <c r="A4" s="2"/>
      <c r="B4" s="352" t="s">
        <v>365</v>
      </c>
      <c r="C4" s="5480" t="s">
        <v>624</v>
      </c>
      <c r="D4" s="5480"/>
      <c r="E4" s="5480"/>
      <c r="F4" s="5480"/>
      <c r="G4" s="3"/>
      <c r="H4" s="3"/>
      <c r="I4" s="3"/>
      <c r="J4" s="352" t="s">
        <v>365</v>
      </c>
      <c r="K4" s="5241" t="s">
        <v>623</v>
      </c>
      <c r="L4" s="5241"/>
      <c r="M4" s="3"/>
      <c r="N4" s="3"/>
      <c r="O4" s="3"/>
      <c r="P4" s="3"/>
      <c r="Q4" s="3"/>
    </row>
    <row r="5" spans="1:18" s="1" customFormat="1" ht="21">
      <c r="A5" s="2"/>
      <c r="B5" s="482"/>
      <c r="C5" s="482"/>
      <c r="D5" s="2"/>
      <c r="E5" s="483"/>
      <c r="F5" s="483"/>
      <c r="G5" s="3"/>
      <c r="H5" s="3"/>
      <c r="I5" s="3"/>
      <c r="J5" s="3"/>
      <c r="K5" s="3"/>
      <c r="L5" s="3"/>
      <c r="M5" s="3"/>
      <c r="N5" s="3"/>
      <c r="O5" s="3"/>
      <c r="P5" s="3"/>
      <c r="Q5" s="3"/>
    </row>
    <row r="6" spans="1:18" s="1" customFormat="1" ht="15">
      <c r="A6" s="2"/>
      <c r="B6" s="3"/>
      <c r="C6" s="3"/>
      <c r="D6" s="3"/>
      <c r="E6" s="3"/>
      <c r="F6" s="3"/>
      <c r="G6" s="3"/>
      <c r="H6" s="3"/>
      <c r="I6" s="3"/>
      <c r="J6" s="3"/>
      <c r="K6" s="3"/>
      <c r="L6" s="3"/>
      <c r="M6" s="3"/>
      <c r="N6" s="3"/>
      <c r="O6" s="3"/>
      <c r="P6" s="3"/>
      <c r="Q6" s="3"/>
    </row>
    <row r="7" spans="1:18" s="1" customFormat="1" ht="21">
      <c r="A7" s="2"/>
      <c r="B7" s="1174" t="s">
        <v>545</v>
      </c>
      <c r="C7" s="3"/>
      <c r="D7" s="3"/>
      <c r="E7" s="3"/>
      <c r="F7" s="3"/>
      <c r="G7" s="3"/>
      <c r="H7" s="3"/>
      <c r="I7" s="3"/>
      <c r="J7" s="1174" t="s">
        <v>688</v>
      </c>
      <c r="K7" s="3"/>
      <c r="L7" s="3"/>
      <c r="M7" s="3"/>
      <c r="N7" s="3"/>
      <c r="O7" s="3"/>
      <c r="P7" s="3"/>
      <c r="Q7" s="3"/>
    </row>
    <row r="8" spans="1:18" s="1" customFormat="1" ht="21">
      <c r="A8" s="2"/>
      <c r="B8" s="2"/>
      <c r="C8" s="661" t="s">
        <v>7810</v>
      </c>
      <c r="D8" s="3"/>
      <c r="E8" s="3"/>
      <c r="F8" s="4607" t="str">
        <f>B30</f>
        <v>B30</v>
      </c>
      <c r="G8" s="3"/>
      <c r="H8" s="3"/>
      <c r="I8" s="3"/>
      <c r="J8" s="4590" t="str">
        <f>HYPERLINK("#"&amp;ADDRESS(ROW(J28),COLUMN(J28),4))</f>
        <v>#J28</v>
      </c>
      <c r="K8" s="661" t="s">
        <v>691</v>
      </c>
      <c r="L8" s="3"/>
      <c r="M8" s="3"/>
      <c r="N8" s="3"/>
      <c r="O8" s="3"/>
      <c r="P8" s="3"/>
      <c r="Q8" s="3"/>
    </row>
    <row r="9" spans="1:18" s="1" customFormat="1" ht="15">
      <c r="A9" s="2"/>
      <c r="B9" s="2"/>
      <c r="C9" s="3"/>
      <c r="D9" s="3"/>
      <c r="E9" s="3"/>
      <c r="F9" s="3"/>
      <c r="G9" s="3"/>
      <c r="H9" s="3"/>
      <c r="I9" s="3"/>
      <c r="K9" s="2"/>
      <c r="L9" s="3"/>
      <c r="M9" s="3"/>
      <c r="N9" s="3"/>
      <c r="O9" s="3"/>
      <c r="P9" s="3"/>
      <c r="Q9" s="3"/>
    </row>
    <row r="10" spans="1:18" s="1" customFormat="1" ht="21">
      <c r="A10" s="2"/>
      <c r="B10" s="1174" t="s">
        <v>690</v>
      </c>
      <c r="C10" s="1174"/>
      <c r="D10" s="3"/>
      <c r="E10" s="3"/>
      <c r="G10" s="3"/>
      <c r="H10" s="3"/>
      <c r="I10" s="3"/>
      <c r="J10" s="1174" t="s">
        <v>508</v>
      </c>
      <c r="K10" s="3"/>
      <c r="L10" s="3"/>
      <c r="M10" s="3"/>
      <c r="N10" s="3"/>
      <c r="O10" s="3"/>
      <c r="P10" s="3"/>
      <c r="Q10" s="3"/>
    </row>
    <row r="11" spans="1:18" s="1" customFormat="1" ht="21">
      <c r="A11" s="2"/>
      <c r="B11" s="2"/>
      <c r="C11" s="661" t="s">
        <v>7810</v>
      </c>
      <c r="D11" s="3"/>
      <c r="E11" s="3"/>
      <c r="F11" s="4607" t="str">
        <f>B57</f>
        <v>B57</v>
      </c>
      <c r="G11" s="3"/>
      <c r="H11" s="3"/>
      <c r="I11" s="3"/>
      <c r="J11" s="4590" t="str">
        <f>HYPERLINK("#"&amp;ADDRESS(ROW(J55),COLUMN(J55),4))</f>
        <v>#J55</v>
      </c>
      <c r="K11" s="661" t="s">
        <v>691</v>
      </c>
      <c r="L11" s="3"/>
      <c r="M11" s="3"/>
      <c r="N11" s="3"/>
      <c r="O11" s="3"/>
      <c r="P11" s="3"/>
      <c r="Q11" s="3"/>
    </row>
    <row r="12" spans="1:18" s="1" customFormat="1" ht="15">
      <c r="A12" s="2"/>
      <c r="B12" s="2"/>
      <c r="C12" s="3"/>
      <c r="D12" s="3"/>
      <c r="E12" s="3"/>
      <c r="F12" s="3"/>
      <c r="G12" s="3"/>
      <c r="H12" s="3"/>
      <c r="I12" s="3"/>
      <c r="K12" s="2"/>
      <c r="L12" s="3"/>
      <c r="M12" s="3"/>
      <c r="N12" s="3"/>
      <c r="O12" s="3"/>
      <c r="P12" s="3"/>
      <c r="Q12" s="3"/>
      <c r="R12" s="3"/>
    </row>
    <row r="13" spans="1:18" s="1" customFormat="1" ht="21">
      <c r="A13" s="2"/>
      <c r="B13" s="1174" t="s">
        <v>526</v>
      </c>
      <c r="C13" s="3"/>
      <c r="D13" s="3"/>
      <c r="E13" s="3"/>
      <c r="G13" s="3"/>
      <c r="H13" s="3"/>
      <c r="I13" s="3"/>
      <c r="J13" s="1174" t="s">
        <v>520</v>
      </c>
      <c r="K13" s="3"/>
      <c r="L13" s="3"/>
      <c r="M13" s="3"/>
      <c r="N13" s="3"/>
      <c r="O13" s="3"/>
      <c r="P13" s="3"/>
      <c r="Q13" s="3"/>
    </row>
    <row r="14" spans="1:18" s="1" customFormat="1" ht="21">
      <c r="A14" s="2"/>
      <c r="B14" s="2"/>
      <c r="C14" s="661" t="s">
        <v>7810</v>
      </c>
      <c r="D14" s="3"/>
      <c r="E14" s="3"/>
      <c r="F14" s="4607" t="str">
        <f>B69</f>
        <v>B69</v>
      </c>
      <c r="G14" s="3"/>
      <c r="H14" s="3"/>
      <c r="I14" s="3"/>
      <c r="J14" s="4590" t="str">
        <f>HYPERLINK("#"&amp;ADDRESS(ROW(J79),COLUMN(J79),4))</f>
        <v>#J79</v>
      </c>
      <c r="K14" s="661" t="s">
        <v>691</v>
      </c>
      <c r="L14" s="3"/>
      <c r="M14" s="3"/>
      <c r="N14" s="3"/>
      <c r="O14" s="3"/>
      <c r="P14" s="3"/>
      <c r="Q14" s="3"/>
    </row>
    <row r="15" spans="1:18" s="1" customFormat="1" ht="15">
      <c r="A15" s="2"/>
      <c r="B15" s="2"/>
      <c r="C15" s="3"/>
      <c r="D15" s="3"/>
      <c r="E15" s="3"/>
      <c r="F15" s="3"/>
      <c r="G15" s="3"/>
      <c r="H15" s="3"/>
      <c r="I15" s="3"/>
      <c r="J15" s="4588" t="str">
        <f ca="1">_xlfn.FORMULATEXT(J14)</f>
        <v>=LIEN_HYPERTEXTE("#"&amp;ADRESSE(LIGNE(J79);COLONNE(J79);4))</v>
      </c>
      <c r="K15" s="2"/>
      <c r="L15" s="3"/>
      <c r="M15" s="3"/>
      <c r="N15" s="3"/>
      <c r="O15" s="3"/>
      <c r="P15" s="3"/>
      <c r="Q15" s="3"/>
    </row>
    <row r="16" spans="1:18" s="1" customFormat="1" ht="21">
      <c r="A16" s="2"/>
      <c r="B16" s="1174" t="s">
        <v>520</v>
      </c>
      <c r="C16" s="3"/>
      <c r="D16" s="3"/>
      <c r="E16" s="3"/>
      <c r="G16" s="3"/>
      <c r="H16" s="3"/>
      <c r="I16" s="3"/>
      <c r="J16" s="2"/>
      <c r="K16" s="2"/>
      <c r="L16" s="3"/>
      <c r="M16" s="3"/>
      <c r="N16" s="3"/>
      <c r="O16" s="3"/>
      <c r="P16" s="3"/>
      <c r="Q16" s="3"/>
    </row>
    <row r="17" spans="1:17" s="1" customFormat="1" ht="21">
      <c r="A17" s="2"/>
      <c r="B17" s="2"/>
      <c r="C17" s="661" t="s">
        <v>7810</v>
      </c>
      <c r="D17" s="3"/>
      <c r="E17" s="3"/>
      <c r="F17" s="4607" t="str">
        <f>B81</f>
        <v>B81</v>
      </c>
      <c r="G17" s="3"/>
      <c r="H17" s="3"/>
      <c r="I17" s="3"/>
      <c r="J17" s="2"/>
      <c r="K17" s="2"/>
      <c r="L17" s="3"/>
      <c r="M17" s="3"/>
      <c r="N17" s="3"/>
      <c r="O17" s="3"/>
      <c r="P17" s="3"/>
      <c r="Q17" s="3"/>
    </row>
    <row r="18" spans="1:17" s="1" customFormat="1" ht="15">
      <c r="A18" s="2"/>
      <c r="B18" s="2"/>
      <c r="C18" s="2"/>
      <c r="D18" s="3"/>
      <c r="E18" s="3"/>
      <c r="G18" s="3"/>
      <c r="H18" s="3"/>
      <c r="I18" s="3"/>
      <c r="J18" s="3"/>
      <c r="K18" s="3"/>
      <c r="L18" s="3"/>
      <c r="M18" s="3"/>
      <c r="N18" s="3"/>
      <c r="O18" s="3"/>
      <c r="P18" s="3"/>
      <c r="Q18" s="3"/>
    </row>
    <row r="19" spans="1:17" s="1" customFormat="1" ht="21">
      <c r="A19" s="2"/>
      <c r="B19" s="1174" t="s">
        <v>502</v>
      </c>
      <c r="C19" s="3"/>
      <c r="D19" s="3"/>
      <c r="E19" s="3"/>
      <c r="G19" s="3"/>
      <c r="H19" s="3"/>
      <c r="I19" s="3"/>
      <c r="J19" s="3"/>
      <c r="K19" s="3"/>
      <c r="L19" s="3"/>
      <c r="M19" s="3"/>
      <c r="N19" s="3"/>
      <c r="O19" s="3"/>
      <c r="P19" s="3"/>
      <c r="Q19" s="3"/>
    </row>
    <row r="20" spans="1:17" s="1" customFormat="1" ht="21">
      <c r="A20" s="2"/>
      <c r="B20" s="2"/>
      <c r="C20" s="661" t="s">
        <v>7810</v>
      </c>
      <c r="D20" s="3"/>
      <c r="E20" s="3"/>
      <c r="F20" s="4607" t="str">
        <f>B108</f>
        <v>B108</v>
      </c>
      <c r="G20" s="3"/>
      <c r="H20" s="3"/>
      <c r="I20" s="3"/>
      <c r="J20" s="3"/>
      <c r="K20" s="3"/>
      <c r="L20" s="3"/>
      <c r="M20" s="3"/>
      <c r="N20" s="3"/>
      <c r="O20" s="3"/>
      <c r="P20" s="3"/>
      <c r="Q20" s="3"/>
    </row>
    <row r="21" spans="1:17" s="1" customFormat="1" ht="15">
      <c r="A21" s="2"/>
      <c r="B21" s="2"/>
      <c r="C21" s="2"/>
      <c r="D21" s="3"/>
      <c r="E21" s="3"/>
      <c r="G21" s="3"/>
      <c r="H21" s="3"/>
      <c r="I21" s="3"/>
      <c r="J21" s="3"/>
      <c r="K21" s="3"/>
      <c r="L21" s="3"/>
      <c r="M21" s="3"/>
      <c r="N21" s="3"/>
      <c r="O21" s="3"/>
      <c r="P21" s="3"/>
      <c r="Q21" s="3"/>
    </row>
    <row r="22" spans="1:17" s="1" customFormat="1" ht="21">
      <c r="A22" s="2"/>
      <c r="B22" s="1174" t="s">
        <v>490</v>
      </c>
      <c r="C22" s="3"/>
      <c r="D22" s="3"/>
      <c r="E22" s="3"/>
      <c r="G22" s="3"/>
      <c r="H22" s="3"/>
      <c r="I22" s="3"/>
      <c r="J22" s="3"/>
      <c r="K22" s="3"/>
      <c r="L22" s="3"/>
      <c r="M22" s="3"/>
      <c r="N22" s="3"/>
      <c r="O22" s="3"/>
      <c r="P22" s="3"/>
      <c r="Q22" s="3"/>
    </row>
    <row r="23" spans="1:17" s="1" customFormat="1" ht="21">
      <c r="A23" s="2"/>
      <c r="B23" s="2"/>
      <c r="C23" s="661" t="s">
        <v>7810</v>
      </c>
      <c r="D23" s="3"/>
      <c r="E23" s="3"/>
      <c r="F23" s="4607" t="str">
        <f>B131</f>
        <v>B131</v>
      </c>
      <c r="G23" s="3"/>
      <c r="H23" s="3"/>
      <c r="I23" s="3"/>
      <c r="J23" s="3"/>
      <c r="K23" s="3"/>
      <c r="L23" s="3"/>
      <c r="M23" s="3"/>
      <c r="N23" s="3"/>
      <c r="O23" s="3"/>
      <c r="P23" s="3"/>
      <c r="Q23" s="3"/>
    </row>
    <row r="24" spans="1:17" s="1" customFormat="1" ht="15">
      <c r="A24" s="2"/>
      <c r="B24" s="3"/>
      <c r="C24" s="3"/>
      <c r="D24" s="3"/>
      <c r="E24" s="3"/>
      <c r="F24" s="3"/>
      <c r="G24" s="3"/>
      <c r="H24" s="3"/>
      <c r="I24" s="3"/>
      <c r="J24" s="3"/>
      <c r="K24" s="3"/>
      <c r="L24" s="3"/>
      <c r="M24" s="3"/>
      <c r="N24" s="3"/>
      <c r="O24" s="3"/>
      <c r="P24" s="3"/>
      <c r="Q24" s="3"/>
    </row>
    <row r="25" spans="1:17" s="1" customFormat="1" ht="27" customHeight="1">
      <c r="A25" s="1173" t="s">
        <v>70</v>
      </c>
      <c r="B25" s="5299" t="s">
        <v>975</v>
      </c>
      <c r="C25" s="5299"/>
      <c r="D25" s="5299"/>
      <c r="E25" s="5299"/>
      <c r="F25" s="5299"/>
      <c r="G25" s="5299"/>
      <c r="H25" s="5299"/>
      <c r="I25" s="5299"/>
      <c r="J25" s="5299"/>
      <c r="K25" s="5299"/>
      <c r="L25" s="5299"/>
      <c r="M25" s="5299"/>
      <c r="N25" s="5299"/>
      <c r="O25" s="5299"/>
      <c r="P25" s="5299"/>
      <c r="Q25" s="5299"/>
    </row>
    <row r="26" spans="1:17" s="1" customFormat="1" ht="27" customHeight="1">
      <c r="A26" s="1191"/>
      <c r="B26" s="5299"/>
      <c r="C26" s="5299"/>
      <c r="D26" s="5299"/>
      <c r="E26" s="5299"/>
      <c r="F26" s="5299"/>
      <c r="G26" s="5299"/>
      <c r="H26" s="5299"/>
      <c r="I26" s="5299"/>
      <c r="J26" s="5299"/>
      <c r="K26" s="5299"/>
      <c r="L26" s="5299"/>
      <c r="M26" s="5299"/>
      <c r="N26" s="5299"/>
      <c r="O26" s="5299"/>
      <c r="P26" s="5299"/>
      <c r="Q26" s="5299"/>
    </row>
    <row r="27" spans="1:17" s="1" customFormat="1" thickBot="1">
      <c r="A27" s="2"/>
      <c r="B27" s="3"/>
      <c r="C27" s="3"/>
      <c r="D27" s="3"/>
      <c r="E27" s="3"/>
      <c r="F27" s="3"/>
      <c r="G27" s="3"/>
      <c r="H27" s="3"/>
      <c r="I27" s="3"/>
      <c r="J27" s="3"/>
      <c r="K27" s="3"/>
      <c r="L27" s="3"/>
      <c r="M27" s="3"/>
      <c r="N27" s="3"/>
      <c r="O27" s="3"/>
      <c r="P27" s="3"/>
      <c r="Q27" s="3"/>
    </row>
    <row r="28" spans="1:17" s="1" customFormat="1" ht="20.100000000000001" customHeight="1">
      <c r="A28" s="307" t="s">
        <v>70</v>
      </c>
      <c r="B28" s="5481" t="s">
        <v>545</v>
      </c>
      <c r="C28" s="5482"/>
      <c r="D28" s="5482"/>
      <c r="E28" s="5482"/>
      <c r="F28" s="5482"/>
      <c r="G28" s="5483"/>
      <c r="H28" s="2"/>
      <c r="I28" s="307" t="s">
        <v>70</v>
      </c>
      <c r="J28" s="5474" t="s">
        <v>688</v>
      </c>
      <c r="K28" s="5475"/>
      <c r="L28" s="5475"/>
      <c r="M28" s="5475"/>
      <c r="N28" s="5475"/>
      <c r="O28" s="5476"/>
      <c r="P28" s="2"/>
      <c r="Q28" s="2"/>
    </row>
    <row r="29" spans="1:17" s="1" customFormat="1" ht="20.100000000000001" customHeight="1">
      <c r="A29" s="4717" t="str">
        <f>B28</f>
        <v>Différentes formules pour calculer l'Aire ou surface du cercle</v>
      </c>
      <c r="B29" s="5484"/>
      <c r="C29" s="5485"/>
      <c r="D29" s="5485"/>
      <c r="E29" s="5485"/>
      <c r="F29" s="5485"/>
      <c r="G29" s="5486"/>
      <c r="H29" s="2"/>
      <c r="I29" s="4717" t="str">
        <f>J28</f>
        <v>Différentes formules pour calculer le volume d'un entremet en cercle</v>
      </c>
      <c r="J29" s="5477"/>
      <c r="K29" s="5478"/>
      <c r="L29" s="5478"/>
      <c r="M29" s="5478"/>
      <c r="N29" s="5478"/>
      <c r="O29" s="5479"/>
      <c r="P29" s="2"/>
      <c r="Q29" s="2"/>
    </row>
    <row r="30" spans="1:17" s="1" customFormat="1" ht="20.100000000000001" customHeight="1">
      <c r="A30" s="4717"/>
      <c r="B30" s="529" t="str">
        <f>ADDRESS(ROW(),COLUMN(),4)</f>
        <v>B30</v>
      </c>
      <c r="C30" s="530" t="s">
        <v>691</v>
      </c>
      <c r="D30" s="531"/>
      <c r="E30" s="531"/>
      <c r="F30" s="531"/>
      <c r="G30" s="532"/>
      <c r="H30" s="2"/>
      <c r="I30" s="4717"/>
      <c r="J30" s="529" t="str">
        <f>ADDRESS(ROW(),COLUMN(),4)</f>
        <v>J30</v>
      </c>
      <c r="K30" s="530" t="s">
        <v>691</v>
      </c>
      <c r="L30" s="527"/>
      <c r="M30" s="527"/>
      <c r="N30" s="527"/>
      <c r="O30" s="528"/>
      <c r="P30" s="2"/>
      <c r="Q30" s="2"/>
    </row>
    <row r="31" spans="1:17" s="1" customFormat="1" ht="20.100000000000001" customHeight="1">
      <c r="A31" s="4717"/>
      <c r="B31" s="461" t="s">
        <v>55</v>
      </c>
      <c r="C31" s="496" t="s">
        <v>538</v>
      </c>
      <c r="D31" s="386"/>
      <c r="E31" s="386"/>
      <c r="F31" s="386"/>
      <c r="G31" s="385"/>
      <c r="H31" s="2"/>
      <c r="I31" s="4717"/>
      <c r="J31" s="492"/>
      <c r="K31" s="513"/>
      <c r="L31" s="513" t="s">
        <v>55</v>
      </c>
      <c r="M31" s="493" t="s">
        <v>529</v>
      </c>
      <c r="N31" s="494"/>
      <c r="O31" s="495"/>
      <c r="P31" s="2"/>
      <c r="Q31" s="2"/>
    </row>
    <row r="32" spans="1:17" s="1" customFormat="1" ht="20.100000000000001" customHeight="1">
      <c r="A32" s="4717"/>
      <c r="B32" s="497" t="s">
        <v>501</v>
      </c>
      <c r="C32" s="498" t="s">
        <v>509</v>
      </c>
      <c r="D32" s="2"/>
      <c r="E32" s="2"/>
      <c r="F32" s="499" t="s">
        <v>522</v>
      </c>
      <c r="G32" s="131"/>
      <c r="H32" s="2"/>
      <c r="I32" s="4717"/>
      <c r="J32" s="497" t="s">
        <v>501</v>
      </c>
      <c r="K32" s="498" t="s">
        <v>500</v>
      </c>
      <c r="L32" s="498" t="s">
        <v>499</v>
      </c>
      <c r="M32" s="498" t="s">
        <v>509</v>
      </c>
      <c r="N32" s="514" t="s">
        <v>409</v>
      </c>
      <c r="O32" s="517"/>
      <c r="P32" s="2"/>
      <c r="Q32" s="2"/>
    </row>
    <row r="33" spans="1:17" s="1" customFormat="1" ht="20.100000000000001" customHeight="1">
      <c r="A33" s="4717"/>
      <c r="B33" s="500" t="str">
        <f>ADDRESS(ROW(B34),COLUMN(B34),4)</f>
        <v>B34</v>
      </c>
      <c r="C33" s="328" t="str">
        <f>ADDRESS(ROW(C34),COLUMN(C34),4)</f>
        <v>C34</v>
      </c>
      <c r="D33" s="2"/>
      <c r="E33" s="600" t="s">
        <v>706</v>
      </c>
      <c r="F33" s="328" t="str">
        <f>ADDRESS(ROW(F34),COLUMN(F34),4)</f>
        <v>F34</v>
      </c>
      <c r="G33" s="131"/>
      <c r="H33" s="2"/>
      <c r="I33" s="4717"/>
      <c r="J33" s="500" t="str">
        <f>ADDRESS(ROW(J34),COLUMN(J34),4)</f>
        <v>J34</v>
      </c>
      <c r="K33" s="328" t="str">
        <f>ADDRESS(ROW(K34),COLUMN(K34),4)</f>
        <v>K34</v>
      </c>
      <c r="L33" s="328" t="str">
        <f>ADDRESS(ROW(L34),COLUMN(L34),4)</f>
        <v>L34</v>
      </c>
      <c r="M33" s="328" t="str">
        <f>ADDRESS(ROW(M34),COLUMN(M34),4)</f>
        <v>M34</v>
      </c>
      <c r="N33" s="328" t="str">
        <f>ADDRESS(ROW(N34),COLUMN(N34),4)</f>
        <v>N34</v>
      </c>
      <c r="O33" s="517"/>
      <c r="P33" s="2"/>
      <c r="Q33" s="2"/>
    </row>
    <row r="34" spans="1:17" s="1" customFormat="1" ht="20.100000000000001" customHeight="1">
      <c r="A34" s="4717"/>
      <c r="B34" s="5467">
        <v>1</v>
      </c>
      <c r="C34" s="5468">
        <v>11</v>
      </c>
      <c r="D34" s="501"/>
      <c r="E34" s="501"/>
      <c r="F34" s="491">
        <f>(PI()*(C34*C34))*B34</f>
        <v>380.13271108436498</v>
      </c>
      <c r="G34" s="131"/>
      <c r="H34" s="2"/>
      <c r="I34" s="4717"/>
      <c r="J34" s="5467">
        <v>1</v>
      </c>
      <c r="K34" s="5468">
        <v>22</v>
      </c>
      <c r="L34" s="5468">
        <v>10</v>
      </c>
      <c r="M34" s="5409">
        <f>K34/2</f>
        <v>11</v>
      </c>
      <c r="N34" s="5469">
        <f>(PI()*(M34^2)*L34)*J34</f>
        <v>3801.3271108436497</v>
      </c>
      <c r="O34" s="5470"/>
      <c r="P34" s="2"/>
      <c r="Q34" s="2"/>
    </row>
    <row r="35" spans="1:17" s="1" customFormat="1" ht="20.100000000000001" customHeight="1">
      <c r="A35" s="4717"/>
      <c r="B35" s="5467"/>
      <c r="C35" s="5468"/>
      <c r="D35" s="502"/>
      <c r="E35" s="502" t="s">
        <v>685</v>
      </c>
      <c r="F35" s="515" t="str">
        <f ca="1">_xlfn.FORMULATEXT(F34)</f>
        <v>=(PI()*(C34*C34))*B34</v>
      </c>
      <c r="G35" s="131"/>
      <c r="H35" s="2"/>
      <c r="I35" s="4717"/>
      <c r="J35" s="5467"/>
      <c r="K35" s="5468"/>
      <c r="L35" s="5468"/>
      <c r="M35" s="5409"/>
      <c r="N35" s="5465">
        <f>N34/1000</f>
        <v>3.8013271108436499</v>
      </c>
      <c r="O35" s="5466"/>
      <c r="P35" s="2"/>
      <c r="Q35" s="2"/>
    </row>
    <row r="36" spans="1:17" s="1" customFormat="1" ht="20.100000000000001" customHeight="1">
      <c r="A36" s="4717"/>
      <c r="B36" s="505"/>
      <c r="C36" s="506"/>
      <c r="D36" s="507"/>
      <c r="E36" s="507"/>
      <c r="F36" s="507"/>
      <c r="G36" s="508"/>
      <c r="H36" s="2"/>
      <c r="I36" s="4717"/>
      <c r="J36" s="518"/>
      <c r="K36" s="519"/>
      <c r="L36" s="519"/>
      <c r="M36" s="524" t="str">
        <f ca="1">_xlfn.FORMULATEXT(M34)</f>
        <v>=K34/2</v>
      </c>
      <c r="N36" s="525" t="str">
        <f ca="1">_xlfn.FORMULATEXT(N34)</f>
        <v>=(PI()*(M34^2)*L34)*J34</v>
      </c>
      <c r="O36" s="508"/>
      <c r="P36" s="2"/>
      <c r="Q36" s="2"/>
    </row>
    <row r="37" spans="1:17" s="1" customFormat="1" ht="20.100000000000001" customHeight="1">
      <c r="A37" s="4717"/>
      <c r="B37" s="492"/>
      <c r="C37" s="513"/>
      <c r="D37" s="513" t="s">
        <v>44</v>
      </c>
      <c r="E37" s="493" t="s">
        <v>540</v>
      </c>
      <c r="F37" s="494"/>
      <c r="G37" s="495"/>
      <c r="H37" s="2"/>
      <c r="I37" s="4717"/>
      <c r="J37" s="461" t="s">
        <v>44</v>
      </c>
      <c r="K37" s="496" t="s">
        <v>528</v>
      </c>
      <c r="L37" s="386"/>
      <c r="M37" s="386"/>
      <c r="N37" s="386"/>
      <c r="O37" s="385"/>
      <c r="P37" s="2"/>
      <c r="Q37" s="2"/>
    </row>
    <row r="38" spans="1:17" s="1" customFormat="1" ht="20.100000000000001" customHeight="1">
      <c r="A38" s="4717"/>
      <c r="B38" s="497" t="s">
        <v>501</v>
      </c>
      <c r="C38" s="498" t="s">
        <v>500</v>
      </c>
      <c r="D38" s="2"/>
      <c r="E38" s="498" t="s">
        <v>509</v>
      </c>
      <c r="F38" s="499" t="s">
        <v>522</v>
      </c>
      <c r="G38" s="131"/>
      <c r="H38" s="2"/>
      <c r="I38" s="4717"/>
      <c r="J38" s="497" t="s">
        <v>501</v>
      </c>
      <c r="K38" s="498" t="s">
        <v>509</v>
      </c>
      <c r="L38" s="498" t="s">
        <v>499</v>
      </c>
      <c r="M38" s="2"/>
      <c r="N38" s="514" t="s">
        <v>409</v>
      </c>
      <c r="O38" s="131"/>
      <c r="P38" s="2"/>
      <c r="Q38" s="2"/>
    </row>
    <row r="39" spans="1:17" s="1" customFormat="1" ht="20.100000000000001" customHeight="1">
      <c r="A39" s="4717"/>
      <c r="B39" s="500" t="str">
        <f>ADDRESS(ROW(B40),COLUMN(B40),4)</f>
        <v>B40</v>
      </c>
      <c r="C39" s="328" t="str">
        <f>ADDRESS(ROW(C40),COLUMN(C40),4)</f>
        <v>C40</v>
      </c>
      <c r="D39" s="2"/>
      <c r="E39" s="328" t="str">
        <f>ADDRESS(ROW(E40),COLUMN(E40),4)</f>
        <v>E40</v>
      </c>
      <c r="F39" s="328" t="str">
        <f>ADDRESS(ROW(F40),COLUMN(F40),4)</f>
        <v>F40</v>
      </c>
      <c r="G39" s="131"/>
      <c r="H39" s="2"/>
      <c r="I39" s="4717"/>
      <c r="J39" s="500" t="str">
        <f>ADDRESS(ROW(J40),COLUMN(J40),4)</f>
        <v>J40</v>
      </c>
      <c r="K39" s="328" t="str">
        <f>ADDRESS(ROW(K40),COLUMN(K40),4)</f>
        <v>K40</v>
      </c>
      <c r="L39" s="328" t="str">
        <f>ADDRESS(ROW(L40),COLUMN(L40),4)</f>
        <v>L40</v>
      </c>
      <c r="M39" s="2"/>
      <c r="N39" s="328" t="str">
        <f>ADDRESS(ROW(N40),COLUMN(N40),4)</f>
        <v>N40</v>
      </c>
      <c r="O39" s="131"/>
      <c r="P39" s="2"/>
      <c r="Q39" s="2"/>
    </row>
    <row r="40" spans="1:17" s="1" customFormat="1" ht="20.100000000000001" customHeight="1">
      <c r="A40" s="4717"/>
      <c r="B40" s="5467">
        <v>2</v>
      </c>
      <c r="C40" s="5468">
        <v>22</v>
      </c>
      <c r="D40" s="501"/>
      <c r="E40" s="1538">
        <f>C40/2</f>
        <v>11</v>
      </c>
      <c r="F40" s="491">
        <f>(PI()*(E40^2))*B40</f>
        <v>760.26542216872997</v>
      </c>
      <c r="G40" s="131"/>
      <c r="H40" s="2"/>
      <c r="I40" s="4717"/>
      <c r="J40" s="5467">
        <v>1</v>
      </c>
      <c r="K40" s="5468">
        <v>11</v>
      </c>
      <c r="L40" s="5468">
        <v>10</v>
      </c>
      <c r="M40" s="501"/>
      <c r="N40" s="5469">
        <f>((PI()*(K40*K40))*L40)*J40</f>
        <v>3801.3271108436497</v>
      </c>
      <c r="O40" s="5470"/>
      <c r="P40" s="2"/>
      <c r="Q40" s="2"/>
    </row>
    <row r="41" spans="1:17" s="1" customFormat="1" ht="20.100000000000001" customHeight="1">
      <c r="A41" s="4717"/>
      <c r="B41" s="5467"/>
      <c r="C41" s="5468"/>
      <c r="D41" s="502" t="s">
        <v>684</v>
      </c>
      <c r="E41" s="503" t="str">
        <f ca="1">_xlfn.FORMULATEXT(E40)</f>
        <v>=C40/2</v>
      </c>
      <c r="F41" s="504" t="str">
        <f ca="1">_xlfn.FORMULATEXT(F40)</f>
        <v>=(PI()*(E40^2))*B40</v>
      </c>
      <c r="G41" s="131"/>
      <c r="H41" s="2"/>
      <c r="I41" s="4717"/>
      <c r="J41" s="5467"/>
      <c r="K41" s="5468"/>
      <c r="L41" s="5468"/>
      <c r="M41" s="502"/>
      <c r="N41" s="5465">
        <f>N40/1000</f>
        <v>3.8013271108436499</v>
      </c>
      <c r="O41" s="5466"/>
      <c r="P41" s="2"/>
      <c r="Q41" s="2"/>
    </row>
    <row r="42" spans="1:17" s="1" customFormat="1" ht="20.100000000000001" customHeight="1">
      <c r="A42" s="4717"/>
      <c r="B42" s="505"/>
      <c r="C42" s="506"/>
      <c r="D42" s="507"/>
      <c r="E42" s="507"/>
      <c r="F42" s="507"/>
      <c r="G42" s="508"/>
      <c r="H42" s="2"/>
      <c r="I42" s="4717"/>
      <c r="J42" s="505"/>
      <c r="K42" s="506"/>
      <c r="L42" s="507"/>
      <c r="M42" s="507"/>
      <c r="N42" s="524" t="str">
        <f ca="1">_xlfn.FORMULATEXT(N40)</f>
        <v>=((PI()*(K40*K40))*L40)*J40</v>
      </c>
      <c r="O42" s="508"/>
      <c r="P42" s="2"/>
      <c r="Q42" s="2"/>
    </row>
    <row r="43" spans="1:17" s="1" customFormat="1" ht="20.100000000000001" customHeight="1">
      <c r="A43" s="4717"/>
      <c r="B43" s="509" t="s">
        <v>46</v>
      </c>
      <c r="C43" s="493" t="s">
        <v>535</v>
      </c>
      <c r="D43" s="494"/>
      <c r="E43" s="494"/>
      <c r="F43" s="494"/>
      <c r="G43" s="495"/>
      <c r="H43" s="2"/>
      <c r="I43" s="4717"/>
      <c r="J43" s="460" t="s">
        <v>46</v>
      </c>
      <c r="K43" s="496" t="s">
        <v>527</v>
      </c>
      <c r="L43" s="386"/>
      <c r="M43" s="386"/>
      <c r="N43" s="386"/>
      <c r="O43" s="385"/>
      <c r="P43" s="2"/>
      <c r="Q43" s="2"/>
    </row>
    <row r="44" spans="1:17" s="1" customFormat="1" ht="20.100000000000001" customHeight="1">
      <c r="A44" s="4717"/>
      <c r="B44" s="497" t="s">
        <v>501</v>
      </c>
      <c r="C44" s="498" t="s">
        <v>500</v>
      </c>
      <c r="D44" s="2"/>
      <c r="E44" s="498"/>
      <c r="F44" s="499" t="s">
        <v>522</v>
      </c>
      <c r="G44" s="131"/>
      <c r="H44" s="2"/>
      <c r="I44" s="4717"/>
      <c r="J44" s="497" t="s">
        <v>501</v>
      </c>
      <c r="K44" s="498" t="s">
        <v>500</v>
      </c>
      <c r="L44" s="498" t="s">
        <v>499</v>
      </c>
      <c r="M44" s="498"/>
      <c r="N44" s="514" t="s">
        <v>409</v>
      </c>
      <c r="O44" s="131"/>
      <c r="P44" s="2"/>
      <c r="Q44" s="2"/>
    </row>
    <row r="45" spans="1:17" s="1" customFormat="1" ht="20.100000000000001" customHeight="1">
      <c r="A45" s="4717"/>
      <c r="B45" s="500" t="str">
        <f>ADDRESS(ROW(B46),COLUMN(B46),4)</f>
        <v>B46</v>
      </c>
      <c r="C45" s="328" t="str">
        <f>ADDRESS(ROW(C46),COLUMN(C46),4)</f>
        <v>C46</v>
      </c>
      <c r="D45" s="2"/>
      <c r="E45" s="600" t="s">
        <v>706</v>
      </c>
      <c r="F45" s="328" t="str">
        <f>ADDRESS(ROW(F46),COLUMN(F46),4)</f>
        <v>F46</v>
      </c>
      <c r="G45" s="131"/>
      <c r="H45" s="2"/>
      <c r="I45" s="4717"/>
      <c r="J45" s="500" t="str">
        <f>ADDRESS(ROW(J46),COLUMN(J46),4)</f>
        <v>J46</v>
      </c>
      <c r="K45" s="328" t="str">
        <f>ADDRESS(ROW(K46),COLUMN(K46),4)</f>
        <v>K46</v>
      </c>
      <c r="L45" s="328" t="str">
        <f>ADDRESS(ROW(L46),COLUMN(L46),4)</f>
        <v>L46</v>
      </c>
      <c r="M45" s="498"/>
      <c r="N45" s="328" t="str">
        <f>ADDRESS(ROW(N46),COLUMN(N46),4)</f>
        <v>N46</v>
      </c>
      <c r="O45" s="131"/>
      <c r="P45" s="2"/>
      <c r="Q45" s="2"/>
    </row>
    <row r="46" spans="1:17" s="1" customFormat="1" ht="20.100000000000001" customHeight="1">
      <c r="A46" s="4717"/>
      <c r="B46" s="5467">
        <v>1</v>
      </c>
      <c r="C46" s="5468">
        <v>22</v>
      </c>
      <c r="D46" s="501"/>
      <c r="E46" s="498"/>
      <c r="F46" s="491">
        <f>(PI()*(C46/2)*(C46/2))*B46</f>
        <v>380.13271108436493</v>
      </c>
      <c r="G46" s="131"/>
      <c r="H46" s="2"/>
      <c r="I46" s="4717"/>
      <c r="J46" s="5467">
        <v>1</v>
      </c>
      <c r="K46" s="5468">
        <v>22</v>
      </c>
      <c r="L46" s="5468">
        <v>10</v>
      </c>
      <c r="M46" s="498"/>
      <c r="N46" s="5469">
        <f>((PI()*(K46/2)*(K46/2))*L46)*J46</f>
        <v>3801.3271108436493</v>
      </c>
      <c r="O46" s="5470"/>
      <c r="P46" s="2"/>
      <c r="Q46" s="2"/>
    </row>
    <row r="47" spans="1:17" s="1" customFormat="1" ht="20.100000000000001" customHeight="1">
      <c r="A47" s="4717"/>
      <c r="B47" s="5467"/>
      <c r="C47" s="5468"/>
      <c r="D47" s="502" t="s">
        <v>685</v>
      </c>
      <c r="E47" s="502"/>
      <c r="F47" s="516" t="str">
        <f ca="1">_xlfn.FORMULATEXT(F46)</f>
        <v>=(PI()*(C46/2)*(C46/2))*B46</v>
      </c>
      <c r="G47" s="131"/>
      <c r="H47" s="2"/>
      <c r="I47" s="4717"/>
      <c r="J47" s="5467"/>
      <c r="K47" s="5468"/>
      <c r="L47" s="5468"/>
      <c r="M47" s="502"/>
      <c r="N47" s="5465">
        <f>N46/1000</f>
        <v>3.8013271108436495</v>
      </c>
      <c r="O47" s="5466"/>
      <c r="P47" s="2"/>
      <c r="Q47" s="2"/>
    </row>
    <row r="48" spans="1:17" s="1" customFormat="1" ht="20.100000000000001" customHeight="1" thickBot="1">
      <c r="A48" s="4717"/>
      <c r="B48" s="510"/>
      <c r="C48" s="511"/>
      <c r="D48" s="511"/>
      <c r="E48" s="511"/>
      <c r="F48" s="511"/>
      <c r="G48" s="512"/>
      <c r="H48" s="2"/>
      <c r="I48" s="4717"/>
      <c r="J48" s="522"/>
      <c r="K48"/>
      <c r="L48"/>
      <c r="M48"/>
      <c r="N48" s="516" t="str">
        <f ca="1">_xlfn.FORMULATEXT(N46)</f>
        <v>=((PI()*(K46/2)*(K46/2))*L46)*J46</v>
      </c>
      <c r="O48" s="521"/>
      <c r="P48" s="2"/>
      <c r="Q48" s="2"/>
    </row>
    <row r="49" spans="1:17" s="1" customFormat="1" ht="20.100000000000001" customHeight="1">
      <c r="A49" s="4717"/>
      <c r="B49" s="5447" t="s">
        <v>503</v>
      </c>
      <c r="C49" s="5448"/>
      <c r="D49" s="5448"/>
      <c r="E49" s="5448"/>
      <c r="F49" s="5448"/>
      <c r="G49" s="5449"/>
      <c r="H49" s="2"/>
      <c r="I49" s="4717"/>
      <c r="J49" s="5447" t="s">
        <v>503</v>
      </c>
      <c r="K49" s="5448"/>
      <c r="L49" s="5448"/>
      <c r="M49" s="5448"/>
      <c r="N49" s="5448"/>
      <c r="O49" s="5449"/>
      <c r="P49" s="2"/>
      <c r="Q49" s="2"/>
    </row>
    <row r="50" spans="1:17" s="1" customFormat="1" ht="20.100000000000001" customHeight="1">
      <c r="A50" s="4717"/>
      <c r="B50" s="5450" t="s">
        <v>686</v>
      </c>
      <c r="C50" s="5451"/>
      <c r="D50" s="5451"/>
      <c r="E50" s="5451"/>
      <c r="F50" s="5451"/>
      <c r="G50" s="5452"/>
      <c r="H50" s="2"/>
      <c r="I50" s="4717"/>
      <c r="J50" s="5450" t="s">
        <v>686</v>
      </c>
      <c r="K50" s="5451"/>
      <c r="L50" s="5451"/>
      <c r="M50" s="5451"/>
      <c r="N50" s="5451"/>
      <c r="O50" s="5452"/>
      <c r="P50" s="2"/>
      <c r="Q50" s="2"/>
    </row>
    <row r="51" spans="1:17" s="1" customFormat="1" ht="20.100000000000001" customHeight="1">
      <c r="A51" s="4717"/>
      <c r="B51" s="456" t="s">
        <v>689</v>
      </c>
      <c r="C51" s="443"/>
      <c r="D51" s="455"/>
      <c r="E51" s="443"/>
      <c r="F51" s="523"/>
      <c r="G51" s="453"/>
      <c r="H51" s="2"/>
      <c r="I51" s="4717"/>
      <c r="J51" s="456" t="s">
        <v>689</v>
      </c>
      <c r="K51" s="443"/>
      <c r="L51" s="455"/>
      <c r="M51" s="443"/>
      <c r="N51" s="523"/>
      <c r="O51" s="453"/>
      <c r="P51" s="2"/>
      <c r="Q51" s="2"/>
    </row>
    <row r="52" spans="1:17" s="1" customFormat="1" ht="20.100000000000001" customHeight="1">
      <c r="A52" s="4717"/>
      <c r="B52" s="5336" t="s">
        <v>34</v>
      </c>
      <c r="C52" s="5337"/>
      <c r="D52" s="5337"/>
      <c r="E52" s="5337"/>
      <c r="F52" s="5337"/>
      <c r="G52" s="5338"/>
      <c r="H52" s="2"/>
      <c r="I52" s="4717"/>
      <c r="J52" s="5336" t="s">
        <v>34</v>
      </c>
      <c r="K52" s="5337"/>
      <c r="L52" s="5337"/>
      <c r="M52" s="5337"/>
      <c r="N52" s="5337"/>
      <c r="O52" s="5338"/>
      <c r="P52" s="2"/>
      <c r="Q52" s="2"/>
    </row>
    <row r="53" spans="1:17" s="1" customFormat="1" ht="20.100000000000001" customHeight="1" thickBot="1">
      <c r="A53" s="4717"/>
      <c r="B53" s="4805"/>
      <c r="C53" s="4806"/>
      <c r="D53" s="4806"/>
      <c r="E53" s="4806"/>
      <c r="F53" s="4806"/>
      <c r="G53" s="4807"/>
      <c r="H53" s="2"/>
      <c r="I53" s="4717"/>
      <c r="J53" s="4805"/>
      <c r="K53" s="4806"/>
      <c r="L53" s="4806"/>
      <c r="M53" s="4806"/>
      <c r="N53" s="4806"/>
      <c r="O53" s="4807"/>
      <c r="P53" s="2"/>
      <c r="Q53" s="2"/>
    </row>
    <row r="54" spans="1:17" s="1" customFormat="1" ht="20.100000000000001" customHeight="1" thickBot="1">
      <c r="B54" s="1537"/>
      <c r="C54" s="1537"/>
      <c r="D54" s="1537"/>
      <c r="E54" s="1537"/>
      <c r="F54" s="1537"/>
      <c r="G54" s="1537"/>
      <c r="H54" s="2"/>
      <c r="P54" s="2"/>
      <c r="Q54" s="2"/>
    </row>
    <row r="55" spans="1:17" s="1" customFormat="1" ht="20.100000000000001" customHeight="1">
      <c r="A55" s="307" t="s">
        <v>70</v>
      </c>
      <c r="B55" s="5474" t="s">
        <v>690</v>
      </c>
      <c r="C55" s="5475"/>
      <c r="D55" s="5475"/>
      <c r="E55" s="5475"/>
      <c r="F55" s="5475"/>
      <c r="G55" s="5476"/>
      <c r="H55" s="2"/>
      <c r="I55" s="307" t="s">
        <v>70</v>
      </c>
      <c r="J55" s="5444" t="s">
        <v>508</v>
      </c>
      <c r="K55" s="5445"/>
      <c r="L55" s="5445"/>
      <c r="M55" s="5445"/>
      <c r="N55" s="5445"/>
      <c r="O55" s="5446"/>
      <c r="P55" s="2"/>
      <c r="Q55" s="2"/>
    </row>
    <row r="56" spans="1:17" s="1" customFormat="1" ht="20.100000000000001" customHeight="1">
      <c r="A56" s="5461" t="str">
        <f>B55</f>
        <v>Entremet en cercle &gt; volume d'une part</v>
      </c>
      <c r="B56" s="5477"/>
      <c r="C56" s="5478"/>
      <c r="D56" s="5478"/>
      <c r="E56" s="5478"/>
      <c r="F56" s="5478"/>
      <c r="G56" s="5479"/>
      <c r="H56" s="2"/>
      <c r="I56" s="4785" t="str">
        <f>J55</f>
        <v>Calculez le volume des moules et cadres rectangles</v>
      </c>
      <c r="J56" s="5444"/>
      <c r="K56" s="5445"/>
      <c r="L56" s="5445"/>
      <c r="M56" s="5445"/>
      <c r="N56" s="5445"/>
      <c r="O56" s="5446"/>
      <c r="P56" s="2"/>
      <c r="Q56" s="2"/>
    </row>
    <row r="57" spans="1:17" s="1" customFormat="1" ht="20.100000000000001" customHeight="1">
      <c r="A57" s="5461"/>
      <c r="B57" s="539" t="str">
        <f>ADDRESS(ROW(),COLUMN(),4)</f>
        <v>B57</v>
      </c>
      <c r="C57" s="540" t="s">
        <v>691</v>
      </c>
      <c r="D57" s="541"/>
      <c r="E57" s="542"/>
      <c r="F57" s="542"/>
      <c r="G57" s="543"/>
      <c r="H57" s="2"/>
      <c r="I57" s="4785"/>
      <c r="J57" s="533" t="str">
        <f>ADDRESS(ROW(),COLUMN(),4)</f>
        <v>J57</v>
      </c>
      <c r="K57" s="534" t="s">
        <v>691</v>
      </c>
      <c r="L57" s="535"/>
      <c r="M57" s="537"/>
      <c r="N57" s="537"/>
      <c r="O57" s="538"/>
      <c r="P57" s="2"/>
      <c r="Q57" s="2"/>
    </row>
    <row r="58" spans="1:17" s="1" customFormat="1" ht="20.100000000000001" customHeight="1">
      <c r="A58" s="5461"/>
      <c r="B58" s="5417" t="s">
        <v>501</v>
      </c>
      <c r="C58" s="5168" t="s">
        <v>500</v>
      </c>
      <c r="D58" s="5168" t="s">
        <v>499</v>
      </c>
      <c r="E58" s="5464" t="s">
        <v>504</v>
      </c>
      <c r="F58" s="5391" t="s">
        <v>692</v>
      </c>
      <c r="G58" s="5391"/>
      <c r="H58" s="2"/>
      <c r="I58" s="4785"/>
      <c r="J58" s="5471" t="s">
        <v>507</v>
      </c>
      <c r="K58" s="5472" t="s">
        <v>506</v>
      </c>
      <c r="L58" s="5472" t="s">
        <v>505</v>
      </c>
      <c r="M58" s="5472" t="s">
        <v>499</v>
      </c>
      <c r="N58" s="5472" t="s">
        <v>409</v>
      </c>
      <c r="O58" s="5473"/>
      <c r="P58" s="2"/>
      <c r="Q58" s="2"/>
    </row>
    <row r="59" spans="1:17" s="1" customFormat="1" ht="20.100000000000001" customHeight="1">
      <c r="A59" s="5461"/>
      <c r="B59" s="5417"/>
      <c r="C59" s="5168"/>
      <c r="D59" s="5168"/>
      <c r="E59" s="5464"/>
      <c r="F59" s="5391"/>
      <c r="G59" s="5391"/>
      <c r="H59" s="2"/>
      <c r="I59" s="4785"/>
      <c r="J59" s="5471"/>
      <c r="K59" s="5472"/>
      <c r="L59" s="5472"/>
      <c r="M59" s="5472"/>
      <c r="N59" s="5472"/>
      <c r="O59" s="5473"/>
      <c r="P59" s="2"/>
      <c r="Q59" s="2"/>
    </row>
    <row r="60" spans="1:17" s="1" customFormat="1" ht="20.100000000000001" customHeight="1">
      <c r="A60" s="5461"/>
      <c r="B60" s="5403">
        <v>1</v>
      </c>
      <c r="C60" s="5383">
        <v>22</v>
      </c>
      <c r="D60" s="5383">
        <v>1</v>
      </c>
      <c r="E60" s="5459">
        <v>4</v>
      </c>
      <c r="F60" s="5415">
        <f>(((C60/2)*(C60/2)*PI()*D60)*B60)/E60</f>
        <v>95.033177771091246</v>
      </c>
      <c r="G60" s="5460"/>
      <c r="H60" s="2"/>
      <c r="I60" s="4785"/>
      <c r="J60" s="5403">
        <v>1</v>
      </c>
      <c r="K60" s="5383">
        <v>30</v>
      </c>
      <c r="L60" s="5383">
        <v>20</v>
      </c>
      <c r="M60" s="5332">
        <v>10</v>
      </c>
      <c r="N60" s="5453">
        <f>((K60*L60)*M60)*J60</f>
        <v>6000</v>
      </c>
      <c r="O60" s="5454"/>
      <c r="P60" s="2"/>
      <c r="Q60" s="2"/>
    </row>
    <row r="61" spans="1:17" s="1" customFormat="1" ht="20.100000000000001" customHeight="1" thickBot="1">
      <c r="A61" s="5461"/>
      <c r="B61" s="5403"/>
      <c r="C61" s="5383"/>
      <c r="D61" s="5383"/>
      <c r="E61" s="5459"/>
      <c r="F61" s="5455">
        <f>F60/1000</f>
        <v>9.5033177771091243E-2</v>
      </c>
      <c r="G61" s="5456"/>
      <c r="H61" s="2"/>
      <c r="I61" s="4785"/>
      <c r="J61" s="5403"/>
      <c r="K61" s="5383"/>
      <c r="L61" s="5383"/>
      <c r="M61" s="5332"/>
      <c r="N61" s="5457">
        <f>N60/1000</f>
        <v>6</v>
      </c>
      <c r="O61" s="5458"/>
      <c r="P61" s="2"/>
      <c r="Q61" s="2"/>
    </row>
    <row r="62" spans="1:17" s="1" customFormat="1" ht="20.100000000000001" customHeight="1">
      <c r="A62" s="5461"/>
      <c r="B62" s="5447" t="s">
        <v>503</v>
      </c>
      <c r="C62" s="5448"/>
      <c r="D62" s="5448"/>
      <c r="E62" s="5448"/>
      <c r="F62" s="5448"/>
      <c r="G62" s="5449"/>
      <c r="H62" s="2"/>
      <c r="I62" s="4785"/>
      <c r="J62" s="5447" t="s">
        <v>503</v>
      </c>
      <c r="K62" s="5448"/>
      <c r="L62" s="5448"/>
      <c r="M62" s="5448"/>
      <c r="N62" s="5448"/>
      <c r="O62" s="5449"/>
      <c r="P62" s="2"/>
      <c r="Q62" s="2"/>
    </row>
    <row r="63" spans="1:17" s="1" customFormat="1" ht="20.100000000000001" customHeight="1">
      <c r="A63" s="5461"/>
      <c r="B63" s="5450" t="s">
        <v>686</v>
      </c>
      <c r="C63" s="5451"/>
      <c r="D63" s="5451"/>
      <c r="E63" s="5451"/>
      <c r="F63" s="5451"/>
      <c r="G63" s="5452"/>
      <c r="H63" s="2"/>
      <c r="I63" s="4785"/>
      <c r="J63" s="5450" t="s">
        <v>686</v>
      </c>
      <c r="K63" s="5451"/>
      <c r="L63" s="5451"/>
      <c r="M63" s="5451"/>
      <c r="N63" s="5451"/>
      <c r="O63" s="5452"/>
      <c r="P63" s="2"/>
      <c r="Q63" s="2"/>
    </row>
    <row r="64" spans="1:17" s="1" customFormat="1" ht="20.100000000000001" customHeight="1">
      <c r="A64" s="5461"/>
      <c r="B64" s="456" t="s">
        <v>689</v>
      </c>
      <c r="C64" s="443"/>
      <c r="D64" s="455"/>
      <c r="E64" s="443"/>
      <c r="F64" s="454"/>
      <c r="G64" s="453"/>
      <c r="H64" s="2"/>
      <c r="I64" s="4785"/>
      <c r="J64" s="456" t="s">
        <v>689</v>
      </c>
      <c r="K64" s="443"/>
      <c r="L64" s="455"/>
      <c r="M64" s="443"/>
      <c r="N64" s="454"/>
      <c r="O64" s="453"/>
      <c r="P64" s="2"/>
      <c r="Q64" s="2"/>
    </row>
    <row r="65" spans="1:17" s="1" customFormat="1" ht="20.100000000000001" customHeight="1">
      <c r="A65" s="5461"/>
      <c r="B65" s="5336" t="s">
        <v>34</v>
      </c>
      <c r="C65" s="5337"/>
      <c r="D65" s="5337"/>
      <c r="E65" s="5337"/>
      <c r="F65" s="5337"/>
      <c r="G65" s="5338"/>
      <c r="H65" s="2"/>
      <c r="I65" s="4785"/>
      <c r="J65" s="5336" t="s">
        <v>34</v>
      </c>
      <c r="K65" s="5337"/>
      <c r="L65" s="5337"/>
      <c r="M65" s="5337"/>
      <c r="N65" s="5337"/>
      <c r="O65" s="5338"/>
      <c r="P65" s="2"/>
      <c r="Q65" s="2"/>
    </row>
    <row r="66" spans="1:17" s="1" customFormat="1" ht="20.100000000000001" customHeight="1" thickBot="1">
      <c r="A66" s="5462"/>
      <c r="B66" s="4805"/>
      <c r="C66" s="4806"/>
      <c r="D66" s="4806"/>
      <c r="E66" s="4806"/>
      <c r="F66" s="4806"/>
      <c r="G66" s="4807"/>
      <c r="H66" s="2"/>
      <c r="I66" s="5463"/>
      <c r="J66" s="4805"/>
      <c r="K66" s="4806"/>
      <c r="L66" s="4806"/>
      <c r="M66" s="4806"/>
      <c r="N66" s="4806"/>
      <c r="O66" s="4807"/>
      <c r="P66" s="2"/>
      <c r="Q66" s="2"/>
    </row>
    <row r="67" spans="1:17" s="1" customFormat="1" ht="20.100000000000001" customHeight="1" thickBot="1">
      <c r="B67" s="1537"/>
      <c r="C67" s="1537"/>
      <c r="D67" s="1537"/>
      <c r="E67" s="1537"/>
      <c r="F67" s="1537"/>
      <c r="G67" s="1537"/>
      <c r="H67" s="2"/>
      <c r="I67" s="2"/>
      <c r="J67" s="2"/>
      <c r="K67" s="2"/>
      <c r="L67" s="2"/>
      <c r="M67" s="2"/>
      <c r="N67" s="2"/>
      <c r="O67" s="2"/>
      <c r="P67" s="2"/>
      <c r="Q67" s="2"/>
    </row>
    <row r="68" spans="1:17" s="1" customFormat="1" ht="20.100000000000001" customHeight="1">
      <c r="A68" s="307" t="s">
        <v>70</v>
      </c>
      <c r="B68" s="5435" t="s">
        <v>526</v>
      </c>
      <c r="C68" s="5436"/>
      <c r="D68" s="5436"/>
      <c r="E68" s="5436"/>
      <c r="F68" s="5436"/>
      <c r="G68" s="5436"/>
      <c r="H68" s="5437"/>
      <c r="I68" s="2"/>
      <c r="J68" s="2"/>
      <c r="K68" s="2"/>
      <c r="L68" s="2"/>
      <c r="M68" s="2"/>
      <c r="N68" s="2"/>
      <c r="O68" s="2"/>
      <c r="P68" s="2"/>
      <c r="Q68" s="2"/>
    </row>
    <row r="69" spans="1:17" s="1" customFormat="1" ht="20.100000000000001" customHeight="1">
      <c r="A69" s="4785" t="str">
        <f>B68</f>
        <v>Nombre de parts et poids d'une portion</v>
      </c>
      <c r="B69" s="533" t="str">
        <f>ADDRESS(ROW(),COLUMN(),4)</f>
        <v>B69</v>
      </c>
      <c r="C69" s="534" t="s">
        <v>691</v>
      </c>
      <c r="D69" s="535"/>
      <c r="E69" s="535"/>
      <c r="F69" s="535"/>
      <c r="G69" s="535"/>
      <c r="H69" s="536"/>
      <c r="I69" s="2"/>
      <c r="J69" s="2"/>
      <c r="K69" s="2"/>
      <c r="L69" s="2"/>
      <c r="M69" s="2"/>
      <c r="N69" s="2"/>
      <c r="O69" s="2"/>
      <c r="P69" s="2"/>
      <c r="Q69" s="2"/>
    </row>
    <row r="70" spans="1:17" s="1" customFormat="1" ht="20.100000000000001" customHeight="1">
      <c r="A70" s="4785"/>
      <c r="B70" s="5438" t="s">
        <v>525</v>
      </c>
      <c r="C70" s="5439">
        <v>8.35</v>
      </c>
      <c r="D70" s="5440" t="s">
        <v>524</v>
      </c>
      <c r="E70" s="5440"/>
      <c r="F70" s="5439">
        <v>0.25</v>
      </c>
      <c r="G70" s="5441">
        <f>IF(ISBLANK(F71),B74,F71)</f>
        <v>33.4</v>
      </c>
      <c r="H70" s="5422" t="s">
        <v>124</v>
      </c>
      <c r="I70" s="2"/>
      <c r="J70" s="2"/>
      <c r="K70" s="2"/>
      <c r="L70" s="2"/>
      <c r="M70" s="2"/>
      <c r="N70" s="2"/>
      <c r="O70" s="2"/>
      <c r="P70" s="2"/>
      <c r="Q70" s="2"/>
    </row>
    <row r="71" spans="1:17" s="1" customFormat="1" ht="20.100000000000001" customHeight="1">
      <c r="A71" s="4785"/>
      <c r="B71" s="5438"/>
      <c r="C71" s="5439"/>
      <c r="D71" s="5440"/>
      <c r="E71" s="5440"/>
      <c r="F71" s="5439"/>
      <c r="G71" s="5441"/>
      <c r="H71" s="5422"/>
      <c r="I71" s="2"/>
      <c r="J71" s="2"/>
      <c r="K71" s="2"/>
      <c r="L71" s="2"/>
      <c r="M71" s="2"/>
      <c r="N71" s="2"/>
      <c r="O71" s="2"/>
      <c r="P71" s="2"/>
      <c r="Q71" s="2"/>
    </row>
    <row r="72" spans="1:17" s="1" customFormat="1" ht="20.100000000000001" customHeight="1">
      <c r="A72" s="4785"/>
      <c r="B72" s="5438"/>
      <c r="C72" s="5439"/>
      <c r="D72" s="5442" t="s">
        <v>698</v>
      </c>
      <c r="E72" s="5442"/>
      <c r="F72" s="5443">
        <v>70</v>
      </c>
      <c r="G72" s="5421">
        <f>C70/F72</f>
        <v>0.11928571428571429</v>
      </c>
      <c r="H72" s="5422" t="s">
        <v>523</v>
      </c>
      <c r="I72" s="2"/>
      <c r="J72" s="2"/>
      <c r="K72" s="2"/>
      <c r="L72" s="2"/>
      <c r="M72" s="2"/>
      <c r="N72" s="2"/>
      <c r="O72" s="2"/>
      <c r="P72" s="2"/>
      <c r="Q72" s="2"/>
    </row>
    <row r="73" spans="1:17" s="1" customFormat="1" ht="20.100000000000001" customHeight="1">
      <c r="A73" s="4785"/>
      <c r="B73" s="5438"/>
      <c r="C73" s="5439"/>
      <c r="D73" s="5442"/>
      <c r="E73" s="5442"/>
      <c r="F73" s="5443"/>
      <c r="G73" s="5421"/>
      <c r="H73" s="5422"/>
      <c r="I73" s="2"/>
      <c r="J73" s="2"/>
      <c r="K73" s="2"/>
      <c r="L73" s="2"/>
      <c r="M73" s="2"/>
      <c r="N73" s="2"/>
      <c r="O73" s="2"/>
      <c r="P73" s="2"/>
      <c r="Q73" s="2"/>
    </row>
    <row r="74" spans="1:17" s="1" customFormat="1" ht="20.100000000000001" customHeight="1">
      <c r="A74" s="4785"/>
      <c r="B74" s="458">
        <f>IF(ISBLANK(F70),0,C70/F70)</f>
        <v>33.4</v>
      </c>
      <c r="C74" s="582"/>
      <c r="D74" s="582"/>
      <c r="E74" s="582"/>
      <c r="F74" s="582"/>
      <c r="G74" s="582"/>
      <c r="H74" s="457"/>
      <c r="I74" s="2"/>
      <c r="J74" s="2"/>
      <c r="K74" s="2"/>
      <c r="L74" s="2"/>
      <c r="M74" s="2"/>
      <c r="N74" s="2"/>
      <c r="O74" s="2"/>
      <c r="P74" s="2"/>
      <c r="Q74" s="2"/>
    </row>
    <row r="75" spans="1:17" s="1" customFormat="1" ht="20.100000000000001" customHeight="1" thickBot="1">
      <c r="A75" s="4785"/>
      <c r="B75" s="5392" t="s">
        <v>521</v>
      </c>
      <c r="C75" s="5393"/>
      <c r="D75" s="5393"/>
      <c r="E75" s="5393"/>
      <c r="F75" s="5393"/>
      <c r="G75" s="5393"/>
      <c r="H75" s="5394"/>
      <c r="I75" s="2"/>
      <c r="J75" s="2"/>
      <c r="K75" s="2"/>
      <c r="L75" s="2"/>
      <c r="M75" s="2"/>
      <c r="N75" s="2"/>
      <c r="O75" s="2"/>
      <c r="P75" s="2"/>
      <c r="Q75" s="2"/>
    </row>
    <row r="76" spans="1:17" s="1" customFormat="1" ht="20.100000000000001" customHeight="1">
      <c r="A76" s="4785"/>
      <c r="B76" s="5423" t="s">
        <v>34</v>
      </c>
      <c r="C76" s="5424"/>
      <c r="D76" s="5424"/>
      <c r="E76" s="5424"/>
      <c r="F76" s="5424"/>
      <c r="G76" s="5424"/>
      <c r="H76" s="5425"/>
      <c r="I76" s="2"/>
      <c r="J76" s="2"/>
      <c r="K76" s="2"/>
      <c r="L76" s="2"/>
      <c r="M76" s="2"/>
      <c r="N76" s="2"/>
      <c r="O76" s="2"/>
      <c r="P76" s="2"/>
      <c r="Q76" s="2"/>
    </row>
    <row r="77" spans="1:17" s="1" customFormat="1" ht="20.100000000000001" customHeight="1" thickBot="1">
      <c r="A77" s="4785"/>
      <c r="B77" s="5426"/>
      <c r="C77" s="5427"/>
      <c r="D77" s="5427"/>
      <c r="E77" s="5427"/>
      <c r="F77" s="5427"/>
      <c r="G77" s="5427"/>
      <c r="H77" s="5428"/>
      <c r="I77" s="2"/>
      <c r="J77" s="2"/>
      <c r="K77" s="2"/>
      <c r="L77" s="2"/>
      <c r="M77" s="2"/>
      <c r="N77" s="2"/>
      <c r="O77" s="2"/>
      <c r="P77" s="2"/>
      <c r="Q77" s="2"/>
    </row>
    <row r="78" spans="1:17" s="1" customFormat="1" thickBot="1">
      <c r="A78" s="2"/>
      <c r="B78" s="3"/>
      <c r="C78" s="3"/>
      <c r="D78" s="3"/>
      <c r="E78" s="3"/>
      <c r="F78" s="3"/>
      <c r="G78" s="3"/>
      <c r="H78" s="3"/>
      <c r="I78" s="3"/>
      <c r="J78" s="3"/>
      <c r="K78" s="3"/>
      <c r="L78" s="3"/>
      <c r="M78" s="3"/>
      <c r="N78" s="3"/>
      <c r="O78" s="3"/>
      <c r="P78" s="3"/>
      <c r="Q78" s="3"/>
    </row>
    <row r="79" spans="1:17" s="1" customFormat="1" ht="20.100000000000001" customHeight="1">
      <c r="A79" s="307" t="s">
        <v>70</v>
      </c>
      <c r="B79" s="5429" t="s">
        <v>520</v>
      </c>
      <c r="C79" s="5430"/>
      <c r="D79" s="5430"/>
      <c r="E79" s="5430"/>
      <c r="F79" s="5430"/>
      <c r="G79" s="5431"/>
      <c r="H79" s="2"/>
      <c r="I79" s="307" t="s">
        <v>70</v>
      </c>
      <c r="J79" s="5429" t="s">
        <v>520</v>
      </c>
      <c r="K79" s="5430"/>
      <c r="L79" s="5430"/>
      <c r="M79" s="5430"/>
      <c r="N79" s="5430"/>
      <c r="O79" s="5431"/>
      <c r="P79" s="2"/>
      <c r="Q79" s="2"/>
    </row>
    <row r="80" spans="1:17" s="1" customFormat="1" ht="20.100000000000001" customHeight="1">
      <c r="A80" s="4784" t="str">
        <f>B79</f>
        <v>Transférer  des cercles dans des cadres</v>
      </c>
      <c r="B80" s="5432"/>
      <c r="C80" s="5433"/>
      <c r="D80" s="5433"/>
      <c r="E80" s="5433"/>
      <c r="F80" s="5433"/>
      <c r="G80" s="5434"/>
      <c r="H80" s="2"/>
      <c r="I80" s="4785" t="str">
        <f>J79</f>
        <v>Transférer  des cercles dans des cadres</v>
      </c>
      <c r="J80" s="5432"/>
      <c r="K80" s="5433"/>
      <c r="L80" s="5433"/>
      <c r="M80" s="5433"/>
      <c r="N80" s="5433"/>
      <c r="O80" s="5434"/>
      <c r="P80" s="2"/>
      <c r="Q80" s="2"/>
    </row>
    <row r="81" spans="1:17" s="1" customFormat="1" ht="20.100000000000001" customHeight="1">
      <c r="A81" s="4784"/>
      <c r="B81" s="533" t="str">
        <f>ADDRESS(ROW(),COLUMN(),4)</f>
        <v>B81</v>
      </c>
      <c r="C81" s="534" t="s">
        <v>691</v>
      </c>
      <c r="D81" s="535"/>
      <c r="E81" s="535"/>
      <c r="F81" s="535"/>
      <c r="G81" s="536"/>
      <c r="H81" s="2"/>
      <c r="I81" s="4785"/>
      <c r="J81" s="4589" t="str">
        <f>ADDRESS(ROW(),COLUMN(),4)</f>
        <v>J81</v>
      </c>
      <c r="K81" s="534" t="s">
        <v>691</v>
      </c>
      <c r="L81" s="535"/>
      <c r="M81" s="535"/>
      <c r="N81" s="535"/>
      <c r="O81" s="536"/>
      <c r="P81" s="2"/>
      <c r="Q81" s="2"/>
    </row>
    <row r="82" spans="1:17" s="1" customFormat="1" ht="20.100000000000001" customHeight="1">
      <c r="A82" s="4784"/>
      <c r="B82" s="5412" t="s">
        <v>519</v>
      </c>
      <c r="C82" s="5413"/>
      <c r="D82" s="5413"/>
      <c r="E82" s="5413"/>
      <c r="F82" s="5413"/>
      <c r="G82" s="5414"/>
      <c r="H82" s="2"/>
      <c r="I82" s="4785"/>
      <c r="J82" s="5412" t="s">
        <v>519</v>
      </c>
      <c r="K82" s="5413"/>
      <c r="L82" s="5413"/>
      <c r="M82" s="5413"/>
      <c r="N82" s="5413"/>
      <c r="O82" s="5414"/>
      <c r="P82" s="2"/>
      <c r="Q82" s="2"/>
    </row>
    <row r="83" spans="1:17" s="1" customFormat="1" ht="20.100000000000001" customHeight="1">
      <c r="A83" s="4784"/>
      <c r="B83" s="5412"/>
      <c r="C83" s="5413"/>
      <c r="D83" s="5413"/>
      <c r="E83" s="5413"/>
      <c r="F83" s="5413"/>
      <c r="G83" s="5414"/>
      <c r="H83" s="2"/>
      <c r="I83" s="4785"/>
      <c r="J83" s="5412"/>
      <c r="K83" s="5413"/>
      <c r="L83" s="5413"/>
      <c r="M83" s="5413"/>
      <c r="N83" s="5413"/>
      <c r="O83" s="5414"/>
      <c r="P83" s="2"/>
      <c r="Q83" s="2"/>
    </row>
    <row r="84" spans="1:17" s="1" customFormat="1" ht="20.100000000000001" customHeight="1">
      <c r="A84" s="4784"/>
      <c r="B84" s="5417" t="s">
        <v>501</v>
      </c>
      <c r="C84" s="5168" t="s">
        <v>500</v>
      </c>
      <c r="D84" s="5418" t="s">
        <v>699</v>
      </c>
      <c r="E84" s="5168" t="s">
        <v>509</v>
      </c>
      <c r="F84" s="5419" t="s">
        <v>409</v>
      </c>
      <c r="G84" s="5420" t="s">
        <v>704</v>
      </c>
      <c r="H84" s="2"/>
      <c r="I84" s="4785"/>
      <c r="J84" s="5417" t="s">
        <v>501</v>
      </c>
      <c r="K84" s="5168" t="s">
        <v>500</v>
      </c>
      <c r="L84" s="5168" t="s">
        <v>509</v>
      </c>
      <c r="M84" s="5418" t="s">
        <v>514</v>
      </c>
      <c r="N84" s="5419" t="s">
        <v>409</v>
      </c>
      <c r="O84" s="5420" t="s">
        <v>513</v>
      </c>
      <c r="P84" s="2"/>
      <c r="Q84" s="2"/>
    </row>
    <row r="85" spans="1:17" s="1" customFormat="1" ht="20.100000000000001" customHeight="1">
      <c r="A85" s="4784"/>
      <c r="B85" s="5417"/>
      <c r="C85" s="5168"/>
      <c r="D85" s="5418"/>
      <c r="E85" s="5168"/>
      <c r="F85" s="5419"/>
      <c r="G85" s="5420"/>
      <c r="H85" s="2"/>
      <c r="I85" s="4785"/>
      <c r="J85" s="5417"/>
      <c r="K85" s="5168"/>
      <c r="L85" s="5168"/>
      <c r="M85" s="5418"/>
      <c r="N85" s="5419"/>
      <c r="O85" s="5420"/>
      <c r="P85" s="2"/>
      <c r="Q85" s="2"/>
    </row>
    <row r="86" spans="1:17" s="1" customFormat="1" ht="20.100000000000001" customHeight="1">
      <c r="A86" s="4784"/>
      <c r="B86" s="5403">
        <v>1</v>
      </c>
      <c r="C86" s="5383">
        <v>22</v>
      </c>
      <c r="D86" s="5408">
        <v>0.15</v>
      </c>
      <c r="E86" s="5409">
        <f>C86/2</f>
        <v>11</v>
      </c>
      <c r="F86" s="5410">
        <f>(PI()*(E86^2)*B86)</f>
        <v>380.13271108436498</v>
      </c>
      <c r="G86" s="5411">
        <f>D86/B86</f>
        <v>0.15</v>
      </c>
      <c r="H86" s="2"/>
      <c r="I86" s="4785"/>
      <c r="J86" s="5403">
        <v>1</v>
      </c>
      <c r="K86" s="5383">
        <v>22</v>
      </c>
      <c r="L86" s="5409">
        <f>K86/2</f>
        <v>11</v>
      </c>
      <c r="M86" s="5408">
        <v>0.15</v>
      </c>
      <c r="N86" s="5415">
        <f>(PI()*(L86^2)*J86)</f>
        <v>380.13271108436498</v>
      </c>
      <c r="O86" s="5416">
        <f>O90</f>
        <v>1.5783961298369786</v>
      </c>
      <c r="P86" s="2"/>
      <c r="Q86" s="2"/>
    </row>
    <row r="87" spans="1:17" s="1" customFormat="1" ht="20.100000000000001" customHeight="1">
      <c r="A87" s="4784"/>
      <c r="B87" s="5403"/>
      <c r="C87" s="5383"/>
      <c r="D87" s="5408"/>
      <c r="E87" s="5409"/>
      <c r="F87" s="5410"/>
      <c r="G87" s="5411"/>
      <c r="H87" s="2"/>
      <c r="I87" s="4785"/>
      <c r="J87" s="5403"/>
      <c r="K87" s="5383"/>
      <c r="L87" s="5409"/>
      <c r="M87" s="5408"/>
      <c r="N87" s="5415"/>
      <c r="O87" s="5416"/>
      <c r="P87" s="2"/>
      <c r="Q87" s="2"/>
    </row>
    <row r="88" spans="1:17" s="1" customFormat="1" ht="20.100000000000001" customHeight="1">
      <c r="A88" s="4784"/>
      <c r="B88" s="520"/>
      <c r="C88" s="592"/>
      <c r="D88" s="594" t="str">
        <f>ADDRESS(ROW(D86),COLUMN(D86),4)</f>
        <v>D86</v>
      </c>
      <c r="E88" s="593"/>
      <c r="F88" s="594" t="str">
        <f>ADDRESS(ROW(F86),COLUMN(F86),4)</f>
        <v>F86</v>
      </c>
      <c r="G88" s="595"/>
      <c r="H88" s="2"/>
      <c r="I88" s="4785"/>
      <c r="J88" s="5412" t="s">
        <v>515</v>
      </c>
      <c r="K88" s="5413"/>
      <c r="L88" s="5413"/>
      <c r="M88" s="5413"/>
      <c r="N88" s="5413"/>
      <c r="O88" s="5414"/>
      <c r="P88" s="2"/>
      <c r="Q88" s="2"/>
    </row>
    <row r="89" spans="1:17" s="1" customFormat="1" ht="20.100000000000001" customHeight="1">
      <c r="A89" s="4784"/>
      <c r="B89" s="5412" t="s">
        <v>515</v>
      </c>
      <c r="C89" s="5413"/>
      <c r="D89" s="5413"/>
      <c r="E89" s="5413"/>
      <c r="F89" s="5413"/>
      <c r="G89" s="5414"/>
      <c r="H89" s="2"/>
      <c r="I89" s="4785"/>
      <c r="J89" s="5412"/>
      <c r="K89" s="5413"/>
      <c r="L89" s="5413"/>
      <c r="M89" s="5413"/>
      <c r="N89" s="5413"/>
      <c r="O89" s="5414"/>
      <c r="P89" s="2"/>
      <c r="Q89" s="2"/>
    </row>
    <row r="90" spans="1:17" s="1" customFormat="1" ht="20.100000000000001" customHeight="1">
      <c r="A90" s="4784"/>
      <c r="B90" s="5412"/>
      <c r="C90" s="5413"/>
      <c r="D90" s="5413"/>
      <c r="E90" s="5413"/>
      <c r="F90" s="5413"/>
      <c r="G90" s="5414"/>
      <c r="H90" s="2"/>
      <c r="I90" s="4785"/>
      <c r="J90" s="5403">
        <v>1</v>
      </c>
      <c r="K90" s="5383">
        <v>30</v>
      </c>
      <c r="L90" s="5383">
        <v>20</v>
      </c>
      <c r="M90" s="5404">
        <f>(M86*O86)*J86</f>
        <v>0.2367594194755468</v>
      </c>
      <c r="N90" s="5415">
        <f>(K90*L90)*J90</f>
        <v>600</v>
      </c>
      <c r="O90" s="5416">
        <f>N90/N86</f>
        <v>1.5783961298369786</v>
      </c>
      <c r="P90" s="2"/>
      <c r="Q90" s="2"/>
    </row>
    <row r="91" spans="1:17" s="1" customFormat="1" ht="20.100000000000001" customHeight="1">
      <c r="A91" s="4784"/>
      <c r="B91" s="5407" t="s">
        <v>507</v>
      </c>
      <c r="C91" s="5399" t="s">
        <v>506</v>
      </c>
      <c r="D91" s="5399" t="s">
        <v>505</v>
      </c>
      <c r="E91" s="5400" t="str">
        <f>IF(D86&lt;G96,"Poids à transférer","Poids nécessaire")</f>
        <v>Poids à transférer</v>
      </c>
      <c r="F91" s="5400" t="s">
        <v>701</v>
      </c>
      <c r="G91" s="5406" t="str">
        <f>IF(D86&lt;G96,"Poids total","Poids en Trop")</f>
        <v>Poids total</v>
      </c>
      <c r="H91" s="2"/>
      <c r="I91" s="4785"/>
      <c r="J91" s="5403"/>
      <c r="K91" s="5383"/>
      <c r="L91" s="5383"/>
      <c r="M91" s="5404"/>
      <c r="N91" s="5415"/>
      <c r="O91" s="5416"/>
      <c r="P91" s="2"/>
      <c r="Q91" s="2"/>
    </row>
    <row r="92" spans="1:17" s="1" customFormat="1" ht="20.100000000000001" customHeight="1">
      <c r="A92" s="4784"/>
      <c r="B92" s="5407"/>
      <c r="C92" s="5399"/>
      <c r="D92" s="5399"/>
      <c r="E92" s="5400"/>
      <c r="F92" s="5400"/>
      <c r="G92" s="5406"/>
      <c r="H92" s="2"/>
      <c r="I92" s="4785"/>
      <c r="J92" s="5407" t="s">
        <v>507</v>
      </c>
      <c r="K92" s="5399" t="s">
        <v>506</v>
      </c>
      <c r="L92" s="5399" t="s">
        <v>505</v>
      </c>
      <c r="M92" s="5400" t="s">
        <v>514</v>
      </c>
      <c r="N92" s="5401" t="s">
        <v>409</v>
      </c>
      <c r="O92" s="5402" t="s">
        <v>513</v>
      </c>
      <c r="P92" s="2"/>
      <c r="Q92" s="2"/>
    </row>
    <row r="93" spans="1:17" s="1" customFormat="1" ht="20.100000000000001" customHeight="1">
      <c r="A93" s="4784"/>
      <c r="B93" s="1540"/>
      <c r="C93" s="1539"/>
      <c r="D93" s="599" t="s">
        <v>705</v>
      </c>
      <c r="E93" s="590" t="str">
        <f>ADDRESS(ROW(E94),COLUMN(E94),4)</f>
        <v>E94</v>
      </c>
      <c r="F93" s="590" t="str">
        <f t="shared" ref="F93:G93" si="0">ADDRESS(ROW(F94),COLUMN(F94),4)</f>
        <v>F94</v>
      </c>
      <c r="G93" s="591" t="str">
        <f t="shared" si="0"/>
        <v>G94</v>
      </c>
      <c r="H93" s="2"/>
      <c r="I93" s="4785"/>
      <c r="J93" s="5407"/>
      <c r="K93" s="5399"/>
      <c r="L93" s="5399"/>
      <c r="M93" s="5400"/>
      <c r="N93" s="5401"/>
      <c r="O93" s="5402"/>
      <c r="P93" s="2"/>
      <c r="Q93" s="2"/>
    </row>
    <row r="94" spans="1:17" s="1" customFormat="1" ht="20.100000000000001" customHeight="1" thickBot="1">
      <c r="A94" s="4784"/>
      <c r="B94" s="5403">
        <v>1</v>
      </c>
      <c r="C94" s="5383">
        <v>30</v>
      </c>
      <c r="D94" s="5383">
        <v>20</v>
      </c>
      <c r="E94" s="5404">
        <f>IF(G96&gt;D86,D86,G96)</f>
        <v>0.15</v>
      </c>
      <c r="F94" s="5404">
        <f>IF(D86&gt;G96,0,(D86/F86)*E96)</f>
        <v>8.6759419475546787E-2</v>
      </c>
      <c r="G94" s="5405">
        <f>IF(D86&gt;G96,D86-G96,G96)</f>
        <v>0.2367594194755468</v>
      </c>
      <c r="H94" s="2"/>
      <c r="I94" s="4785"/>
      <c r="J94" s="452" t="s">
        <v>503</v>
      </c>
      <c r="K94" s="451"/>
      <c r="L94" s="451"/>
      <c r="M94" s="451"/>
      <c r="N94" s="451"/>
      <c r="O94" s="450"/>
      <c r="P94" s="2"/>
      <c r="Q94" s="2"/>
    </row>
    <row r="95" spans="1:17" s="1" customFormat="1" ht="20.100000000000001" customHeight="1">
      <c r="A95" s="4784"/>
      <c r="B95" s="5403"/>
      <c r="C95" s="5383"/>
      <c r="D95" s="5383"/>
      <c r="E95" s="5404"/>
      <c r="F95" s="5404"/>
      <c r="G95" s="5405"/>
      <c r="H95" s="2"/>
      <c r="I95" s="4785"/>
      <c r="J95" s="587" t="s">
        <v>512</v>
      </c>
      <c r="K95" s="449" t="s">
        <v>511</v>
      </c>
      <c r="L95" s="448"/>
      <c r="M95" s="448"/>
      <c r="N95" s="448"/>
      <c r="O95" s="447"/>
      <c r="P95" s="2"/>
      <c r="Q95" s="2"/>
    </row>
    <row r="96" spans="1:17" s="1" customFormat="1" ht="20.100000000000001" customHeight="1">
      <c r="A96" s="4784"/>
      <c r="B96" s="588" t="s">
        <v>409</v>
      </c>
      <c r="C96" s="583">
        <f>(C94*D94)*B94</f>
        <v>600</v>
      </c>
      <c r="D96" s="585" t="s">
        <v>700</v>
      </c>
      <c r="E96" s="584">
        <f>IF(F86&gt;C96,F86-C96,IF(C96&gt;F86,C96-F86,IF(F86=C96,F86)))</f>
        <v>219.86728891563502</v>
      </c>
      <c r="F96" s="586" t="s">
        <v>702</v>
      </c>
      <c r="G96" s="589">
        <f>(D86/F86)*C96</f>
        <v>0.2367594194755468</v>
      </c>
      <c r="H96" s="2"/>
      <c r="I96" s="4785"/>
      <c r="J96" s="5384" t="s">
        <v>707</v>
      </c>
      <c r="K96" s="5385"/>
      <c r="L96" s="5385"/>
      <c r="M96" s="5385"/>
      <c r="N96" s="5385"/>
      <c r="O96" s="5386"/>
      <c r="P96" s="2"/>
      <c r="Q96" s="2"/>
    </row>
    <row r="97" spans="1:17" s="1" customFormat="1" ht="20.100000000000001" customHeight="1" thickBot="1">
      <c r="A97" s="4784"/>
      <c r="B97" s="596"/>
      <c r="C97" s="594" t="str">
        <f>ADDRESS(ROW(C96),COLUMN(C96),4)</f>
        <v>C96</v>
      </c>
      <c r="D97" s="597"/>
      <c r="E97" s="594" t="str">
        <f>ADDRESS(ROW(E96),COLUMN(E96),4)</f>
        <v>E96</v>
      </c>
      <c r="F97" s="598"/>
      <c r="G97" s="595" t="str">
        <f>ADDRESS(ROW(G96),COLUMN(G96),4)</f>
        <v>G96</v>
      </c>
      <c r="H97" s="2"/>
      <c r="I97" s="4785"/>
      <c r="J97" s="5387"/>
      <c r="K97" s="5388"/>
      <c r="L97" s="5388"/>
      <c r="M97" s="5388"/>
      <c r="N97" s="5388"/>
      <c r="O97" s="5389"/>
      <c r="P97" s="2"/>
      <c r="Q97" s="2"/>
    </row>
    <row r="98" spans="1:17" s="1" customFormat="1" ht="20.100000000000001" customHeight="1">
      <c r="A98" s="4784"/>
      <c r="B98" s="5390" t="s">
        <v>703</v>
      </c>
      <c r="C98" s="5184"/>
      <c r="D98" s="5184"/>
      <c r="E98" s="5184"/>
      <c r="F98" s="5184"/>
      <c r="G98" s="5391"/>
      <c r="H98" s="2"/>
      <c r="I98" s="2"/>
      <c r="J98" s="2"/>
      <c r="K98" s="2"/>
      <c r="L98" s="2"/>
      <c r="M98" s="2"/>
      <c r="N98" s="2"/>
      <c r="O98" s="2"/>
      <c r="P98" s="2"/>
      <c r="Q98" s="2"/>
    </row>
    <row r="99" spans="1:17" s="1" customFormat="1" ht="20.100000000000001" customHeight="1">
      <c r="A99" s="4784"/>
      <c r="B99" s="5390"/>
      <c r="C99" s="5184"/>
      <c r="D99" s="5184"/>
      <c r="E99" s="5184"/>
      <c r="F99" s="5184"/>
      <c r="G99" s="5391"/>
      <c r="H99" s="2"/>
      <c r="I99" s="2"/>
      <c r="J99" s="2"/>
      <c r="K99" s="2"/>
      <c r="L99" s="2"/>
      <c r="M99" s="2"/>
      <c r="N99" s="2"/>
      <c r="O99" s="2"/>
      <c r="P99" s="2"/>
      <c r="Q99" s="2"/>
    </row>
    <row r="100" spans="1:17" s="1" customFormat="1" ht="20.100000000000001" customHeight="1">
      <c r="A100" s="4784"/>
      <c r="B100" s="5390"/>
      <c r="C100" s="5184"/>
      <c r="D100" s="5184"/>
      <c r="E100" s="5184"/>
      <c r="F100" s="5184"/>
      <c r="G100" s="5391"/>
      <c r="H100" s="2"/>
      <c r="I100" s="2"/>
      <c r="J100" s="2"/>
      <c r="K100" s="2"/>
      <c r="L100" s="2"/>
      <c r="M100" s="2"/>
      <c r="N100" s="2"/>
      <c r="O100" s="2"/>
      <c r="P100" s="2"/>
      <c r="Q100" s="2"/>
    </row>
    <row r="101" spans="1:17" s="1" customFormat="1" ht="20.100000000000001" customHeight="1" thickBot="1">
      <c r="A101" s="4784"/>
      <c r="B101" s="5392" t="s">
        <v>503</v>
      </c>
      <c r="C101" s="5393"/>
      <c r="D101" s="5393"/>
      <c r="E101" s="5393"/>
      <c r="F101" s="5393"/>
      <c r="G101" s="5394"/>
      <c r="H101" s="2"/>
      <c r="I101" s="2"/>
      <c r="J101" s="2"/>
      <c r="K101" s="2"/>
      <c r="L101" s="2"/>
      <c r="M101" s="2"/>
      <c r="N101" s="2"/>
      <c r="O101" s="2"/>
      <c r="P101" s="2"/>
      <c r="Q101" s="2"/>
    </row>
    <row r="102" spans="1:17" s="1" customFormat="1" ht="20.100000000000001" customHeight="1">
      <c r="A102" s="4784"/>
      <c r="B102" s="587" t="s">
        <v>365</v>
      </c>
      <c r="C102" s="5395" t="s">
        <v>511</v>
      </c>
      <c r="D102" s="5395"/>
      <c r="E102" s="5395"/>
      <c r="F102" s="5395"/>
      <c r="G102" s="5396"/>
      <c r="H102" s="2"/>
      <c r="I102" s="2"/>
      <c r="J102" s="2"/>
      <c r="K102" s="2"/>
      <c r="L102" s="2"/>
      <c r="M102" s="2"/>
      <c r="N102" s="2"/>
      <c r="O102" s="2"/>
      <c r="P102" s="2"/>
      <c r="Q102" s="2"/>
    </row>
    <row r="103" spans="1:17" s="1" customFormat="1" ht="20.100000000000001" customHeight="1">
      <c r="A103" s="4784"/>
      <c r="B103" s="5336" t="s">
        <v>34</v>
      </c>
      <c r="C103" s="5337"/>
      <c r="D103" s="5337"/>
      <c r="E103" s="5337"/>
      <c r="F103" s="5337"/>
      <c r="G103" s="5338"/>
      <c r="H103" s="2"/>
      <c r="I103" s="2"/>
      <c r="J103" s="2"/>
      <c r="K103" s="2"/>
      <c r="L103" s="2"/>
      <c r="M103" s="2"/>
      <c r="N103" s="2"/>
      <c r="O103" s="2"/>
      <c r="P103" s="2"/>
      <c r="Q103" s="2"/>
    </row>
    <row r="104" spans="1:17" s="1" customFormat="1" ht="20.100000000000001" customHeight="1" thickBot="1">
      <c r="A104" s="4784"/>
      <c r="B104" s="4805"/>
      <c r="C104" s="4806"/>
      <c r="D104" s="4806"/>
      <c r="E104" s="4806"/>
      <c r="F104" s="4806"/>
      <c r="G104" s="4807"/>
      <c r="H104" s="2"/>
      <c r="I104" s="2"/>
      <c r="J104" s="2"/>
      <c r="K104" s="2"/>
      <c r="L104" s="2"/>
      <c r="M104" s="2"/>
      <c r="N104" s="2"/>
      <c r="O104" s="2"/>
      <c r="P104" s="2"/>
      <c r="Q104" s="2"/>
    </row>
    <row r="105" spans="1:17" s="1" customFormat="1" ht="15">
      <c r="A105" s="2"/>
      <c r="B105" s="3"/>
      <c r="C105" s="3"/>
      <c r="D105" s="3"/>
      <c r="E105" s="3"/>
      <c r="F105" s="3"/>
      <c r="G105" s="3"/>
      <c r="H105" s="3"/>
      <c r="I105" s="3"/>
      <c r="J105" s="3"/>
      <c r="K105" s="3"/>
      <c r="L105" s="3"/>
      <c r="M105" s="3"/>
      <c r="N105" s="3"/>
      <c r="O105" s="3"/>
      <c r="P105" s="3"/>
      <c r="Q105" s="3"/>
    </row>
    <row r="106" spans="1:17" s="1" customFormat="1" ht="20.100000000000001" customHeight="1">
      <c r="A106" s="307" t="s">
        <v>70</v>
      </c>
      <c r="B106" s="5397" t="s">
        <v>502</v>
      </c>
      <c r="C106" s="5398"/>
      <c r="D106" s="5398"/>
      <c r="E106" s="5398"/>
      <c r="F106" s="5398"/>
      <c r="G106" s="5398"/>
      <c r="H106" s="5398"/>
      <c r="I106" s="5398"/>
      <c r="J106" s="5398"/>
      <c r="K106" s="5398"/>
      <c r="L106" s="2"/>
      <c r="M106" s="2"/>
      <c r="N106" s="2"/>
      <c r="O106" s="2"/>
      <c r="P106" s="2"/>
      <c r="Q106" s="2"/>
    </row>
    <row r="107" spans="1:17" s="1" customFormat="1" ht="20.100000000000001" customHeight="1">
      <c r="A107" s="4785" t="str">
        <f>B106</f>
        <v>Quel poids de pâte ou de liquide faut-il dans un ou des cercle (s)</v>
      </c>
      <c r="B107" s="5397"/>
      <c r="C107" s="5398"/>
      <c r="D107" s="5398"/>
      <c r="E107" s="5398"/>
      <c r="F107" s="5398"/>
      <c r="G107" s="5398"/>
      <c r="H107" s="5398"/>
      <c r="I107" s="5398"/>
      <c r="J107" s="5398"/>
      <c r="K107" s="5398"/>
      <c r="L107" s="2"/>
      <c r="M107" s="2"/>
      <c r="N107" s="2"/>
      <c r="O107" s="2"/>
      <c r="P107" s="2"/>
      <c r="Q107" s="2"/>
    </row>
    <row r="108" spans="1:17" s="1" customFormat="1" ht="20.100000000000001" customHeight="1">
      <c r="A108" s="4785"/>
      <c r="B108" s="533" t="str">
        <f>ADDRESS(ROW(),COLUMN(),4)</f>
        <v>B108</v>
      </c>
      <c r="C108" s="534" t="s">
        <v>691</v>
      </c>
      <c r="D108" s="535"/>
      <c r="E108" s="535"/>
      <c r="F108" s="535"/>
      <c r="G108" s="535"/>
      <c r="H108" s="535"/>
      <c r="I108" s="535"/>
      <c r="J108" s="535"/>
      <c r="K108" s="535"/>
      <c r="L108" s="2"/>
      <c r="M108" s="2"/>
      <c r="N108" s="2"/>
      <c r="O108" s="2"/>
      <c r="P108" s="2"/>
      <c r="Q108" s="2"/>
    </row>
    <row r="109" spans="1:17" s="1" customFormat="1" ht="20.100000000000001" customHeight="1">
      <c r="A109" s="4785"/>
      <c r="B109" s="5350" t="s">
        <v>486</v>
      </c>
      <c r="C109" s="5351"/>
      <c r="D109" s="5351"/>
      <c r="E109" s="5351"/>
      <c r="F109" s="5351"/>
      <c r="G109" s="5351"/>
      <c r="H109" s="5351"/>
      <c r="I109" s="5351"/>
      <c r="J109" s="5351"/>
      <c r="K109" s="5352"/>
      <c r="L109" s="2"/>
      <c r="M109" s="2"/>
      <c r="N109" s="2"/>
      <c r="O109" s="2"/>
      <c r="P109" s="2"/>
      <c r="Q109" s="2"/>
    </row>
    <row r="110" spans="1:17" s="1" customFormat="1" ht="20.100000000000001" customHeight="1">
      <c r="A110" s="4785"/>
      <c r="B110" s="34"/>
      <c r="C110" s="5353" t="s">
        <v>501</v>
      </c>
      <c r="D110" s="5353"/>
      <c r="E110" s="5353" t="s">
        <v>500</v>
      </c>
      <c r="F110" s="5353"/>
      <c r="G110" s="5353" t="s">
        <v>499</v>
      </c>
      <c r="H110" s="5353"/>
      <c r="I110" s="5354" t="s">
        <v>498</v>
      </c>
      <c r="J110" s="5354"/>
      <c r="K110" s="442" t="s">
        <v>409</v>
      </c>
      <c r="L110" s="2"/>
      <c r="M110" s="2"/>
      <c r="N110" s="2"/>
      <c r="O110" s="2"/>
      <c r="P110" s="2"/>
      <c r="Q110" s="2"/>
    </row>
    <row r="111" spans="1:17" s="1" customFormat="1" ht="20.100000000000001" customHeight="1">
      <c r="A111" s="4785"/>
      <c r="B111" s="5382" t="s">
        <v>55</v>
      </c>
      <c r="C111" s="5330">
        <v>1</v>
      </c>
      <c r="D111" s="5330"/>
      <c r="E111" s="5383">
        <v>26</v>
      </c>
      <c r="F111" s="5383"/>
      <c r="G111" s="5383">
        <v>4</v>
      </c>
      <c r="H111" s="5383"/>
      <c r="I111" s="5373">
        <f>(I115/K115)*K111</f>
        <v>0.47499999999999998</v>
      </c>
      <c r="J111" s="5373"/>
      <c r="K111" s="5374">
        <f>(((E111/2)*(E111/2)*PI())*G111)*C111</f>
        <v>2123.7166338267002</v>
      </c>
      <c r="L111" s="2"/>
      <c r="M111" s="2"/>
      <c r="N111" s="2"/>
      <c r="O111" s="2"/>
      <c r="P111" s="2"/>
      <c r="Q111" s="2"/>
    </row>
    <row r="112" spans="1:17" s="1" customFormat="1" ht="20.100000000000001" customHeight="1">
      <c r="A112" s="4785"/>
      <c r="B112" s="5382"/>
      <c r="C112" s="5330"/>
      <c r="D112" s="5330"/>
      <c r="E112" s="5383"/>
      <c r="F112" s="5383"/>
      <c r="G112" s="5383"/>
      <c r="H112" s="5383"/>
      <c r="I112" s="5373"/>
      <c r="J112" s="5373"/>
      <c r="K112" s="5374"/>
      <c r="L112" s="2"/>
      <c r="M112" s="2"/>
      <c r="N112" s="2"/>
      <c r="O112" s="2"/>
      <c r="P112" s="2"/>
      <c r="Q112" s="2"/>
    </row>
    <row r="113" spans="1:17" s="1" customFormat="1" ht="20.100000000000001" customHeight="1" thickBot="1">
      <c r="A113" s="4785"/>
      <c r="B113" s="34"/>
      <c r="C113" s="432"/>
      <c r="D113" s="443"/>
      <c r="E113" s="445"/>
      <c r="F113" s="443"/>
      <c r="G113" s="445"/>
      <c r="H113" s="443"/>
      <c r="I113" s="444"/>
      <c r="J113" s="443"/>
      <c r="K113" s="442"/>
      <c r="L113" s="2"/>
      <c r="M113" s="2"/>
      <c r="N113" s="2"/>
      <c r="O113" s="2"/>
      <c r="P113" s="2"/>
      <c r="Q113" s="2"/>
    </row>
    <row r="114" spans="1:17" s="1" customFormat="1" ht="20.100000000000001" customHeight="1">
      <c r="A114" s="4785"/>
      <c r="B114" s="5375" t="s">
        <v>475</v>
      </c>
      <c r="C114" s="5347"/>
      <c r="D114" s="5347"/>
      <c r="E114" s="5347"/>
      <c r="F114" s="5347"/>
      <c r="G114" s="5347"/>
      <c r="H114" s="5347"/>
      <c r="I114" s="5347"/>
      <c r="J114" s="5347"/>
      <c r="K114" s="5376"/>
      <c r="L114" s="2"/>
      <c r="M114" s="2"/>
      <c r="N114" s="2"/>
      <c r="O114" s="2"/>
      <c r="P114" s="2"/>
      <c r="Q114" s="2"/>
    </row>
    <row r="115" spans="1:17" s="1" customFormat="1" ht="20.100000000000001" customHeight="1">
      <c r="A115" s="4785"/>
      <c r="B115" s="5377" t="s">
        <v>44</v>
      </c>
      <c r="C115" s="5378">
        <v>1</v>
      </c>
      <c r="D115" s="5378"/>
      <c r="E115" s="5379">
        <v>26</v>
      </c>
      <c r="F115" s="5379"/>
      <c r="G115" s="5379">
        <v>4</v>
      </c>
      <c r="H115" s="5379"/>
      <c r="I115" s="5380">
        <v>0.47499999999999998</v>
      </c>
      <c r="J115" s="5380"/>
      <c r="K115" s="5381">
        <f>(((E115/2)*(E115/2)*PI())*G115)*C115</f>
        <v>2123.7166338267002</v>
      </c>
      <c r="L115" s="2"/>
      <c r="M115" s="2"/>
      <c r="N115" s="2"/>
      <c r="O115" s="2"/>
      <c r="P115" s="2"/>
      <c r="Q115" s="2"/>
    </row>
    <row r="116" spans="1:17" s="1" customFormat="1" ht="20.100000000000001" customHeight="1">
      <c r="A116" s="4785"/>
      <c r="B116" s="5377"/>
      <c r="C116" s="5378"/>
      <c r="D116" s="5378"/>
      <c r="E116" s="5379"/>
      <c r="F116" s="5379"/>
      <c r="G116" s="5379"/>
      <c r="H116" s="5379"/>
      <c r="I116" s="5380"/>
      <c r="J116" s="5380"/>
      <c r="K116" s="5381"/>
      <c r="L116" s="2"/>
      <c r="M116" s="2"/>
      <c r="N116" s="2"/>
      <c r="O116" s="2"/>
      <c r="P116" s="2"/>
      <c r="Q116" s="2"/>
    </row>
    <row r="117" spans="1:17" s="1" customFormat="1" ht="20.100000000000001" customHeight="1">
      <c r="A117" s="4785"/>
      <c r="B117" s="5360" t="s">
        <v>497</v>
      </c>
      <c r="C117" s="5361"/>
      <c r="D117" s="5361"/>
      <c r="E117" s="5361"/>
      <c r="F117" s="5361"/>
      <c r="G117" s="5361"/>
      <c r="H117" s="5361"/>
      <c r="I117" s="5361"/>
      <c r="J117" s="5361"/>
      <c r="K117" s="5362"/>
      <c r="L117" s="2"/>
      <c r="M117" s="2"/>
      <c r="N117" s="2"/>
      <c r="O117" s="2"/>
      <c r="P117" s="2"/>
      <c r="Q117" s="2"/>
    </row>
    <row r="118" spans="1:17" s="1" customFormat="1" ht="20.100000000000001" customHeight="1">
      <c r="A118" s="4785"/>
      <c r="B118" s="441" t="s">
        <v>55</v>
      </c>
      <c r="C118" s="5363" t="s">
        <v>496</v>
      </c>
      <c r="D118" s="5363"/>
      <c r="E118" s="5363"/>
      <c r="F118" s="5363"/>
      <c r="G118" s="5363"/>
      <c r="H118" s="5363"/>
      <c r="I118" s="5363"/>
      <c r="J118" s="5363"/>
      <c r="K118" s="5364"/>
      <c r="L118" s="2"/>
      <c r="M118" s="2"/>
      <c r="N118" s="2"/>
      <c r="O118" s="2"/>
      <c r="P118" s="2"/>
      <c r="Q118" s="2"/>
    </row>
    <row r="119" spans="1:17" s="1" customFormat="1" ht="20.100000000000001" customHeight="1">
      <c r="A119" s="4785"/>
      <c r="B119" s="5365" t="s">
        <v>44</v>
      </c>
      <c r="C119" s="5366" t="s">
        <v>495</v>
      </c>
      <c r="D119" s="5366"/>
      <c r="E119" s="5366"/>
      <c r="F119" s="5366"/>
      <c r="G119" s="5366"/>
      <c r="H119" s="5366"/>
      <c r="I119" s="5366"/>
      <c r="J119" s="5366"/>
      <c r="K119" s="5367"/>
      <c r="L119" s="2"/>
      <c r="M119" s="2"/>
      <c r="N119" s="2"/>
      <c r="O119" s="2"/>
      <c r="P119" s="2"/>
      <c r="Q119" s="2"/>
    </row>
    <row r="120" spans="1:17" s="1" customFormat="1" ht="20.100000000000001" customHeight="1">
      <c r="A120" s="4785"/>
      <c r="B120" s="5365"/>
      <c r="C120" s="5366"/>
      <c r="D120" s="5366"/>
      <c r="E120" s="5366"/>
      <c r="F120" s="5366"/>
      <c r="G120" s="5366"/>
      <c r="H120" s="5366"/>
      <c r="I120" s="5366"/>
      <c r="J120" s="5366"/>
      <c r="K120" s="5367"/>
      <c r="L120" s="2"/>
      <c r="M120" s="2"/>
      <c r="N120" s="2"/>
      <c r="O120" s="2"/>
      <c r="P120" s="2"/>
      <c r="Q120" s="2"/>
    </row>
    <row r="121" spans="1:17" s="1" customFormat="1" ht="20.100000000000001" customHeight="1">
      <c r="A121" s="4785"/>
      <c r="B121" s="5368"/>
      <c r="C121" s="5369"/>
      <c r="D121" s="5369"/>
      <c r="E121" s="5369"/>
      <c r="F121" s="5369"/>
      <c r="G121" s="5369"/>
      <c r="H121" s="5369"/>
      <c r="I121" s="5369"/>
      <c r="J121" s="5369"/>
      <c r="K121" s="5370"/>
      <c r="L121" s="2"/>
      <c r="M121" s="2"/>
      <c r="N121" s="2"/>
      <c r="O121" s="2"/>
      <c r="P121" s="2"/>
      <c r="Q121" s="2"/>
    </row>
    <row r="122" spans="1:17" s="1" customFormat="1" ht="20.100000000000001" customHeight="1">
      <c r="A122" s="4785"/>
      <c r="B122" s="5371" t="s">
        <v>494</v>
      </c>
      <c r="C122" s="5372"/>
      <c r="D122" s="5372"/>
      <c r="E122" s="5372"/>
      <c r="F122" s="440"/>
      <c r="G122" s="440"/>
      <c r="H122" s="440"/>
      <c r="I122" s="1545" t="s">
        <v>281</v>
      </c>
      <c r="J122" s="439">
        <f>SUM(D123:D124,G123:G124,J123:J124)</f>
        <v>0.47500000000000003</v>
      </c>
      <c r="K122" s="438"/>
      <c r="L122" s="2"/>
      <c r="M122" s="2"/>
      <c r="N122" s="2"/>
      <c r="O122" s="2"/>
      <c r="P122" s="2"/>
      <c r="Q122" s="2"/>
    </row>
    <row r="123" spans="1:17" s="1" customFormat="1" ht="20.100000000000001" customHeight="1">
      <c r="A123" s="4785"/>
      <c r="B123" s="5356" t="s">
        <v>450</v>
      </c>
      <c r="C123" s="5357"/>
      <c r="D123" s="437">
        <v>0.25</v>
      </c>
      <c r="E123" s="5357" t="s">
        <v>493</v>
      </c>
      <c r="F123" s="5357"/>
      <c r="G123" s="437">
        <v>5.0000000000000001E-3</v>
      </c>
      <c r="H123" s="5357" t="s">
        <v>492</v>
      </c>
      <c r="I123" s="5357"/>
      <c r="J123" s="437">
        <v>2.5000000000000001E-2</v>
      </c>
      <c r="K123" s="436"/>
      <c r="L123" s="2"/>
      <c r="M123" s="2"/>
      <c r="N123" s="2"/>
      <c r="O123" s="2"/>
      <c r="P123" s="2"/>
      <c r="Q123" s="2"/>
    </row>
    <row r="124" spans="1:17" s="1" customFormat="1" ht="20.100000000000001" customHeight="1">
      <c r="A124" s="4785"/>
      <c r="B124" s="5358" t="s">
        <v>448</v>
      </c>
      <c r="C124" s="5359"/>
      <c r="D124" s="435">
        <v>0.125</v>
      </c>
      <c r="E124" s="5359" t="s">
        <v>491</v>
      </c>
      <c r="F124" s="5359"/>
      <c r="G124" s="435">
        <v>0.02</v>
      </c>
      <c r="H124" s="5359" t="s">
        <v>278</v>
      </c>
      <c r="I124" s="5359"/>
      <c r="J124" s="435">
        <v>0.05</v>
      </c>
      <c r="K124" s="434"/>
      <c r="L124" s="2"/>
      <c r="M124" s="2"/>
      <c r="N124" s="2"/>
      <c r="O124" s="2"/>
      <c r="P124" s="2"/>
      <c r="Q124" s="2"/>
    </row>
    <row r="125" spans="1:17" s="1" customFormat="1" ht="20.100000000000001" customHeight="1">
      <c r="A125" s="4785"/>
      <c r="B125" s="5336" t="s">
        <v>34</v>
      </c>
      <c r="C125" s="5337"/>
      <c r="D125" s="5337"/>
      <c r="E125" s="5337"/>
      <c r="F125" s="5337"/>
      <c r="G125" s="5337"/>
      <c r="H125" s="5337"/>
      <c r="I125" s="5337"/>
      <c r="J125" s="5337"/>
      <c r="K125" s="5338"/>
      <c r="L125" s="2"/>
      <c r="M125" s="2"/>
      <c r="N125" s="2"/>
      <c r="O125" s="2"/>
      <c r="P125" s="2"/>
      <c r="Q125" s="2"/>
    </row>
    <row r="126" spans="1:17" s="1" customFormat="1" ht="20.100000000000001" customHeight="1" thickBot="1">
      <c r="A126" s="4785"/>
      <c r="B126" s="4805"/>
      <c r="C126" s="4806"/>
      <c r="D126" s="4806"/>
      <c r="E126" s="4806"/>
      <c r="F126" s="4806"/>
      <c r="G126" s="4806"/>
      <c r="H126" s="4806"/>
      <c r="I126" s="4806"/>
      <c r="J126" s="4806"/>
      <c r="K126" s="4807"/>
      <c r="L126" s="2"/>
      <c r="M126" s="2"/>
      <c r="N126" s="2"/>
      <c r="O126" s="2"/>
      <c r="P126" s="2"/>
      <c r="Q126" s="2"/>
    </row>
    <row r="127" spans="1:17" s="1" customFormat="1" ht="20.100000000000001" customHeight="1" thickBot="1">
      <c r="B127" s="2"/>
      <c r="C127" s="2"/>
      <c r="D127" s="2"/>
      <c r="E127" s="356"/>
      <c r="F127" s="356"/>
      <c r="G127" s="2"/>
      <c r="H127" s="2"/>
      <c r="I127" s="2"/>
      <c r="J127" s="2"/>
      <c r="K127" s="2"/>
      <c r="L127" s="2"/>
      <c r="M127" s="2"/>
      <c r="N127" s="2"/>
      <c r="O127" s="2"/>
      <c r="P127" s="2"/>
      <c r="Q127" s="2"/>
    </row>
    <row r="128" spans="1:17" s="1" customFormat="1" ht="20.100000000000001" customHeight="1">
      <c r="A128" s="307" t="s">
        <v>70</v>
      </c>
      <c r="B128" s="5339" t="s">
        <v>490</v>
      </c>
      <c r="C128" s="5339"/>
      <c r="D128" s="5339"/>
      <c r="E128" s="5339"/>
      <c r="F128" s="5339"/>
      <c r="G128" s="5339"/>
      <c r="H128" s="5339"/>
      <c r="I128" s="5339"/>
      <c r="J128" s="5339"/>
      <c r="K128" s="5339"/>
      <c r="L128" s="5339"/>
      <c r="M128" s="5339"/>
      <c r="N128" s="5340"/>
      <c r="O128" s="2"/>
      <c r="P128" s="2"/>
      <c r="Q128" s="2"/>
    </row>
    <row r="129" spans="1:17" s="1" customFormat="1" ht="20.100000000000001" customHeight="1">
      <c r="A129" s="4785" t="str">
        <f>B128</f>
        <v>POIDS DE PATE NECESSAIRE POUR FONCER DES CADRES OU DES BACS GATRO (ici en référence : bacs gastro 1/1 pour Exemple)</v>
      </c>
      <c r="B129" s="5341"/>
      <c r="C129" s="5341"/>
      <c r="D129" s="5341"/>
      <c r="E129" s="5341"/>
      <c r="F129" s="5341"/>
      <c r="G129" s="5341"/>
      <c r="H129" s="5341"/>
      <c r="I129" s="5341"/>
      <c r="J129" s="5341"/>
      <c r="K129" s="5341"/>
      <c r="L129" s="5341"/>
      <c r="M129" s="5341"/>
      <c r="N129" s="5342"/>
      <c r="O129" s="2"/>
      <c r="P129" s="2"/>
      <c r="Q129" s="2"/>
    </row>
    <row r="130" spans="1:17" s="1" customFormat="1" ht="20.100000000000001" customHeight="1">
      <c r="A130" s="4785"/>
      <c r="B130" s="5341"/>
      <c r="C130" s="5341"/>
      <c r="D130" s="5341"/>
      <c r="E130" s="5341"/>
      <c r="F130" s="5341"/>
      <c r="G130" s="5341"/>
      <c r="H130" s="5341"/>
      <c r="I130" s="5341"/>
      <c r="J130" s="5341"/>
      <c r="K130" s="5341"/>
      <c r="L130" s="5341"/>
      <c r="M130" s="5341"/>
      <c r="N130" s="5342"/>
      <c r="O130" s="2"/>
      <c r="P130" s="2"/>
      <c r="Q130" s="2"/>
    </row>
    <row r="131" spans="1:17" s="1" customFormat="1" ht="20.100000000000001" customHeight="1">
      <c r="A131" s="4785"/>
      <c r="B131" s="533" t="str">
        <f>ADDRESS(ROW(),COLUMN(),4)</f>
        <v>B131</v>
      </c>
      <c r="C131" s="534" t="s">
        <v>691</v>
      </c>
      <c r="D131" s="535"/>
      <c r="E131" s="535"/>
      <c r="F131" s="535"/>
      <c r="G131" s="535"/>
      <c r="H131" s="535"/>
      <c r="I131" s="535"/>
      <c r="J131" s="535"/>
      <c r="K131" s="535"/>
      <c r="L131" s="535"/>
      <c r="M131" s="535"/>
      <c r="N131" s="536"/>
      <c r="O131" s="2"/>
      <c r="P131" s="2"/>
      <c r="Q131" s="2"/>
    </row>
    <row r="132" spans="1:17" s="1" customFormat="1" ht="20.100000000000001" customHeight="1">
      <c r="A132" s="4785"/>
      <c r="B132" s="391"/>
      <c r="C132" s="5343" t="s">
        <v>489</v>
      </c>
      <c r="D132" s="5343"/>
      <c r="E132" s="5343"/>
      <c r="F132" s="5343"/>
      <c r="G132" s="5343"/>
      <c r="H132" s="5343"/>
      <c r="I132" s="5343"/>
      <c r="J132" s="5343"/>
      <c r="K132" s="5343"/>
      <c r="L132" s="5343"/>
      <c r="M132" s="5343"/>
      <c r="N132" s="385"/>
      <c r="O132" s="2"/>
      <c r="P132" s="2"/>
      <c r="Q132" s="2"/>
    </row>
    <row r="133" spans="1:17" s="1" customFormat="1" ht="20.100000000000001" customHeight="1">
      <c r="A133" s="4785"/>
      <c r="B133" s="391"/>
      <c r="C133" s="5344" t="s">
        <v>488</v>
      </c>
      <c r="D133" s="5344"/>
      <c r="E133" s="5344"/>
      <c r="F133" s="5344"/>
      <c r="G133" s="5344"/>
      <c r="H133" s="5344"/>
      <c r="I133" s="5344"/>
      <c r="J133" s="5344"/>
      <c r="K133" s="5344"/>
      <c r="L133" s="5344"/>
      <c r="M133" s="5344"/>
      <c r="N133" s="385"/>
      <c r="O133" s="2"/>
      <c r="P133" s="2"/>
      <c r="Q133" s="2"/>
    </row>
    <row r="134" spans="1:17" s="1" customFormat="1" ht="20.100000000000001" customHeight="1">
      <c r="A134" s="4785"/>
      <c r="B134" s="391"/>
      <c r="C134" s="5345" t="s">
        <v>487</v>
      </c>
      <c r="D134" s="5345"/>
      <c r="E134" s="5345"/>
      <c r="F134" s="5345"/>
      <c r="G134" s="5345"/>
      <c r="H134" s="5345"/>
      <c r="I134" s="5345"/>
      <c r="J134" s="5345"/>
      <c r="K134" s="5345"/>
      <c r="L134" s="5345"/>
      <c r="M134" s="5345"/>
      <c r="N134" s="385"/>
      <c r="O134" s="2"/>
      <c r="P134" s="2"/>
      <c r="Q134" s="2"/>
    </row>
    <row r="135" spans="1:17" s="1" customFormat="1" ht="20.100000000000001" customHeight="1" thickBot="1">
      <c r="A135" s="4785"/>
      <c r="B135" s="391"/>
      <c r="C135" s="5346"/>
      <c r="D135" s="5346"/>
      <c r="E135" s="5346"/>
      <c r="F135" s="5346"/>
      <c r="G135" s="5346"/>
      <c r="H135" s="5346"/>
      <c r="I135" s="5346"/>
      <c r="J135" s="5346"/>
      <c r="K135" s="5346"/>
      <c r="L135" s="5346"/>
      <c r="M135" s="5346"/>
      <c r="N135" s="385"/>
      <c r="O135" s="2"/>
      <c r="P135" s="2"/>
      <c r="Q135" s="2"/>
    </row>
    <row r="136" spans="1:17" s="1" customFormat="1" ht="20.100000000000001" customHeight="1">
      <c r="A136" s="4785"/>
      <c r="B136" s="391"/>
      <c r="C136" s="403"/>
      <c r="D136" s="5347" t="s">
        <v>486</v>
      </c>
      <c r="E136" s="5347"/>
      <c r="F136" s="5347"/>
      <c r="G136" s="5347"/>
      <c r="H136" s="5347"/>
      <c r="I136" s="5347"/>
      <c r="J136" s="5347"/>
      <c r="K136" s="5347"/>
      <c r="L136" s="5347"/>
      <c r="M136" s="5347"/>
      <c r="N136" s="385"/>
      <c r="O136" s="2"/>
      <c r="P136" s="2"/>
      <c r="Q136" s="2"/>
    </row>
    <row r="137" spans="1:17" s="1" customFormat="1" ht="20.100000000000001" customHeight="1">
      <c r="A137" s="4785"/>
      <c r="B137" s="391"/>
      <c r="C137" s="5348" t="s">
        <v>485</v>
      </c>
      <c r="D137" s="5349" t="s">
        <v>484</v>
      </c>
      <c r="E137" s="5349" t="s">
        <v>483</v>
      </c>
      <c r="F137" s="5334" t="s">
        <v>482</v>
      </c>
      <c r="G137" s="5334" t="s">
        <v>481</v>
      </c>
      <c r="H137" s="5335" t="s">
        <v>480</v>
      </c>
      <c r="I137" s="5335" t="s">
        <v>479</v>
      </c>
      <c r="J137" s="1541"/>
      <c r="K137" s="1541"/>
      <c r="L137" s="5168" t="s">
        <v>478</v>
      </c>
      <c r="M137" s="5334" t="s">
        <v>477</v>
      </c>
      <c r="N137" s="385"/>
      <c r="O137" s="2"/>
      <c r="P137" s="2"/>
      <c r="Q137" s="2"/>
    </row>
    <row r="138" spans="1:17" s="1" customFormat="1" ht="20.100000000000001" customHeight="1">
      <c r="A138" s="4785"/>
      <c r="B138" s="391"/>
      <c r="C138" s="5348"/>
      <c r="D138" s="5349"/>
      <c r="E138" s="5349"/>
      <c r="F138" s="5334"/>
      <c r="G138" s="5334"/>
      <c r="H138" s="5335"/>
      <c r="I138" s="5335"/>
      <c r="J138" s="1541"/>
      <c r="K138" s="1541"/>
      <c r="L138" s="5168"/>
      <c r="M138" s="5334"/>
      <c r="N138" s="385"/>
      <c r="O138" s="2"/>
      <c r="P138" s="2"/>
      <c r="Q138" s="2"/>
    </row>
    <row r="139" spans="1:17" s="1" customFormat="1" ht="20.100000000000001" customHeight="1">
      <c r="A139" s="4785"/>
      <c r="B139" s="391"/>
      <c r="C139" s="5348"/>
      <c r="D139" s="5349"/>
      <c r="E139" s="5349"/>
      <c r="F139" s="5334"/>
      <c r="G139" s="5334"/>
      <c r="H139" s="5335"/>
      <c r="I139" s="5335"/>
      <c r="J139" s="1541"/>
      <c r="K139" s="1541"/>
      <c r="L139" s="5168"/>
      <c r="M139" s="5334"/>
      <c r="N139" s="385"/>
      <c r="O139" s="2"/>
      <c r="P139" s="2"/>
      <c r="Q139" s="2"/>
    </row>
    <row r="140" spans="1:17" s="1" customFormat="1" ht="20.100000000000001" customHeight="1">
      <c r="A140" s="4785"/>
      <c r="B140" s="391"/>
      <c r="C140" s="433" t="s">
        <v>473</v>
      </c>
      <c r="D140" s="433" t="s">
        <v>473</v>
      </c>
      <c r="E140" s="433" t="s">
        <v>473</v>
      </c>
      <c r="F140" s="433" t="s">
        <v>473</v>
      </c>
      <c r="G140" s="433" t="s">
        <v>473</v>
      </c>
      <c r="H140" s="433" t="s">
        <v>473</v>
      </c>
      <c r="I140" s="433" t="s">
        <v>473</v>
      </c>
      <c r="J140" s="433"/>
      <c r="K140" s="433"/>
      <c r="L140" s="432"/>
      <c r="M140" s="431"/>
      <c r="N140" s="385"/>
      <c r="O140" s="2"/>
      <c r="P140" s="2"/>
      <c r="Q140" s="2"/>
    </row>
    <row r="141" spans="1:17" s="1" customFormat="1" ht="20.100000000000001" customHeight="1">
      <c r="A141" s="4785"/>
      <c r="B141" s="391"/>
      <c r="C141" s="5330">
        <v>1</v>
      </c>
      <c r="D141" s="5331">
        <v>32.5</v>
      </c>
      <c r="E141" s="5331">
        <v>53</v>
      </c>
      <c r="F141" s="5332">
        <v>2.5</v>
      </c>
      <c r="G141" s="5333">
        <v>2.5</v>
      </c>
      <c r="H141" s="5333">
        <v>5</v>
      </c>
      <c r="I141" s="5333">
        <v>5</v>
      </c>
      <c r="J141" s="430"/>
      <c r="K141" s="430"/>
      <c r="L141" s="5355">
        <f>(L148/M153)*M145</f>
        <v>1.7392499999999997</v>
      </c>
      <c r="M141" s="5324">
        <f>(M150/M153)*M145</f>
        <v>1.75</v>
      </c>
      <c r="N141" s="385"/>
      <c r="O141" s="2"/>
      <c r="P141" s="2"/>
      <c r="Q141" s="2"/>
    </row>
    <row r="142" spans="1:17" s="1" customFormat="1" ht="20.100000000000001" customHeight="1">
      <c r="A142" s="4785"/>
      <c r="B142" s="391"/>
      <c r="C142" s="5330"/>
      <c r="D142" s="5331"/>
      <c r="E142" s="5331"/>
      <c r="F142" s="5332"/>
      <c r="G142" s="5333"/>
      <c r="H142" s="5333"/>
      <c r="I142" s="5333"/>
      <c r="J142" s="430"/>
      <c r="K142" s="430"/>
      <c r="L142" s="5355"/>
      <c r="M142" s="5324"/>
      <c r="N142" s="385"/>
      <c r="O142" s="2"/>
      <c r="P142" s="2"/>
      <c r="Q142" s="2"/>
    </row>
    <row r="143" spans="1:17" s="1" customFormat="1" ht="20.100000000000001" customHeight="1">
      <c r="A143" s="4785"/>
      <c r="B143" s="391"/>
      <c r="C143" s="429" t="s">
        <v>55</v>
      </c>
      <c r="D143" s="429" t="s">
        <v>44</v>
      </c>
      <c r="E143" s="429" t="s">
        <v>46</v>
      </c>
      <c r="F143" s="429" t="s">
        <v>461</v>
      </c>
      <c r="G143" s="429" t="s">
        <v>457</v>
      </c>
      <c r="H143" s="429" t="s">
        <v>469</v>
      </c>
      <c r="I143" s="429" t="s">
        <v>464</v>
      </c>
      <c r="J143" s="429"/>
      <c r="K143" s="429"/>
      <c r="L143" s="429" t="s">
        <v>455</v>
      </c>
      <c r="M143" s="429" t="s">
        <v>467</v>
      </c>
      <c r="N143" s="385"/>
      <c r="O143" s="2"/>
      <c r="P143" s="2"/>
      <c r="Q143" s="2"/>
    </row>
    <row r="144" spans="1:17" s="1" customFormat="1" ht="20.100000000000001" customHeight="1">
      <c r="A144" s="4785"/>
      <c r="B144" s="391"/>
      <c r="C144" s="419">
        <f>(D141*E141)*C141</f>
        <v>1722.5</v>
      </c>
      <c r="D144" s="419">
        <f>((D141*F141)*2)*C141+((E141*F141)*2)*C141</f>
        <v>427.5</v>
      </c>
      <c r="E144" s="419">
        <f>((D141*H144)*2)*C141+((E141*H144)*2)*C141</f>
        <v>85.5</v>
      </c>
      <c r="F144" s="419">
        <f>((D141*I144)*2)*C141+((E141*I144)*2)*C141</f>
        <v>85.5</v>
      </c>
      <c r="G144" s="420">
        <f>G141/10</f>
        <v>0.25</v>
      </c>
      <c r="H144" s="420">
        <f>H141/10</f>
        <v>0.5</v>
      </c>
      <c r="I144" s="420">
        <f>I141/10</f>
        <v>0.5</v>
      </c>
      <c r="J144" s="420"/>
      <c r="K144" s="420"/>
      <c r="L144" s="419">
        <f>SUM(C144:F144)</f>
        <v>2321</v>
      </c>
      <c r="M144" s="418">
        <f>(C144*F141)/1000</f>
        <v>4.3062500000000004</v>
      </c>
      <c r="N144" s="385"/>
      <c r="O144" s="2"/>
      <c r="P144" s="2"/>
      <c r="Q144" s="2"/>
    </row>
    <row r="145" spans="1:17" s="1" customFormat="1" ht="20.100000000000001" customHeight="1" thickBot="1">
      <c r="A145" s="4785"/>
      <c r="B145" s="391"/>
      <c r="C145" s="428"/>
      <c r="D145" s="428"/>
      <c r="E145" s="428"/>
      <c r="F145" s="428"/>
      <c r="G145" s="427"/>
      <c r="H145" s="427"/>
      <c r="I145" s="426" t="s">
        <v>476</v>
      </c>
      <c r="J145" s="426"/>
      <c r="K145" s="426"/>
      <c r="L145" s="425" t="s">
        <v>459</v>
      </c>
      <c r="M145" s="424">
        <f>L144*G144</f>
        <v>580.25</v>
      </c>
      <c r="N145" s="385"/>
      <c r="O145" s="2"/>
      <c r="P145" s="2"/>
      <c r="Q145" s="2"/>
    </row>
    <row r="146" spans="1:17" s="1" customFormat="1" ht="20.100000000000001" customHeight="1">
      <c r="A146" s="4785"/>
      <c r="B146" s="391"/>
      <c r="C146" s="403"/>
      <c r="D146" s="5325" t="s">
        <v>475</v>
      </c>
      <c r="E146" s="5325"/>
      <c r="F146" s="5325"/>
      <c r="G146" s="5325"/>
      <c r="H146" s="5325"/>
      <c r="I146" s="5325"/>
      <c r="J146" s="5325"/>
      <c r="K146" s="5325"/>
      <c r="L146" s="5325"/>
      <c r="M146" s="5325"/>
      <c r="N146" s="385"/>
      <c r="O146" s="2"/>
      <c r="P146" s="2"/>
      <c r="Q146" s="2"/>
    </row>
    <row r="147" spans="1:17" s="1" customFormat="1" ht="20.100000000000001" customHeight="1">
      <c r="A147" s="4785"/>
      <c r="B147" s="391"/>
      <c r="C147" s="5326" t="s">
        <v>474</v>
      </c>
      <c r="D147" s="5326"/>
      <c r="E147" s="5326"/>
      <c r="F147" s="5326"/>
      <c r="G147" s="5326"/>
      <c r="H147" s="5326"/>
      <c r="I147" s="5326"/>
      <c r="J147" s="5326"/>
      <c r="K147" s="5326"/>
      <c r="L147" s="5326"/>
      <c r="M147" s="423" t="s">
        <v>473</v>
      </c>
      <c r="N147" s="385"/>
      <c r="O147" s="2"/>
      <c r="P147" s="2"/>
      <c r="Q147" s="2"/>
    </row>
    <row r="148" spans="1:17" s="1" customFormat="1" ht="20.100000000000001" customHeight="1">
      <c r="A148" s="4785"/>
      <c r="B148" s="391"/>
      <c r="C148" s="5327">
        <v>4</v>
      </c>
      <c r="D148" s="5328">
        <v>32.5</v>
      </c>
      <c r="E148" s="5328">
        <v>53</v>
      </c>
      <c r="F148" s="5329">
        <v>2.5</v>
      </c>
      <c r="G148" s="5319">
        <v>2.5</v>
      </c>
      <c r="H148" s="5319">
        <v>5</v>
      </c>
      <c r="I148" s="5319">
        <v>5</v>
      </c>
      <c r="J148" s="1542"/>
      <c r="K148" s="1542"/>
      <c r="L148" s="5320">
        <f>E164</f>
        <v>6.956999999999999</v>
      </c>
      <c r="M148" s="5321">
        <v>7</v>
      </c>
      <c r="N148" s="385"/>
      <c r="O148" s="2"/>
      <c r="P148" s="2"/>
      <c r="Q148" s="2"/>
    </row>
    <row r="149" spans="1:17" s="1" customFormat="1" ht="20.100000000000001" customHeight="1">
      <c r="A149" s="4785"/>
      <c r="B149" s="391"/>
      <c r="C149" s="5327"/>
      <c r="D149" s="5328"/>
      <c r="E149" s="5328"/>
      <c r="F149" s="5329"/>
      <c r="G149" s="5319"/>
      <c r="H149" s="5319"/>
      <c r="I149" s="5319"/>
      <c r="J149" s="1542"/>
      <c r="K149" s="1542"/>
      <c r="L149" s="5320"/>
      <c r="M149" s="5321"/>
      <c r="N149" s="385"/>
      <c r="O149" s="2"/>
      <c r="P149" s="2"/>
      <c r="Q149" s="2"/>
    </row>
    <row r="150" spans="1:17" s="1" customFormat="1" ht="20.100000000000001" customHeight="1">
      <c r="A150" s="4785"/>
      <c r="B150" s="391"/>
      <c r="C150" s="422">
        <f>ROW()-2</f>
        <v>148</v>
      </c>
      <c r="D150" s="5322" t="s">
        <v>472</v>
      </c>
      <c r="E150" s="5322"/>
      <c r="F150" s="5322"/>
      <c r="G150" s="5322"/>
      <c r="H150" s="5322"/>
      <c r="I150" s="5322"/>
      <c r="J150" s="1543"/>
      <c r="K150" s="1543"/>
      <c r="L150" s="417"/>
      <c r="M150" s="421">
        <f>IF(ISBLANK(M148),L148,M148)</f>
        <v>7</v>
      </c>
      <c r="N150" s="385"/>
      <c r="O150" s="2"/>
      <c r="P150" s="2"/>
      <c r="Q150" s="2"/>
    </row>
    <row r="151" spans="1:17" s="1" customFormat="1" ht="20.100000000000001" customHeight="1">
      <c r="A151" s="4785"/>
      <c r="B151" s="391"/>
      <c r="C151" s="415" t="s">
        <v>55</v>
      </c>
      <c r="D151" s="415" t="s">
        <v>44</v>
      </c>
      <c r="E151" s="415" t="s">
        <v>46</v>
      </c>
      <c r="F151" s="415" t="s">
        <v>461</v>
      </c>
      <c r="G151" s="415" t="s">
        <v>457</v>
      </c>
      <c r="H151" s="415" t="s">
        <v>469</v>
      </c>
      <c r="I151" s="415" t="s">
        <v>464</v>
      </c>
      <c r="J151" s="415"/>
      <c r="K151" s="415"/>
      <c r="L151" s="415" t="s">
        <v>455</v>
      </c>
      <c r="M151" s="415" t="s">
        <v>467</v>
      </c>
      <c r="N151" s="385"/>
      <c r="O151" s="2"/>
      <c r="P151" s="2"/>
      <c r="Q151" s="2"/>
    </row>
    <row r="152" spans="1:17" s="1" customFormat="1" ht="20.100000000000001" customHeight="1">
      <c r="A152" s="4785"/>
      <c r="B152" s="391"/>
      <c r="C152" s="419">
        <f>(D148*E148)*C148</f>
        <v>6890</v>
      </c>
      <c r="D152" s="419">
        <f>((D148*F148)*2)*C148+((E148*F148)*2)*C148</f>
        <v>1710</v>
      </c>
      <c r="E152" s="419">
        <f>((D148*H152)*2)*C148+((E148*H152)*2)*C148</f>
        <v>342</v>
      </c>
      <c r="F152" s="419">
        <f>((D148*I152)*2)*C148+((E148*I152)*2)*C148</f>
        <v>342</v>
      </c>
      <c r="G152" s="420">
        <f>G148/10</f>
        <v>0.25</v>
      </c>
      <c r="H152" s="420">
        <f>H148/10</f>
        <v>0.5</v>
      </c>
      <c r="I152" s="420">
        <f>I148/10</f>
        <v>0.5</v>
      </c>
      <c r="J152" s="420"/>
      <c r="K152" s="420"/>
      <c r="L152" s="419">
        <f>SUM(C152:F152)</f>
        <v>9284</v>
      </c>
      <c r="M152" s="418">
        <f>(C152*F148)/1000</f>
        <v>17.225000000000001</v>
      </c>
      <c r="N152" s="385"/>
      <c r="O152" s="2"/>
      <c r="P152" s="2"/>
      <c r="Q152" s="2"/>
    </row>
    <row r="153" spans="1:17" s="1" customFormat="1" ht="20.100000000000001" customHeight="1" thickBot="1">
      <c r="A153" s="4785"/>
      <c r="B153" s="391"/>
      <c r="C153" s="417"/>
      <c r="D153" s="417"/>
      <c r="E153" s="417"/>
      <c r="F153" s="417"/>
      <c r="G153" s="417"/>
      <c r="H153" s="417"/>
      <c r="I153" s="416" t="s">
        <v>471</v>
      </c>
      <c r="J153" s="416"/>
      <c r="K153" s="416"/>
      <c r="L153" s="415" t="s">
        <v>459</v>
      </c>
      <c r="M153" s="414">
        <f>L152*G152</f>
        <v>2321</v>
      </c>
      <c r="N153" s="385"/>
      <c r="O153" s="2"/>
      <c r="P153" s="2"/>
      <c r="Q153" s="2"/>
    </row>
    <row r="154" spans="1:17" s="1" customFormat="1" ht="20.100000000000001" customHeight="1">
      <c r="A154" s="4785"/>
      <c r="B154" s="391"/>
      <c r="C154" s="413"/>
      <c r="D154" s="413"/>
      <c r="E154" s="413"/>
      <c r="F154" s="413"/>
      <c r="G154" s="413"/>
      <c r="H154" s="413"/>
      <c r="I154" s="412"/>
      <c r="J154" s="412"/>
      <c r="K154" s="412"/>
      <c r="L154" s="411"/>
      <c r="M154" s="410"/>
      <c r="N154" s="385"/>
      <c r="O154" s="2"/>
      <c r="P154" s="2"/>
      <c r="Q154" s="2"/>
    </row>
    <row r="155" spans="1:17" s="1" customFormat="1" ht="20.100000000000001" customHeight="1">
      <c r="A155" s="4785"/>
      <c r="B155" s="391"/>
      <c r="C155" s="407" t="s">
        <v>55</v>
      </c>
      <c r="D155" s="406" t="s">
        <v>470</v>
      </c>
      <c r="E155" s="406"/>
      <c r="F155" s="407" t="s">
        <v>469</v>
      </c>
      <c r="G155" s="408" t="s">
        <v>468</v>
      </c>
      <c r="H155" s="388"/>
      <c r="I155" s="407" t="s">
        <v>467</v>
      </c>
      <c r="J155" s="5323" t="s">
        <v>466</v>
      </c>
      <c r="K155" s="5323"/>
      <c r="L155" s="5323"/>
      <c r="M155" s="5323"/>
      <c r="N155" s="385"/>
      <c r="O155" s="2"/>
      <c r="P155" s="2"/>
      <c r="Q155" s="2"/>
    </row>
    <row r="156" spans="1:17" s="1" customFormat="1" ht="20.100000000000001" customHeight="1">
      <c r="A156" s="4785"/>
      <c r="B156" s="391"/>
      <c r="C156" s="407" t="s">
        <v>44</v>
      </c>
      <c r="D156" s="406" t="s">
        <v>465</v>
      </c>
      <c r="E156" s="406"/>
      <c r="F156" s="407" t="s">
        <v>464</v>
      </c>
      <c r="G156" s="406" t="s">
        <v>463</v>
      </c>
      <c r="H156" s="388"/>
      <c r="I156" s="409"/>
      <c r="J156" s="5323"/>
      <c r="K156" s="5323"/>
      <c r="L156" s="5323"/>
      <c r="M156" s="5323"/>
      <c r="N156" s="385"/>
      <c r="O156" s="2"/>
      <c r="P156" s="2"/>
      <c r="Q156" s="2"/>
    </row>
    <row r="157" spans="1:17" s="1" customFormat="1" ht="20.100000000000001" customHeight="1">
      <c r="A157" s="4785"/>
      <c r="B157" s="391"/>
      <c r="C157" s="407" t="s">
        <v>46</v>
      </c>
      <c r="D157" s="406" t="s">
        <v>462</v>
      </c>
      <c r="E157" s="406"/>
      <c r="F157" s="407" t="s">
        <v>461</v>
      </c>
      <c r="G157" s="406" t="s">
        <v>460</v>
      </c>
      <c r="H157" s="388"/>
      <c r="I157" s="407" t="s">
        <v>459</v>
      </c>
      <c r="J157" s="406" t="s">
        <v>458</v>
      </c>
      <c r="K157" s="404"/>
      <c r="L157" s="406"/>
      <c r="M157" s="404"/>
      <c r="N157" s="385"/>
      <c r="O157" s="2"/>
      <c r="P157" s="2"/>
      <c r="Q157" s="2"/>
    </row>
    <row r="158" spans="1:17" s="1" customFormat="1" ht="20.100000000000001" customHeight="1">
      <c r="A158" s="4785"/>
      <c r="B158" s="391"/>
      <c r="C158" s="407" t="s">
        <v>457</v>
      </c>
      <c r="D158" s="406" t="s">
        <v>456</v>
      </c>
      <c r="E158" s="408"/>
      <c r="F158" s="407" t="s">
        <v>455</v>
      </c>
      <c r="G158" s="406" t="s">
        <v>454</v>
      </c>
      <c r="H158" s="388"/>
      <c r="I158" s="388"/>
      <c r="J158" s="388"/>
      <c r="K158" s="388"/>
      <c r="L158" s="405"/>
      <c r="M158" s="404"/>
      <c r="N158" s="385"/>
      <c r="O158" s="2"/>
      <c r="P158" s="2"/>
      <c r="Q158" s="2"/>
    </row>
    <row r="159" spans="1:17" s="1" customFormat="1" ht="20.100000000000001" customHeight="1" thickBot="1">
      <c r="A159" s="4785"/>
      <c r="B159" s="391"/>
      <c r="C159" s="407"/>
      <c r="D159" s="406"/>
      <c r="E159" s="408"/>
      <c r="F159" s="407"/>
      <c r="G159" s="406"/>
      <c r="H159" s="388"/>
      <c r="I159" s="388"/>
      <c r="J159" s="388"/>
      <c r="K159" s="388"/>
      <c r="L159" s="405"/>
      <c r="M159" s="404"/>
      <c r="N159" s="385"/>
      <c r="O159" s="2"/>
      <c r="P159" s="2"/>
      <c r="Q159" s="2"/>
    </row>
    <row r="160" spans="1:17" s="1" customFormat="1" ht="20.100000000000001" customHeight="1">
      <c r="A160" s="4785"/>
      <c r="B160" s="391"/>
      <c r="C160" s="403"/>
      <c r="D160" s="5314" t="s">
        <v>453</v>
      </c>
      <c r="E160" s="5314"/>
      <c r="F160" s="5314"/>
      <c r="G160" s="5314"/>
      <c r="H160" s="5314"/>
      <c r="I160" s="5314"/>
      <c r="J160" s="5314"/>
      <c r="K160" s="5314"/>
      <c r="L160" s="5314"/>
      <c r="M160" s="5314"/>
      <c r="N160" s="385"/>
      <c r="O160" s="2"/>
      <c r="P160" s="2"/>
      <c r="Q160" s="2"/>
    </row>
    <row r="161" spans="1:17" s="1" customFormat="1" ht="20.100000000000001" customHeight="1">
      <c r="A161" s="4785"/>
      <c r="B161" s="391"/>
      <c r="C161" s="5315" t="s">
        <v>452</v>
      </c>
      <c r="D161" s="5315"/>
      <c r="E161" s="5315"/>
      <c r="F161" s="5315"/>
      <c r="G161" s="5315"/>
      <c r="H161" s="5315"/>
      <c r="I161" s="5315"/>
      <c r="J161" s="5315"/>
      <c r="K161" s="5315"/>
      <c r="L161" s="5315"/>
      <c r="M161" s="5315"/>
      <c r="N161" s="385"/>
      <c r="O161" s="2"/>
      <c r="P161" s="2"/>
      <c r="Q161" s="2"/>
    </row>
    <row r="162" spans="1:17" s="1" customFormat="1" ht="20.100000000000001" customHeight="1">
      <c r="A162" s="4785"/>
      <c r="B162" s="391"/>
      <c r="C162" s="5315"/>
      <c r="D162" s="5315"/>
      <c r="E162" s="5315"/>
      <c r="F162" s="5315"/>
      <c r="G162" s="5315"/>
      <c r="H162" s="5315"/>
      <c r="I162" s="5315"/>
      <c r="J162" s="5315"/>
      <c r="K162" s="5315"/>
      <c r="L162" s="5315"/>
      <c r="M162" s="5315"/>
      <c r="N162" s="385"/>
      <c r="O162" s="2"/>
      <c r="P162" s="2"/>
      <c r="Q162" s="2"/>
    </row>
    <row r="163" spans="1:17" s="1" customFormat="1" ht="20.100000000000001" customHeight="1">
      <c r="A163" s="4785"/>
      <c r="B163" s="391"/>
      <c r="C163" s="5316"/>
      <c r="D163" s="5316"/>
      <c r="E163" s="5316"/>
      <c r="F163" s="5316"/>
      <c r="G163" s="5316"/>
      <c r="H163" s="5316"/>
      <c r="I163" s="5316"/>
      <c r="J163" s="5316"/>
      <c r="K163" s="5316"/>
      <c r="L163" s="5316"/>
      <c r="M163" s="5316"/>
      <c r="N163" s="385"/>
      <c r="O163" s="2"/>
      <c r="P163" s="2"/>
      <c r="Q163" s="2"/>
    </row>
    <row r="164" spans="1:17" s="1" customFormat="1" ht="20.100000000000001" customHeight="1">
      <c r="A164" s="4785"/>
      <c r="B164" s="391"/>
      <c r="C164" s="1544"/>
      <c r="D164" s="402" t="s">
        <v>451</v>
      </c>
      <c r="E164" s="401">
        <f>SUM(E165:E167,I165:I167)</f>
        <v>6.956999999999999</v>
      </c>
      <c r="F164" s="1544"/>
      <c r="G164" s="1544"/>
      <c r="H164" s="1544"/>
      <c r="I164" s="1544"/>
      <c r="J164" s="1544"/>
      <c r="K164" s="1544"/>
      <c r="L164" s="1544"/>
      <c r="M164" s="1544"/>
      <c r="N164" s="385"/>
      <c r="O164" s="2"/>
      <c r="P164" s="2"/>
      <c r="Q164" s="2"/>
    </row>
    <row r="165" spans="1:17" s="1" customFormat="1" ht="20.100000000000001" customHeight="1">
      <c r="A165" s="4785"/>
      <c r="B165" s="391"/>
      <c r="C165" s="399"/>
      <c r="D165" s="400" t="s">
        <v>450</v>
      </c>
      <c r="E165" s="397">
        <v>3.5</v>
      </c>
      <c r="F165" s="396"/>
      <c r="G165" s="399"/>
      <c r="H165" s="400" t="s">
        <v>449</v>
      </c>
      <c r="I165" s="397">
        <v>0.55000000000000004</v>
      </c>
      <c r="J165" s="397"/>
      <c r="K165" s="397"/>
      <c r="L165" s="396"/>
      <c r="M165" s="1544"/>
      <c r="N165" s="385"/>
      <c r="O165" s="2"/>
      <c r="P165" s="2"/>
      <c r="Q165" s="2"/>
    </row>
    <row r="166" spans="1:17" s="1" customFormat="1" ht="20.100000000000001" customHeight="1">
      <c r="A166" s="4785"/>
      <c r="B166" s="391"/>
      <c r="C166" s="399"/>
      <c r="D166" s="400" t="s">
        <v>448</v>
      </c>
      <c r="E166" s="397">
        <v>1.6</v>
      </c>
      <c r="F166" s="396"/>
      <c r="G166" s="399"/>
      <c r="H166" s="400" t="s">
        <v>447</v>
      </c>
      <c r="I166" s="397">
        <v>4.4999999999999998E-2</v>
      </c>
      <c r="J166" s="397"/>
      <c r="K166" s="397"/>
      <c r="L166" s="396"/>
      <c r="M166" s="1544"/>
      <c r="N166" s="385"/>
      <c r="O166" s="2"/>
      <c r="P166" s="2"/>
      <c r="Q166" s="2"/>
    </row>
    <row r="167" spans="1:17" s="1" customFormat="1" ht="20.100000000000001" customHeight="1">
      <c r="A167" s="4785"/>
      <c r="B167" s="391"/>
      <c r="C167" s="399"/>
      <c r="D167" s="400" t="s">
        <v>446</v>
      </c>
      <c r="E167" s="397">
        <v>1.25</v>
      </c>
      <c r="F167" s="396"/>
      <c r="G167" s="399"/>
      <c r="H167" s="398" t="s">
        <v>445</v>
      </c>
      <c r="I167" s="397">
        <v>1.2E-2</v>
      </c>
      <c r="J167" s="397"/>
      <c r="K167" s="397"/>
      <c r="L167" s="396"/>
      <c r="M167" s="1544"/>
      <c r="N167" s="385"/>
      <c r="O167" s="2"/>
      <c r="P167" s="2"/>
      <c r="Q167" s="2"/>
    </row>
    <row r="168" spans="1:17" s="1" customFormat="1" ht="20.100000000000001" customHeight="1">
      <c r="A168" s="4785"/>
      <c r="B168" s="391"/>
      <c r="C168" s="395" t="s">
        <v>444</v>
      </c>
      <c r="D168" s="1544"/>
      <c r="E168" s="1544"/>
      <c r="F168" s="1544"/>
      <c r="G168" s="1544"/>
      <c r="H168" s="1544"/>
      <c r="I168" s="1544"/>
      <c r="J168" s="1544"/>
      <c r="K168" s="1544"/>
      <c r="L168" s="1544"/>
      <c r="M168" s="1544"/>
      <c r="N168" s="385"/>
      <c r="O168" s="2"/>
      <c r="P168" s="2"/>
      <c r="Q168" s="2"/>
    </row>
    <row r="169" spans="1:17" s="1" customFormat="1" ht="20.100000000000001" customHeight="1">
      <c r="A169" s="4785"/>
      <c r="B169" s="391"/>
      <c r="C169" s="5317" t="s">
        <v>443</v>
      </c>
      <c r="D169" s="5317"/>
      <c r="E169" s="5317"/>
      <c r="F169" s="5317"/>
      <c r="G169" s="5317"/>
      <c r="H169" s="5317"/>
      <c r="I169" s="5317"/>
      <c r="J169" s="5317"/>
      <c r="K169" s="5317"/>
      <c r="L169" s="5317"/>
      <c r="M169" s="5317"/>
      <c r="N169" s="385"/>
      <c r="O169" s="2"/>
      <c r="P169" s="2"/>
      <c r="Q169" s="2"/>
    </row>
    <row r="170" spans="1:17" s="1" customFormat="1" ht="20.100000000000001" customHeight="1">
      <c r="A170" s="4785"/>
      <c r="B170" s="391"/>
      <c r="C170" s="5317"/>
      <c r="D170" s="5317"/>
      <c r="E170" s="5317"/>
      <c r="F170" s="5317"/>
      <c r="G170" s="5317"/>
      <c r="H170" s="5317"/>
      <c r="I170" s="5317"/>
      <c r="J170" s="5317"/>
      <c r="K170" s="5317"/>
      <c r="L170" s="5317"/>
      <c r="M170" s="5317"/>
      <c r="N170" s="385"/>
      <c r="O170" s="2"/>
      <c r="P170" s="2"/>
      <c r="Q170" s="2"/>
    </row>
    <row r="171" spans="1:17" s="1" customFormat="1" ht="20.100000000000001" customHeight="1">
      <c r="A171" s="4785"/>
      <c r="B171" s="391"/>
      <c r="C171" s="395" t="s">
        <v>442</v>
      </c>
      <c r="D171" s="1544"/>
      <c r="E171" s="1544"/>
      <c r="F171" s="1544"/>
      <c r="G171" s="1544"/>
      <c r="H171" s="1544"/>
      <c r="I171" s="1544"/>
      <c r="J171" s="1544"/>
      <c r="K171" s="1544"/>
      <c r="L171" s="1544"/>
      <c r="M171" s="1544"/>
      <c r="N171" s="385"/>
      <c r="O171" s="2"/>
      <c r="P171" s="2"/>
      <c r="Q171" s="2"/>
    </row>
    <row r="172" spans="1:17" s="1" customFormat="1" ht="20.100000000000001" customHeight="1">
      <c r="A172" s="4785"/>
      <c r="B172" s="391"/>
      <c r="C172" s="394" t="s">
        <v>441</v>
      </c>
      <c r="D172" s="1544"/>
      <c r="E172" s="1544"/>
      <c r="F172" s="1544"/>
      <c r="G172" s="1544"/>
      <c r="H172" s="1544"/>
      <c r="I172" s="1544"/>
      <c r="J172" s="1544"/>
      <c r="K172" s="1544"/>
      <c r="L172" s="1544"/>
      <c r="M172" s="1544"/>
      <c r="N172" s="385"/>
      <c r="O172" s="2"/>
      <c r="P172" s="2"/>
      <c r="Q172" s="2"/>
    </row>
    <row r="173" spans="1:17" s="1" customFormat="1" ht="20.100000000000001" customHeight="1">
      <c r="A173" s="4785"/>
      <c r="B173" s="391"/>
      <c r="C173" s="393" t="s">
        <v>440</v>
      </c>
      <c r="D173" s="1544"/>
      <c r="E173" s="1544"/>
      <c r="F173" s="393" t="s">
        <v>439</v>
      </c>
      <c r="G173" s="1544"/>
      <c r="H173" s="393" t="s">
        <v>438</v>
      </c>
      <c r="I173" s="1544"/>
      <c r="J173" s="1544"/>
      <c r="K173" s="1544"/>
      <c r="L173" s="1544"/>
      <c r="M173" s="1544"/>
      <c r="N173" s="385"/>
      <c r="O173" s="2"/>
      <c r="P173" s="2"/>
      <c r="Q173" s="2"/>
    </row>
    <row r="174" spans="1:17" s="1" customFormat="1" ht="20.100000000000001" customHeight="1">
      <c r="A174" s="4785"/>
      <c r="B174" s="391"/>
      <c r="C174" s="393" t="s">
        <v>437</v>
      </c>
      <c r="D174" s="392" t="s">
        <v>436</v>
      </c>
      <c r="E174" s="1544"/>
      <c r="F174" s="1544"/>
      <c r="G174" s="1544"/>
      <c r="H174" s="1544"/>
      <c r="I174" s="1544"/>
      <c r="J174" s="1544"/>
      <c r="K174" s="1544"/>
      <c r="L174" s="1544"/>
      <c r="M174" s="1544"/>
      <c r="N174" s="385"/>
      <c r="O174" s="2"/>
      <c r="P174" s="2"/>
      <c r="Q174" s="2"/>
    </row>
    <row r="175" spans="1:17" s="1" customFormat="1" ht="20.100000000000001" customHeight="1">
      <c r="A175" s="4785"/>
      <c r="B175" s="391"/>
      <c r="C175" s="1544"/>
      <c r="D175" s="1544"/>
      <c r="E175" s="1544"/>
      <c r="F175" s="1544"/>
      <c r="G175" s="1544"/>
      <c r="H175" s="1544"/>
      <c r="I175" s="1544"/>
      <c r="J175" s="1544"/>
      <c r="K175" s="1544"/>
      <c r="L175" s="1544"/>
      <c r="M175" s="1544"/>
      <c r="N175" s="385"/>
      <c r="O175" s="2"/>
      <c r="P175" s="2"/>
      <c r="Q175" s="2"/>
    </row>
    <row r="176" spans="1:17" s="1" customFormat="1" ht="20.100000000000001" customHeight="1">
      <c r="A176" s="4785"/>
      <c r="B176" s="391"/>
      <c r="C176" s="5318" t="s">
        <v>34</v>
      </c>
      <c r="D176" s="5318"/>
      <c r="E176" s="5318"/>
      <c r="F176" s="5318"/>
      <c r="G176" s="5318"/>
      <c r="H176" s="5318"/>
      <c r="I176" s="5318"/>
      <c r="J176" s="5318"/>
      <c r="K176" s="5318"/>
      <c r="L176" s="5318"/>
      <c r="M176" s="5318"/>
      <c r="N176" s="385"/>
      <c r="O176" s="2"/>
      <c r="P176" s="2"/>
      <c r="Q176" s="2"/>
    </row>
    <row r="177" spans="1:17" s="1" customFormat="1" ht="20.100000000000001" customHeight="1" thickBot="1">
      <c r="A177" s="4785"/>
      <c r="B177" s="390"/>
      <c r="C177" s="4806"/>
      <c r="D177" s="4806"/>
      <c r="E177" s="4806"/>
      <c r="F177" s="4806"/>
      <c r="G177" s="4806"/>
      <c r="H177" s="4806"/>
      <c r="I177" s="4806"/>
      <c r="J177" s="4806"/>
      <c r="K177" s="4806"/>
      <c r="L177" s="4806"/>
      <c r="M177" s="4806"/>
      <c r="N177" s="382"/>
      <c r="O177" s="2"/>
      <c r="P177" s="2"/>
      <c r="Q177" s="2"/>
    </row>
  </sheetData>
  <mergeCells count="218">
    <mergeCell ref="B2:Q2"/>
    <mergeCell ref="C4:F4"/>
    <mergeCell ref="K4:L4"/>
    <mergeCell ref="B25:Q26"/>
    <mergeCell ref="B28:G29"/>
    <mergeCell ref="J28:O29"/>
    <mergeCell ref="L34:L35"/>
    <mergeCell ref="M34:M35"/>
    <mergeCell ref="N34:O34"/>
    <mergeCell ref="N35:O35"/>
    <mergeCell ref="B40:B41"/>
    <mergeCell ref="C40:C41"/>
    <mergeCell ref="J40:J41"/>
    <mergeCell ref="K40:K41"/>
    <mergeCell ref="L40:L41"/>
    <mergeCell ref="N40:O40"/>
    <mergeCell ref="I29:I53"/>
    <mergeCell ref="B34:B35"/>
    <mergeCell ref="C34:C35"/>
    <mergeCell ref="J34:J35"/>
    <mergeCell ref="K34:K35"/>
    <mergeCell ref="B49:G49"/>
    <mergeCell ref="J49:O49"/>
    <mergeCell ref="B50:G50"/>
    <mergeCell ref="J50:O50"/>
    <mergeCell ref="A56:A66"/>
    <mergeCell ref="I56:I66"/>
    <mergeCell ref="B58:B59"/>
    <mergeCell ref="C58:C59"/>
    <mergeCell ref="D58:D59"/>
    <mergeCell ref="E58:E59"/>
    <mergeCell ref="N41:O41"/>
    <mergeCell ref="B46:B47"/>
    <mergeCell ref="C46:C47"/>
    <mergeCell ref="J46:J47"/>
    <mergeCell ref="K46:K47"/>
    <mergeCell ref="L46:L47"/>
    <mergeCell ref="N46:O46"/>
    <mergeCell ref="N47:O47"/>
    <mergeCell ref="A29:A53"/>
    <mergeCell ref="F58:G59"/>
    <mergeCell ref="J58:J59"/>
    <mergeCell ref="K58:K59"/>
    <mergeCell ref="L58:L59"/>
    <mergeCell ref="M58:M59"/>
    <mergeCell ref="N58:O59"/>
    <mergeCell ref="B52:G53"/>
    <mergeCell ref="J52:O53"/>
    <mergeCell ref="B55:G56"/>
    <mergeCell ref="J55:O56"/>
    <mergeCell ref="B62:G62"/>
    <mergeCell ref="J62:O62"/>
    <mergeCell ref="B63:G63"/>
    <mergeCell ref="J63:O63"/>
    <mergeCell ref="B65:G66"/>
    <mergeCell ref="J65:O66"/>
    <mergeCell ref="K60:K61"/>
    <mergeCell ref="L60:L61"/>
    <mergeCell ref="M60:M61"/>
    <mergeCell ref="N60:O60"/>
    <mergeCell ref="F61:G61"/>
    <mergeCell ref="N61:O61"/>
    <mergeCell ref="B60:B61"/>
    <mergeCell ref="C60:C61"/>
    <mergeCell ref="D60:D61"/>
    <mergeCell ref="E60:E61"/>
    <mergeCell ref="F60:G60"/>
    <mergeCell ref="J60:J61"/>
    <mergeCell ref="G72:G73"/>
    <mergeCell ref="H72:H73"/>
    <mergeCell ref="B75:H75"/>
    <mergeCell ref="B76:H77"/>
    <mergeCell ref="B79:G80"/>
    <mergeCell ref="J79:O80"/>
    <mergeCell ref="B68:H68"/>
    <mergeCell ref="A69:A77"/>
    <mergeCell ref="B70:B73"/>
    <mergeCell ref="C70:C73"/>
    <mergeCell ref="D70:E71"/>
    <mergeCell ref="F70:F71"/>
    <mergeCell ref="G70:G71"/>
    <mergeCell ref="H70:H71"/>
    <mergeCell ref="D72:E73"/>
    <mergeCell ref="F72:F73"/>
    <mergeCell ref="J84:J85"/>
    <mergeCell ref="K84:K85"/>
    <mergeCell ref="L84:L85"/>
    <mergeCell ref="M84:M85"/>
    <mergeCell ref="N84:N85"/>
    <mergeCell ref="O84:O85"/>
    <mergeCell ref="A80:A104"/>
    <mergeCell ref="I80:I97"/>
    <mergeCell ref="B82:G83"/>
    <mergeCell ref="J82:O83"/>
    <mergeCell ref="B84:B85"/>
    <mergeCell ref="C84:C85"/>
    <mergeCell ref="D84:D85"/>
    <mergeCell ref="E84:E85"/>
    <mergeCell ref="F84:F85"/>
    <mergeCell ref="G84:G85"/>
    <mergeCell ref="J86:J87"/>
    <mergeCell ref="K86:K87"/>
    <mergeCell ref="L86:L87"/>
    <mergeCell ref="M86:M87"/>
    <mergeCell ref="N86:N87"/>
    <mergeCell ref="O86:O87"/>
    <mergeCell ref="B86:B87"/>
    <mergeCell ref="C86:C87"/>
    <mergeCell ref="D86:D87"/>
    <mergeCell ref="E86:E87"/>
    <mergeCell ref="F86:F87"/>
    <mergeCell ref="G86:G87"/>
    <mergeCell ref="J88:O89"/>
    <mergeCell ref="B89:G90"/>
    <mergeCell ref="J90:J91"/>
    <mergeCell ref="K90:K91"/>
    <mergeCell ref="L90:L91"/>
    <mergeCell ref="M90:M91"/>
    <mergeCell ref="N90:N91"/>
    <mergeCell ref="O90:O91"/>
    <mergeCell ref="B91:B92"/>
    <mergeCell ref="C91:C92"/>
    <mergeCell ref="J96:O97"/>
    <mergeCell ref="B98:G100"/>
    <mergeCell ref="B101:G101"/>
    <mergeCell ref="C102:G102"/>
    <mergeCell ref="B103:G104"/>
    <mergeCell ref="B106:K107"/>
    <mergeCell ref="L92:L93"/>
    <mergeCell ref="M92:M93"/>
    <mergeCell ref="N92:N93"/>
    <mergeCell ref="O92:O93"/>
    <mergeCell ref="B94:B95"/>
    <mergeCell ref="C94:C95"/>
    <mergeCell ref="D94:D95"/>
    <mergeCell ref="E94:E95"/>
    <mergeCell ref="F94:F95"/>
    <mergeCell ref="G94:G95"/>
    <mergeCell ref="D91:D92"/>
    <mergeCell ref="E91:E92"/>
    <mergeCell ref="F91:F92"/>
    <mergeCell ref="G91:G92"/>
    <mergeCell ref="J92:J93"/>
    <mergeCell ref="K92:K93"/>
    <mergeCell ref="I111:J112"/>
    <mergeCell ref="K111:K112"/>
    <mergeCell ref="B114:K114"/>
    <mergeCell ref="B115:B116"/>
    <mergeCell ref="C115:D116"/>
    <mergeCell ref="E115:F116"/>
    <mergeCell ref="G115:H116"/>
    <mergeCell ref="I115:J116"/>
    <mergeCell ref="K115:K116"/>
    <mergeCell ref="B111:B112"/>
    <mergeCell ref="C111:D112"/>
    <mergeCell ref="E111:F112"/>
    <mergeCell ref="G111:H112"/>
    <mergeCell ref="B123:C123"/>
    <mergeCell ref="E123:F123"/>
    <mergeCell ref="H123:I123"/>
    <mergeCell ref="B124:C124"/>
    <mergeCell ref="E124:F124"/>
    <mergeCell ref="H124:I124"/>
    <mergeCell ref="B117:K117"/>
    <mergeCell ref="C118:K118"/>
    <mergeCell ref="B119:B120"/>
    <mergeCell ref="C119:K120"/>
    <mergeCell ref="B121:K121"/>
    <mergeCell ref="B122:E122"/>
    <mergeCell ref="F137:F139"/>
    <mergeCell ref="G137:G139"/>
    <mergeCell ref="H137:H139"/>
    <mergeCell ref="I137:I139"/>
    <mergeCell ref="L137:L139"/>
    <mergeCell ref="M137:M139"/>
    <mergeCell ref="B125:K126"/>
    <mergeCell ref="B128:N130"/>
    <mergeCell ref="A129:A177"/>
    <mergeCell ref="C132:M132"/>
    <mergeCell ref="C133:M133"/>
    <mergeCell ref="C134:M135"/>
    <mergeCell ref="D136:M136"/>
    <mergeCell ref="C137:C139"/>
    <mergeCell ref="D137:D139"/>
    <mergeCell ref="E137:E139"/>
    <mergeCell ref="A107:A126"/>
    <mergeCell ref="B109:K109"/>
    <mergeCell ref="C110:D110"/>
    <mergeCell ref="E110:F110"/>
    <mergeCell ref="G110:H110"/>
    <mergeCell ref="I110:J110"/>
    <mergeCell ref="I141:I142"/>
    <mergeCell ref="L141:L142"/>
    <mergeCell ref="M141:M142"/>
    <mergeCell ref="D146:M146"/>
    <mergeCell ref="C147:L147"/>
    <mergeCell ref="C148:C149"/>
    <mergeCell ref="D148:D149"/>
    <mergeCell ref="E148:E149"/>
    <mergeCell ref="F148:F149"/>
    <mergeCell ref="G148:G149"/>
    <mergeCell ref="C141:C142"/>
    <mergeCell ref="D141:D142"/>
    <mergeCell ref="E141:E142"/>
    <mergeCell ref="F141:F142"/>
    <mergeCell ref="G141:G142"/>
    <mergeCell ref="H141:H142"/>
    <mergeCell ref="D160:M160"/>
    <mergeCell ref="C161:M163"/>
    <mergeCell ref="C169:M170"/>
    <mergeCell ref="C176:M177"/>
    <mergeCell ref="H148:H149"/>
    <mergeCell ref="I148:I149"/>
    <mergeCell ref="L148:L149"/>
    <mergeCell ref="M148:M149"/>
    <mergeCell ref="D150:I150"/>
    <mergeCell ref="J155:K156"/>
    <mergeCell ref="L155:M156"/>
  </mergeCells>
  <conditionalFormatting sqref="A28">
    <cfRule type="expression" dxfId="73" priority="11" stopIfTrue="1">
      <formula>OR(ROW()=CELL("ligne"),COLUMN()=CELL("colonne"))</formula>
    </cfRule>
  </conditionalFormatting>
  <conditionalFormatting sqref="I28">
    <cfRule type="expression" dxfId="72" priority="10" stopIfTrue="1">
      <formula>OR(ROW()=CELL("ligne"),COLUMN()=CELL("colonne"))</formula>
    </cfRule>
  </conditionalFormatting>
  <conditionalFormatting sqref="I55">
    <cfRule type="expression" dxfId="71" priority="8" stopIfTrue="1">
      <formula>OR(ROW()=CELL("ligne"),COLUMN()=CELL("colonne"))</formula>
    </cfRule>
  </conditionalFormatting>
  <conditionalFormatting sqref="A55">
    <cfRule type="expression" dxfId="70" priority="9" stopIfTrue="1">
      <formula>OR(ROW()=CELL("ligne"),COLUMN()=CELL("colonne"))</formula>
    </cfRule>
  </conditionalFormatting>
  <conditionalFormatting sqref="A68">
    <cfRule type="expression" dxfId="69" priority="7" stopIfTrue="1">
      <formula>OR(ROW()=CELL("ligne"),COLUMN()=CELL("colonne"))</formula>
    </cfRule>
  </conditionalFormatting>
  <conditionalFormatting sqref="A79">
    <cfRule type="expression" dxfId="68" priority="6" stopIfTrue="1">
      <formula>OR(ROW()=CELL("ligne"),COLUMN()=CELL("colonne"))</formula>
    </cfRule>
  </conditionalFormatting>
  <conditionalFormatting sqref="I79">
    <cfRule type="expression" dxfId="67" priority="5" stopIfTrue="1">
      <formula>OR(ROW()=CELL("ligne"),COLUMN()=CELL("colonne"))</formula>
    </cfRule>
  </conditionalFormatting>
  <conditionalFormatting sqref="C111">
    <cfRule type="cellIs" dxfId="66" priority="4" operator="greaterThan">
      <formula>1</formula>
    </cfRule>
  </conditionalFormatting>
  <conditionalFormatting sqref="A106">
    <cfRule type="expression" dxfId="65" priority="3" stopIfTrue="1">
      <formula>OR(ROW()=CELL("ligne"),COLUMN()=CELL("colonne"))</formula>
    </cfRule>
  </conditionalFormatting>
  <conditionalFormatting sqref="A128">
    <cfRule type="expression" dxfId="64" priority="2" stopIfTrue="1">
      <formula>OR(ROW()=CELL("ligne"),COLUMN()=CELL("colonne"))</formula>
    </cfRule>
  </conditionalFormatting>
  <conditionalFormatting sqref="A25">
    <cfRule type="expression" dxfId="63" priority="1" stopIfTrue="1">
      <formula>OR(ROW()=CELL("ligne"),COLUMN()=CELL("colonne"))</formula>
    </cfRule>
  </conditionalFormatting>
  <hyperlinks>
    <hyperlink ref="K95" r:id="rId1" xr:uid="{00000000-0004-0000-0400-000000000000}"/>
    <hyperlink ref="C102" r:id="rId2" xr:uid="{00000000-0004-0000-0400-000001000000}"/>
    <hyperlink ref="D174" r:id="rId3" xr:uid="{00000000-0004-0000-0400-000002000000}"/>
    <hyperlink ref="C4" r:id="rId4" display="http://www.uprt.fr/mesimages/fichiers-uprt/ff-fiches-fabrication/ff-fiches-fabrication-maj-02-2015/ff-documents-divers-maj-02-2015/ff-fiches-apprentis-Patissiers-07-03-2016.xlsx" xr:uid="{00000000-0004-0000-0400-000003000000}"/>
    <hyperlink ref="K4" r:id="rId5" display="http://www.uprt.fr/mesimages/fichiers-uprt/ff-fiches-fabrication/ff-fiches-fabrication-maj-02-2015/ff-documents-divers-maj-02-2015/ff-Croquis.xlsx" xr:uid="{00000000-0004-0000-0400-000004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U64"/>
  <sheetViews>
    <sheetView zoomScaleNormal="100" workbookViewId="0">
      <selection activeCell="R25" sqref="R25"/>
    </sheetView>
  </sheetViews>
  <sheetFormatPr baseColWidth="10" defaultRowHeight="15.75"/>
  <sheetData>
    <row r="2" spans="1:17" s="1" customFormat="1" ht="33">
      <c r="A2" s="635">
        <f>(ROW())</f>
        <v>2</v>
      </c>
      <c r="B2" s="5298" t="s">
        <v>546</v>
      </c>
      <c r="C2" s="5298"/>
      <c r="D2" s="5298"/>
      <c r="E2" s="5298"/>
      <c r="F2" s="5298"/>
      <c r="G2" s="5298"/>
      <c r="H2" s="5298"/>
      <c r="I2" s="5298"/>
      <c r="J2" s="5298"/>
      <c r="K2" s="5298"/>
      <c r="L2" s="5298"/>
      <c r="M2" s="5298"/>
      <c r="N2" s="5298"/>
      <c r="O2" s="5298"/>
      <c r="P2" s="5298"/>
      <c r="Q2" s="5298"/>
    </row>
    <row r="3" spans="1:17" s="1" customFormat="1" ht="15">
      <c r="A3" s="2"/>
      <c r="B3" s="3"/>
      <c r="C3" s="376"/>
      <c r="D3" s="376"/>
      <c r="E3" s="376"/>
      <c r="F3" s="376"/>
      <c r="G3" s="376"/>
      <c r="H3" s="376"/>
      <c r="I3" s="376"/>
      <c r="J3" s="121"/>
      <c r="K3" s="3"/>
      <c r="L3" s="3"/>
      <c r="M3" s="2"/>
      <c r="N3" s="2"/>
      <c r="O3" s="2"/>
      <c r="P3" s="2"/>
      <c r="Q3" s="2"/>
    </row>
    <row r="4" spans="1:17" s="1" customFormat="1" ht="27" customHeight="1">
      <c r="A4" s="1173" t="s">
        <v>70</v>
      </c>
      <c r="B4" s="5299" t="s">
        <v>1520</v>
      </c>
      <c r="C4" s="5299"/>
      <c r="D4" s="5299"/>
      <c r="E4" s="5299"/>
      <c r="F4" s="5299"/>
      <c r="G4" s="5299"/>
      <c r="H4" s="5299"/>
      <c r="I4" s="5299"/>
      <c r="J4" s="5299"/>
      <c r="K4" s="5299"/>
      <c r="L4" s="5299"/>
      <c r="M4" s="5299"/>
      <c r="N4" s="5299"/>
      <c r="O4" s="5299"/>
      <c r="P4" s="5299"/>
      <c r="Q4" s="5299"/>
    </row>
    <row r="5" spans="1:17" s="1" customFormat="1" ht="27" customHeight="1">
      <c r="A5" s="1191"/>
      <c r="B5" s="5299"/>
      <c r="C5" s="5299"/>
      <c r="D5" s="5299"/>
      <c r="E5" s="5299"/>
      <c r="F5" s="5299"/>
      <c r="G5" s="5299"/>
      <c r="H5" s="5299"/>
      <c r="I5" s="5299"/>
      <c r="J5" s="5299"/>
      <c r="K5" s="5299"/>
      <c r="L5" s="5299"/>
      <c r="M5" s="5299"/>
      <c r="N5" s="5299"/>
      <c r="O5" s="5299"/>
      <c r="P5" s="5299"/>
      <c r="Q5" s="5299"/>
    </row>
    <row r="6" spans="1:17" s="1" customFormat="1" ht="15">
      <c r="A6" s="2"/>
      <c r="B6" s="3"/>
      <c r="C6" s="376"/>
      <c r="D6" s="376"/>
      <c r="E6" s="376"/>
      <c r="F6" s="376"/>
      <c r="G6" s="376"/>
      <c r="H6" s="376"/>
      <c r="I6" s="376"/>
      <c r="J6" s="121"/>
      <c r="K6" s="3"/>
      <c r="L6" s="3"/>
      <c r="M6" s="2"/>
      <c r="N6" s="2"/>
      <c r="O6" s="2"/>
      <c r="P6" s="2"/>
      <c r="Q6" s="2"/>
    </row>
    <row r="7" spans="1:17" s="1" customFormat="1" ht="15" customHeight="1">
      <c r="A7" s="2"/>
      <c r="B7" s="1174" t="s">
        <v>696</v>
      </c>
      <c r="C7" s="1174"/>
      <c r="D7" s="376"/>
      <c r="E7" s="376"/>
      <c r="F7" s="2"/>
      <c r="G7" s="2"/>
      <c r="H7" s="469"/>
      <c r="I7" s="469"/>
      <c r="J7" s="1174" t="s">
        <v>987</v>
      </c>
      <c r="K7" s="1174"/>
      <c r="L7" s="3"/>
      <c r="M7" s="2"/>
      <c r="N7" s="2"/>
      <c r="O7" s="2"/>
      <c r="P7" s="2"/>
      <c r="Q7" s="2"/>
    </row>
    <row r="8" spans="1:17" s="1" customFormat="1" ht="15" customHeight="1">
      <c r="A8" s="2"/>
      <c r="B8" s="4607" t="str">
        <f>B18</f>
        <v>B18</v>
      </c>
      <c r="C8" s="661" t="s">
        <v>691</v>
      </c>
      <c r="D8" s="376"/>
      <c r="E8" s="376"/>
      <c r="F8" s="2"/>
      <c r="G8" s="2"/>
      <c r="H8" s="469"/>
      <c r="I8" s="469"/>
      <c r="J8" s="4607" t="str">
        <f>M30</f>
        <v>M30</v>
      </c>
      <c r="K8" s="661" t="s">
        <v>691</v>
      </c>
      <c r="L8" s="3"/>
      <c r="M8" s="2"/>
      <c r="N8" s="2"/>
      <c r="O8" s="2"/>
      <c r="P8" s="2"/>
      <c r="Q8" s="2"/>
    </row>
    <row r="9" spans="1:17" s="1" customFormat="1" ht="15" customHeight="1">
      <c r="A9" s="2"/>
      <c r="B9" s="1178"/>
      <c r="C9" s="376"/>
      <c r="D9" s="376"/>
      <c r="E9" s="376"/>
      <c r="F9" s="2"/>
      <c r="G9" s="2"/>
      <c r="H9" s="469"/>
      <c r="I9" s="469"/>
      <c r="J9" s="1178"/>
      <c r="K9" s="376"/>
      <c r="L9" s="3"/>
      <c r="M9" s="2"/>
      <c r="N9" s="2"/>
      <c r="O9" s="2"/>
      <c r="P9" s="2"/>
      <c r="Q9" s="2"/>
    </row>
    <row r="10" spans="1:17" s="1" customFormat="1" ht="15" customHeight="1">
      <c r="A10" s="2"/>
      <c r="B10" s="1174" t="s">
        <v>697</v>
      </c>
      <c r="C10" s="1174"/>
      <c r="D10" s="376"/>
      <c r="E10" s="376"/>
      <c r="F10" s="2"/>
      <c r="G10" s="2"/>
      <c r="H10" s="469"/>
      <c r="I10" s="469"/>
      <c r="J10" s="1174" t="s">
        <v>546</v>
      </c>
      <c r="K10" s="1174"/>
      <c r="L10" s="3"/>
      <c r="M10" s="2"/>
      <c r="N10" s="2"/>
      <c r="O10" s="2"/>
      <c r="P10" s="2"/>
      <c r="Q10" s="2"/>
    </row>
    <row r="11" spans="1:17" s="1" customFormat="1" ht="15" customHeight="1">
      <c r="A11" s="2"/>
      <c r="B11" s="4607" t="str">
        <f>J18</f>
        <v>J18</v>
      </c>
      <c r="C11" s="661" t="s">
        <v>691</v>
      </c>
      <c r="D11" s="376"/>
      <c r="E11" s="376"/>
      <c r="F11" s="2"/>
      <c r="G11" s="2"/>
      <c r="H11" s="469"/>
      <c r="I11" s="469"/>
      <c r="J11" s="4607" t="str">
        <f>B53</f>
        <v>B53</v>
      </c>
      <c r="K11" s="661" t="s">
        <v>691</v>
      </c>
      <c r="L11" s="3"/>
      <c r="M11" s="2"/>
      <c r="N11" s="2"/>
      <c r="O11" s="2"/>
      <c r="P11" s="2"/>
      <c r="Q11" s="2"/>
    </row>
    <row r="12" spans="1:17" s="1" customFormat="1" ht="15" customHeight="1">
      <c r="A12" s="2"/>
      <c r="B12" s="1178"/>
      <c r="C12" s="376"/>
      <c r="D12" s="376"/>
      <c r="E12" s="376"/>
      <c r="F12" s="2"/>
      <c r="G12" s="2"/>
      <c r="H12" s="469"/>
      <c r="I12" s="469"/>
      <c r="J12" s="1178"/>
      <c r="K12" s="376"/>
      <c r="L12" s="3"/>
      <c r="M12" s="2"/>
      <c r="N12" s="2"/>
      <c r="O12" s="2"/>
      <c r="P12" s="2"/>
      <c r="Q12" s="2"/>
    </row>
    <row r="13" spans="1:17" s="1" customFormat="1" ht="15" customHeight="1">
      <c r="A13" s="2"/>
      <c r="B13" s="1174" t="s">
        <v>986</v>
      </c>
      <c r="C13" s="1174"/>
      <c r="D13" s="376"/>
      <c r="E13" s="376"/>
      <c r="F13" s="2"/>
      <c r="G13" s="2"/>
      <c r="H13" s="469"/>
      <c r="I13" s="469"/>
      <c r="J13" s="1174" t="s">
        <v>371</v>
      </c>
      <c r="K13" s="1174"/>
      <c r="L13" s="3"/>
      <c r="M13" s="2"/>
      <c r="N13" s="2"/>
      <c r="O13" s="2"/>
      <c r="P13" s="2"/>
      <c r="Q13" s="2"/>
    </row>
    <row r="14" spans="1:17" s="1" customFormat="1" ht="15" customHeight="1">
      <c r="A14" s="2"/>
      <c r="B14" s="4607" t="str">
        <f>G30</f>
        <v>G30</v>
      </c>
      <c r="C14" s="661" t="s">
        <v>691</v>
      </c>
      <c r="D14" s="376"/>
      <c r="E14" s="376"/>
      <c r="F14" s="2"/>
      <c r="G14" s="2"/>
      <c r="H14" s="469"/>
      <c r="I14" s="469"/>
      <c r="J14" s="4607" t="str">
        <f>K53</f>
        <v>K53</v>
      </c>
      <c r="K14" s="661" t="s">
        <v>691</v>
      </c>
      <c r="L14" s="3"/>
      <c r="M14" s="2"/>
      <c r="N14" s="2"/>
      <c r="O14" s="2"/>
      <c r="P14" s="2"/>
      <c r="Q14" s="2"/>
    </row>
    <row r="15" spans="1:17" s="1" customFormat="1" ht="15" customHeight="1">
      <c r="A15" s="2"/>
      <c r="B15" s="3"/>
      <c r="C15" s="376"/>
      <c r="D15" s="376"/>
      <c r="E15" s="376"/>
      <c r="F15" s="2"/>
      <c r="G15" s="2"/>
      <c r="H15" s="469"/>
      <c r="I15" s="469"/>
      <c r="J15" s="121"/>
      <c r="K15" s="3"/>
      <c r="L15" s="3"/>
      <c r="M15" s="2"/>
      <c r="N15" s="2"/>
      <c r="O15" s="2"/>
      <c r="P15" s="2"/>
      <c r="Q15" s="2"/>
    </row>
    <row r="16" spans="1:17" s="1" customFormat="1" thickBot="1">
      <c r="A16" s="2"/>
      <c r="B16" s="3"/>
      <c r="C16" s="376"/>
      <c r="D16" s="376"/>
      <c r="E16" s="376"/>
      <c r="F16" s="376"/>
      <c r="G16" s="376"/>
      <c r="H16" s="376"/>
      <c r="I16" s="376"/>
      <c r="J16" s="3"/>
      <c r="K16" s="3"/>
      <c r="L16" s="3"/>
      <c r="M16" s="2"/>
      <c r="N16" s="2"/>
      <c r="O16" s="2"/>
      <c r="P16" s="2"/>
      <c r="Q16" s="2"/>
    </row>
    <row r="17" spans="1:21" s="1" customFormat="1">
      <c r="A17" s="307" t="s">
        <v>70</v>
      </c>
      <c r="B17" s="5533" t="s">
        <v>696</v>
      </c>
      <c r="C17" s="5534"/>
      <c r="D17" s="5534"/>
      <c r="E17" s="5534"/>
      <c r="F17" s="5534"/>
      <c r="G17" s="5535"/>
      <c r="H17" s="376"/>
      <c r="I17" s="307" t="s">
        <v>70</v>
      </c>
      <c r="J17" s="5533" t="s">
        <v>697</v>
      </c>
      <c r="K17" s="5534"/>
      <c r="L17" s="5534"/>
      <c r="M17" s="5534"/>
      <c r="N17" s="5534"/>
      <c r="O17" s="5535"/>
      <c r="P17" s="2"/>
      <c r="Q17" s="2"/>
    </row>
    <row r="18" spans="1:21" s="1" customFormat="1" ht="18.75">
      <c r="A18" s="4785" t="str">
        <f>B17</f>
        <v>conversion : volume Centilitres / poids</v>
      </c>
      <c r="B18" s="533" t="str">
        <f>ADDRESS(ROW(),COLUMN(),4)</f>
        <v>B18</v>
      </c>
      <c r="C18" s="534" t="s">
        <v>691</v>
      </c>
      <c r="D18" s="535"/>
      <c r="E18" s="537"/>
      <c r="F18" s="570"/>
      <c r="G18" s="571"/>
      <c r="H18"/>
      <c r="I18" s="4785" t="str">
        <f>J17</f>
        <v>conversion : volume Décilitres / poids</v>
      </c>
      <c r="J18" s="533" t="str">
        <f>ADDRESS(ROW(),COLUMN(),4)</f>
        <v>J18</v>
      </c>
      <c r="K18" s="534" t="s">
        <v>691</v>
      </c>
      <c r="L18" s="535"/>
      <c r="M18" s="537"/>
      <c r="N18" s="570"/>
      <c r="O18" s="571"/>
      <c r="P18" s="2"/>
      <c r="Q18" s="2"/>
    </row>
    <row r="19" spans="1:21" s="1" customFormat="1" ht="15" customHeight="1">
      <c r="A19" s="4785"/>
      <c r="B19" s="5536" t="s">
        <v>409</v>
      </c>
      <c r="C19" s="5537"/>
      <c r="D19" s="381" t="s">
        <v>408</v>
      </c>
      <c r="E19" s="1529" t="s">
        <v>407</v>
      </c>
      <c r="F19" s="5538" t="s">
        <v>281</v>
      </c>
      <c r="G19" s="5539"/>
      <c r="H19" s="376"/>
      <c r="I19" s="4785"/>
      <c r="J19" s="5536" t="s">
        <v>409</v>
      </c>
      <c r="K19" s="5537"/>
      <c r="L19" s="381" t="s">
        <v>408</v>
      </c>
      <c r="M19" s="1529" t="s">
        <v>407</v>
      </c>
      <c r="N19" s="5538" t="s">
        <v>281</v>
      </c>
      <c r="O19" s="5539"/>
      <c r="P19" s="2"/>
      <c r="Q19" s="2"/>
    </row>
    <row r="20" spans="1:21" s="1" customFormat="1" ht="15" customHeight="1">
      <c r="A20" s="4785"/>
      <c r="B20" s="5540">
        <v>20</v>
      </c>
      <c r="C20" s="5541">
        <f>B20/100</f>
        <v>0.2</v>
      </c>
      <c r="D20" s="380" t="s">
        <v>320</v>
      </c>
      <c r="E20" s="379">
        <v>1</v>
      </c>
      <c r="F20" s="378">
        <f>(B20*E20)*10</f>
        <v>200</v>
      </c>
      <c r="G20" s="377">
        <f>F20/1000</f>
        <v>0.2</v>
      </c>
      <c r="H20" s="376"/>
      <c r="I20" s="4785"/>
      <c r="J20" s="5542">
        <v>10</v>
      </c>
      <c r="K20" s="5541">
        <f>J20/10</f>
        <v>1</v>
      </c>
      <c r="L20" s="380" t="s">
        <v>320</v>
      </c>
      <c r="M20" s="379">
        <v>1</v>
      </c>
      <c r="N20" s="378">
        <f>(J20*M20)*100</f>
        <v>1000</v>
      </c>
      <c r="O20" s="377">
        <f>N20/1000</f>
        <v>1</v>
      </c>
      <c r="P20" s="2"/>
      <c r="Q20" s="2"/>
    </row>
    <row r="21" spans="1:21" s="1" customFormat="1" ht="15" customHeight="1">
      <c r="A21" s="4785"/>
      <c r="B21" s="5540"/>
      <c r="C21" s="5541"/>
      <c r="D21" s="380" t="s">
        <v>406</v>
      </c>
      <c r="E21" s="379">
        <v>1.03</v>
      </c>
      <c r="F21" s="378">
        <f>(B20*E21)*10</f>
        <v>206</v>
      </c>
      <c r="G21" s="377">
        <f>F21/1000</f>
        <v>0.20599999999999999</v>
      </c>
      <c r="H21" s="376"/>
      <c r="I21" s="4785"/>
      <c r="J21" s="5542"/>
      <c r="K21" s="5541"/>
      <c r="L21" s="380" t="s">
        <v>406</v>
      </c>
      <c r="M21" s="379">
        <v>1.03</v>
      </c>
      <c r="N21" s="378">
        <f>(J20*M21)*100</f>
        <v>1030</v>
      </c>
      <c r="O21" s="377">
        <f>N21/1000</f>
        <v>1.03</v>
      </c>
      <c r="P21" s="2"/>
      <c r="Q21" s="2"/>
    </row>
    <row r="22" spans="1:21" s="1" customFormat="1" ht="15" customHeight="1">
      <c r="A22" s="4785"/>
      <c r="B22" s="5540"/>
      <c r="C22" s="5541"/>
      <c r="D22" s="380" t="s">
        <v>405</v>
      </c>
      <c r="E22" s="379">
        <v>1.0149999999999999</v>
      </c>
      <c r="F22" s="378">
        <f>(E22*B20)*10</f>
        <v>202.99999999999997</v>
      </c>
      <c r="G22" s="377">
        <f>F22/1000</f>
        <v>0.20299999999999996</v>
      </c>
      <c r="H22" s="376"/>
      <c r="I22" s="4785"/>
      <c r="J22" s="5542"/>
      <c r="K22" s="5541"/>
      <c r="L22" s="380" t="s">
        <v>405</v>
      </c>
      <c r="M22" s="379">
        <v>1.0149999999999999</v>
      </c>
      <c r="N22" s="378">
        <f>(M22*J20)*100</f>
        <v>1014.9999999999999</v>
      </c>
      <c r="O22" s="377">
        <f>N22/1000</f>
        <v>1.0149999999999999</v>
      </c>
      <c r="P22" s="2"/>
      <c r="Q22" s="2"/>
    </row>
    <row r="23" spans="1:21" s="1" customFormat="1" ht="15.75" customHeight="1">
      <c r="A23" s="4785"/>
      <c r="B23" s="5540"/>
      <c r="C23" s="5541"/>
      <c r="D23" s="380" t="s">
        <v>404</v>
      </c>
      <c r="E23" s="379">
        <v>0.92</v>
      </c>
      <c r="F23" s="378">
        <f>(E23*B20)*10</f>
        <v>184.00000000000003</v>
      </c>
      <c r="G23" s="377">
        <f>F23/1000</f>
        <v>0.18400000000000002</v>
      </c>
      <c r="H23" s="376"/>
      <c r="I23" s="4785"/>
      <c r="J23" s="5542"/>
      <c r="K23" s="5541"/>
      <c r="L23" s="380" t="s">
        <v>404</v>
      </c>
      <c r="M23" s="379">
        <v>0.92</v>
      </c>
      <c r="N23" s="378">
        <f>(M23*J20)*100</f>
        <v>920.00000000000011</v>
      </c>
      <c r="O23" s="377">
        <f>N23/1000</f>
        <v>0.92000000000000015</v>
      </c>
      <c r="P23" s="2"/>
      <c r="Q23" s="2"/>
    </row>
    <row r="24" spans="1:21" s="1" customFormat="1" ht="15">
      <c r="A24" s="4785"/>
      <c r="B24" s="5540"/>
      <c r="C24" s="5541"/>
      <c r="D24" s="380" t="s">
        <v>403</v>
      </c>
      <c r="E24" s="379">
        <v>0.8</v>
      </c>
      <c r="F24" s="378">
        <f>(E24*B20)*10</f>
        <v>160</v>
      </c>
      <c r="G24" s="377">
        <f>F24/1000</f>
        <v>0.16</v>
      </c>
      <c r="H24" s="376"/>
      <c r="I24" s="4785"/>
      <c r="J24" s="5542"/>
      <c r="K24" s="5541"/>
      <c r="L24" s="380" t="s">
        <v>403</v>
      </c>
      <c r="M24" s="379">
        <v>0.8</v>
      </c>
      <c r="N24" s="378">
        <f>(M24*J20)*100</f>
        <v>800</v>
      </c>
      <c r="O24" s="377">
        <f>N24/1000</f>
        <v>0.8</v>
      </c>
      <c r="P24" s="2"/>
      <c r="Q24" s="2"/>
    </row>
    <row r="25" spans="1:21" s="1" customFormat="1" ht="16.5" thickBot="1">
      <c r="A25" s="4785"/>
      <c r="B25" s="4808" t="s">
        <v>695</v>
      </c>
      <c r="C25" s="4809"/>
      <c r="D25" s="4809"/>
      <c r="E25" s="4809"/>
      <c r="F25" s="4809"/>
      <c r="G25" s="4810"/>
      <c r="H25"/>
      <c r="I25" s="4785"/>
      <c r="J25" s="4808" t="s">
        <v>695</v>
      </c>
      <c r="K25" s="4809"/>
      <c r="L25" s="4809"/>
      <c r="M25" s="4809"/>
      <c r="N25" s="4809"/>
      <c r="O25" s="4810"/>
      <c r="P25" s="2"/>
      <c r="Q25" s="2"/>
    </row>
    <row r="26" spans="1:21" s="1" customFormat="1" ht="15">
      <c r="A26" s="2"/>
      <c r="B26" s="3"/>
      <c r="C26" s="376"/>
      <c r="D26" s="376"/>
      <c r="E26" s="376"/>
      <c r="F26" s="376"/>
      <c r="G26" s="376"/>
      <c r="H26" s="376"/>
      <c r="I26" s="376"/>
      <c r="J26" s="3"/>
      <c r="K26" s="3"/>
      <c r="L26" s="3"/>
      <c r="M26" s="2"/>
      <c r="N26" s="2"/>
      <c r="O26" s="2"/>
      <c r="P26" s="2"/>
      <c r="Q26" s="2"/>
    </row>
    <row r="27" spans="1:21" s="1" customFormat="1" thickBot="1">
      <c r="A27" s="2"/>
      <c r="B27" s="3"/>
      <c r="C27" s="376"/>
      <c r="D27" s="376"/>
      <c r="E27" s="376"/>
      <c r="F27" s="376"/>
      <c r="G27" s="376"/>
      <c r="H27" s="376"/>
      <c r="I27" s="376"/>
      <c r="J27" s="3"/>
      <c r="K27" s="3"/>
      <c r="L27" s="3"/>
      <c r="M27" s="2"/>
      <c r="N27" s="2"/>
      <c r="O27" s="2"/>
      <c r="P27" s="2"/>
      <c r="Q27" s="2"/>
      <c r="U27" s="3"/>
    </row>
    <row r="28" spans="1:21" s="1" customFormat="1" ht="15.75" customHeight="1">
      <c r="A28" s="2"/>
      <c r="B28" s="3"/>
      <c r="C28" s="376"/>
      <c r="D28" s="376"/>
      <c r="E28" s="376"/>
      <c r="F28" s="307" t="s">
        <v>70</v>
      </c>
      <c r="G28" s="5497" t="s">
        <v>986</v>
      </c>
      <c r="H28" s="5498"/>
      <c r="I28" s="5498"/>
      <c r="J28" s="5499"/>
      <c r="K28" s="3"/>
      <c r="L28" s="307" t="s">
        <v>70</v>
      </c>
      <c r="M28" s="5497" t="s">
        <v>987</v>
      </c>
      <c r="N28" s="5498"/>
      <c r="O28" s="5498"/>
      <c r="P28" s="5499"/>
      <c r="Q28" s="2"/>
      <c r="U28" s="2"/>
    </row>
    <row r="29" spans="1:21" s="1" customFormat="1" ht="15.75" customHeight="1" thickBot="1">
      <c r="A29" s="2"/>
      <c r="B29" s="3"/>
      <c r="C29" s="376"/>
      <c r="D29" s="376"/>
      <c r="E29" s="376"/>
      <c r="F29" s="4785" t="str">
        <f>G28</f>
        <v xml:space="preserve">Aide mémoire Volumes sur la base eau : 1L = 1Kg - 1 gr = 0.001Kg  &gt; 2 zéros après la virgule du Kg </v>
      </c>
      <c r="G29" s="5500"/>
      <c r="H29" s="5501"/>
      <c r="I29" s="5501"/>
      <c r="J29" s="5502"/>
      <c r="K29" s="3"/>
      <c r="L29" s="4785" t="str">
        <f>M28</f>
        <v xml:space="preserve">Aide mémoire Poids sur la base eau : 1L = 1Kg - 1 gr = 0.001Kg  &gt; 2 zéros après la virgule du Kg </v>
      </c>
      <c r="M29" s="5503"/>
      <c r="N29" s="5504"/>
      <c r="O29" s="5504"/>
      <c r="P29" s="5505"/>
      <c r="Q29" s="2"/>
    </row>
    <row r="30" spans="1:21" s="1" customFormat="1" ht="15.75" customHeight="1">
      <c r="A30" s="2"/>
      <c r="B30" s="3"/>
      <c r="C30" s="376"/>
      <c r="D30" s="376"/>
      <c r="E30" s="376"/>
      <c r="F30" s="4785"/>
      <c r="G30" s="563" t="str">
        <f>ADDRESS(ROW(),COLUMN(),4)</f>
        <v>G30</v>
      </c>
      <c r="H30" s="564" t="s">
        <v>691</v>
      </c>
      <c r="I30" s="565"/>
      <c r="J30" s="566"/>
      <c r="K30" s="2"/>
      <c r="L30" s="4785"/>
      <c r="M30" s="563" t="str">
        <f>ADDRESS(ROW(),COLUMN(),4)</f>
        <v>M30</v>
      </c>
      <c r="N30" s="564" t="s">
        <v>691</v>
      </c>
      <c r="O30" s="565"/>
      <c r="P30" s="566"/>
      <c r="Q30" s="2"/>
    </row>
    <row r="31" spans="1:21" s="1" customFormat="1" ht="16.5" thickBot="1">
      <c r="A31" s="2"/>
      <c r="B31" s="3"/>
      <c r="C31" s="3"/>
      <c r="D31" s="3"/>
      <c r="E31" s="3"/>
      <c r="F31" s="4785"/>
      <c r="G31" s="560" t="s">
        <v>42</v>
      </c>
      <c r="H31" s="561" t="s">
        <v>402</v>
      </c>
      <c r="I31" s="561" t="s">
        <v>401</v>
      </c>
      <c r="J31" s="562" t="s">
        <v>282</v>
      </c>
      <c r="K31" s="2"/>
      <c r="L31" s="4785"/>
      <c r="M31" s="5506" t="s">
        <v>378</v>
      </c>
      <c r="N31" s="5507"/>
      <c r="O31" s="5507"/>
      <c r="P31" s="5508"/>
      <c r="Q31" s="2"/>
    </row>
    <row r="32" spans="1:21" s="1" customFormat="1" ht="19.5" customHeight="1">
      <c r="A32" s="2"/>
      <c r="B32" s="3"/>
      <c r="C32" s="3"/>
      <c r="D32" s="3"/>
      <c r="E32" s="3"/>
      <c r="F32" s="4785"/>
      <c r="G32" s="5509" t="s">
        <v>400</v>
      </c>
      <c r="H32" s="5510"/>
      <c r="I32" s="5510"/>
      <c r="J32" s="5511"/>
      <c r="K32" s="2"/>
      <c r="L32" s="4785"/>
      <c r="M32" s="5512" t="s">
        <v>399</v>
      </c>
      <c r="N32" s="5513"/>
      <c r="O32" s="5513"/>
      <c r="P32" s="5514"/>
      <c r="Q32" s="2"/>
    </row>
    <row r="33" spans="1:17" s="1" customFormat="1" ht="15.75" customHeight="1">
      <c r="A33" s="2"/>
      <c r="B33" s="3"/>
      <c r="C33" s="3"/>
      <c r="D33" s="3"/>
      <c r="E33" s="3"/>
      <c r="F33" s="4785"/>
      <c r="G33" s="375" t="s">
        <v>398</v>
      </c>
      <c r="H33" s="374" t="s">
        <v>397</v>
      </c>
      <c r="I33" s="374" t="s">
        <v>396</v>
      </c>
      <c r="J33" s="373" t="s">
        <v>395</v>
      </c>
      <c r="K33" s="2"/>
      <c r="L33" s="4785"/>
      <c r="M33" s="5515" t="s">
        <v>394</v>
      </c>
      <c r="N33" s="5517" t="s">
        <v>393</v>
      </c>
      <c r="O33" s="5517" t="s">
        <v>392</v>
      </c>
      <c r="P33" s="5519" t="s">
        <v>391</v>
      </c>
      <c r="Q33" s="2"/>
    </row>
    <row r="34" spans="1:17" s="1" customFormat="1" ht="18.75" customHeight="1">
      <c r="A34" s="2"/>
      <c r="B34" s="3"/>
      <c r="C34" s="3"/>
      <c r="D34" s="3"/>
      <c r="E34" s="3"/>
      <c r="F34" s="4785"/>
      <c r="G34" s="372">
        <v>1</v>
      </c>
      <c r="H34" s="370">
        <f>G34*10</f>
        <v>10</v>
      </c>
      <c r="I34" s="370">
        <f>H34*10</f>
        <v>100</v>
      </c>
      <c r="J34" s="368">
        <f>I34*10</f>
        <v>1000</v>
      </c>
      <c r="K34" s="2"/>
      <c r="L34" s="4785"/>
      <c r="M34" s="5516"/>
      <c r="N34" s="5518"/>
      <c r="O34" s="5518"/>
      <c r="P34" s="5520"/>
      <c r="Q34" s="2"/>
    </row>
    <row r="35" spans="1:17" s="1" customFormat="1" ht="15.75" customHeight="1">
      <c r="A35" s="2"/>
      <c r="B35" s="3"/>
      <c r="C35" s="3"/>
      <c r="D35" s="3"/>
      <c r="E35" s="3"/>
      <c r="F35" s="4785"/>
      <c r="G35" s="371">
        <f>H35/10</f>
        <v>0.1</v>
      </c>
      <c r="H35" s="369">
        <v>1</v>
      </c>
      <c r="I35" s="370">
        <f>H35*10</f>
        <v>10</v>
      </c>
      <c r="J35" s="368">
        <f>H35*100</f>
        <v>100</v>
      </c>
      <c r="K35" s="2"/>
      <c r="L35" s="4785"/>
      <c r="M35" s="364" t="s">
        <v>390</v>
      </c>
      <c r="N35" s="363" t="s">
        <v>389</v>
      </c>
      <c r="O35" s="363" t="s">
        <v>388</v>
      </c>
      <c r="P35" s="362" t="s">
        <v>387</v>
      </c>
      <c r="Q35" s="2"/>
    </row>
    <row r="36" spans="1:17" s="1" customFormat="1" ht="15.75" customHeight="1">
      <c r="A36" s="2"/>
      <c r="B36" s="3"/>
      <c r="C36" s="3"/>
      <c r="D36" s="3"/>
      <c r="E36" s="3"/>
      <c r="F36" s="4785"/>
      <c r="G36" s="371">
        <f>H36/10</f>
        <v>0.01</v>
      </c>
      <c r="H36" s="370">
        <f>I36/10</f>
        <v>0.1</v>
      </c>
      <c r="I36" s="369">
        <v>1</v>
      </c>
      <c r="J36" s="368">
        <f>H36*100</f>
        <v>10</v>
      </c>
      <c r="K36" s="2"/>
      <c r="L36" s="4785"/>
      <c r="M36" s="364" t="s">
        <v>386</v>
      </c>
      <c r="N36" s="363" t="s">
        <v>385</v>
      </c>
      <c r="O36" s="363" t="s">
        <v>384</v>
      </c>
      <c r="P36" s="362" t="s">
        <v>383</v>
      </c>
      <c r="Q36" s="2"/>
    </row>
    <row r="37" spans="1:17" s="1" customFormat="1" ht="15.75" customHeight="1">
      <c r="A37" s="2"/>
      <c r="B37" s="3"/>
      <c r="C37" s="3"/>
      <c r="D37" s="3"/>
      <c r="E37" s="3"/>
      <c r="F37" s="4785"/>
      <c r="G37" s="367">
        <f>J37/1000</f>
        <v>1E-3</v>
      </c>
      <c r="H37" s="366">
        <f>J37/100</f>
        <v>0.01</v>
      </c>
      <c r="I37" s="366">
        <f>J37/10</f>
        <v>0.1</v>
      </c>
      <c r="J37" s="365">
        <v>1</v>
      </c>
      <c r="K37" s="2"/>
      <c r="L37" s="4785"/>
      <c r="M37" s="364" t="s">
        <v>382</v>
      </c>
      <c r="N37" s="363" t="s">
        <v>381</v>
      </c>
      <c r="O37" s="363" t="s">
        <v>380</v>
      </c>
      <c r="P37" s="362" t="s">
        <v>379</v>
      </c>
      <c r="Q37" s="2"/>
    </row>
    <row r="38" spans="1:17" s="1" customFormat="1" ht="15.75" customHeight="1">
      <c r="A38" s="2"/>
      <c r="B38" s="3"/>
      <c r="C38" s="3"/>
      <c r="D38" s="3"/>
      <c r="E38" s="3"/>
      <c r="F38" s="4785"/>
      <c r="G38" s="5506" t="s">
        <v>378</v>
      </c>
      <c r="H38" s="5507"/>
      <c r="I38" s="5507"/>
      <c r="J38" s="5508"/>
      <c r="K38" s="2"/>
      <c r="L38" s="4785"/>
      <c r="M38" s="361" t="s">
        <v>377</v>
      </c>
      <c r="N38" s="569" t="s">
        <v>376</v>
      </c>
      <c r="O38" s="569" t="s">
        <v>375</v>
      </c>
      <c r="P38" s="360" t="s">
        <v>374</v>
      </c>
      <c r="Q38" s="2"/>
    </row>
    <row r="39" spans="1:17" s="1" customFormat="1" ht="15" customHeight="1">
      <c r="A39" s="2"/>
      <c r="B39" s="3"/>
      <c r="C39" s="3"/>
      <c r="D39" s="3"/>
      <c r="E39" s="3"/>
      <c r="F39" s="4785"/>
      <c r="G39" s="567" t="s">
        <v>694</v>
      </c>
      <c r="H39" s="301"/>
      <c r="I39" s="301"/>
      <c r="J39" s="568"/>
      <c r="K39" s="2"/>
      <c r="L39" s="4785"/>
      <c r="M39" s="567" t="s">
        <v>694</v>
      </c>
      <c r="N39" s="301"/>
      <c r="O39" s="301"/>
      <c r="P39" s="568"/>
      <c r="Q39" s="2"/>
    </row>
    <row r="40" spans="1:17" s="1" customFormat="1">
      <c r="A40" s="2"/>
      <c r="B40" s="3"/>
      <c r="C40" s="3"/>
      <c r="D40" s="3"/>
      <c r="E40" s="3"/>
      <c r="F40" s="4785"/>
      <c r="G40" s="5521" t="s">
        <v>373</v>
      </c>
      <c r="H40" s="5522"/>
      <c r="I40" s="5522"/>
      <c r="J40" s="5523"/>
      <c r="K40" s="2"/>
      <c r="L40" s="4785"/>
      <c r="M40" s="5524" t="s">
        <v>373</v>
      </c>
      <c r="N40" s="5525"/>
      <c r="O40" s="5525"/>
      <c r="P40" s="5526"/>
      <c r="Q40" s="2"/>
    </row>
    <row r="41" spans="1:17" s="1" customFormat="1" ht="15.75" customHeight="1" thickBot="1">
      <c r="A41" s="2"/>
      <c r="B41" s="3"/>
      <c r="C41" s="3"/>
      <c r="D41" s="3"/>
      <c r="F41" s="4785"/>
      <c r="G41" s="5527" t="s">
        <v>687</v>
      </c>
      <c r="H41" s="5528"/>
      <c r="I41" s="5528"/>
      <c r="J41" s="5529"/>
      <c r="K41" s="2"/>
      <c r="L41" s="4785"/>
      <c r="M41" s="5530"/>
      <c r="N41" s="5531"/>
      <c r="O41" s="5531"/>
      <c r="P41" s="5532"/>
      <c r="Q41" s="2"/>
    </row>
    <row r="42" spans="1:17" s="1" customFormat="1" ht="15" customHeight="1" thickBot="1">
      <c r="A42" s="2"/>
      <c r="B42" s="3"/>
      <c r="C42" s="3"/>
      <c r="D42" s="3"/>
      <c r="E42" s="2"/>
      <c r="F42" s="4785"/>
      <c r="G42" s="5530"/>
      <c r="H42" s="5531"/>
      <c r="I42" s="5531"/>
      <c r="J42" s="5532"/>
      <c r="K42" s="2"/>
      <c r="L42" s="2"/>
      <c r="M42" s="2"/>
      <c r="N42" s="2"/>
      <c r="O42" s="2"/>
      <c r="P42" s="2"/>
      <c r="Q42" s="2"/>
    </row>
    <row r="43" spans="1:17" s="1" customFormat="1" ht="15" customHeight="1">
      <c r="A43" s="2"/>
      <c r="B43" s="3"/>
      <c r="C43" s="3"/>
      <c r="D43" s="3"/>
      <c r="E43" s="1531"/>
      <c r="F43" s="1531"/>
      <c r="G43" s="1531"/>
      <c r="H43" s="1531"/>
      <c r="I43" s="1531"/>
      <c r="J43" s="1531"/>
      <c r="K43" s="1531"/>
      <c r="L43" s="1531"/>
      <c r="M43" s="1531"/>
      <c r="N43" s="1531"/>
      <c r="O43" s="1531"/>
      <c r="P43" s="1531"/>
      <c r="Q43" s="1531"/>
    </row>
    <row r="44" spans="1:17" s="1" customFormat="1" ht="21" customHeight="1">
      <c r="A44" s="2"/>
      <c r="B44" s="352" t="s">
        <v>365</v>
      </c>
      <c r="C44" s="351" t="s">
        <v>372</v>
      </c>
      <c r="D44" s="3"/>
      <c r="E44" s="2"/>
      <c r="F44" s="2"/>
      <c r="G44" s="2"/>
      <c r="H44" s="2"/>
      <c r="I44" s="2"/>
      <c r="J44" s="356" t="s">
        <v>2801</v>
      </c>
      <c r="K44" s="2"/>
      <c r="L44" s="2"/>
      <c r="M44" s="2"/>
      <c r="N44" s="2"/>
      <c r="O44" s="2"/>
      <c r="P44" s="2"/>
      <c r="Q44" s="2"/>
    </row>
    <row r="45" spans="1:17" s="1" customFormat="1" ht="21" customHeight="1">
      <c r="A45" s="2"/>
      <c r="B45" s="356"/>
      <c r="C45" s="359"/>
      <c r="D45" s="3"/>
      <c r="E45" s="2"/>
      <c r="F45" s="2"/>
      <c r="G45" s="2"/>
      <c r="H45" s="2"/>
      <c r="I45" s="2"/>
      <c r="J45" s="352" t="s">
        <v>365</v>
      </c>
      <c r="K45" s="351" t="s">
        <v>2802</v>
      </c>
      <c r="L45" s="2"/>
      <c r="M45" s="2"/>
      <c r="N45" s="2"/>
      <c r="O45" s="2"/>
      <c r="P45" s="2"/>
      <c r="Q45" s="2"/>
    </row>
    <row r="46" spans="1:17" s="1" customFormat="1" ht="21">
      <c r="A46" s="2"/>
      <c r="B46" s="356" t="s">
        <v>367</v>
      </c>
      <c r="C46" s="355"/>
      <c r="D46" s="3"/>
      <c r="E46" s="2"/>
      <c r="F46" s="2"/>
      <c r="G46" s="2"/>
      <c r="H46" s="2"/>
      <c r="I46" s="2"/>
      <c r="J46" s="2"/>
      <c r="K46" s="2"/>
      <c r="L46" s="2"/>
      <c r="M46" s="2"/>
      <c r="N46" s="2"/>
      <c r="O46" s="2"/>
      <c r="P46" s="2"/>
      <c r="Q46" s="2"/>
    </row>
    <row r="47" spans="1:17" s="1" customFormat="1" ht="21">
      <c r="A47" s="2"/>
      <c r="B47" s="356" t="s">
        <v>366</v>
      </c>
      <c r="C47" s="355"/>
      <c r="D47" s="3"/>
      <c r="E47" s="2"/>
      <c r="F47" s="2"/>
      <c r="G47" s="2"/>
      <c r="H47" s="2"/>
      <c r="I47" s="2"/>
      <c r="J47" s="356" t="s">
        <v>2803</v>
      </c>
      <c r="K47" s="2"/>
      <c r="L47" s="2"/>
      <c r="M47" s="2"/>
      <c r="N47" s="2"/>
      <c r="O47" s="2"/>
      <c r="P47" s="2"/>
      <c r="Q47" s="2"/>
    </row>
    <row r="48" spans="1:17" s="1" customFormat="1" ht="21">
      <c r="A48" s="2"/>
      <c r="B48" s="352" t="s">
        <v>365</v>
      </c>
      <c r="C48" s="351" t="s">
        <v>364</v>
      </c>
      <c r="D48" s="3"/>
      <c r="F48" s="2"/>
      <c r="G48" s="2"/>
      <c r="H48" s="2"/>
      <c r="I48" s="2"/>
      <c r="J48" s="352" t="s">
        <v>365</v>
      </c>
      <c r="K48" s="351" t="s">
        <v>2804</v>
      </c>
      <c r="L48" s="2"/>
      <c r="M48" s="2"/>
      <c r="N48" s="2"/>
      <c r="O48" s="2"/>
      <c r="P48" s="2"/>
      <c r="Q48" s="2"/>
    </row>
    <row r="49" spans="1:17" s="1" customFormat="1" ht="15">
      <c r="A49" s="2"/>
      <c r="B49" s="3"/>
      <c r="C49" s="3"/>
      <c r="D49" s="3"/>
      <c r="F49" s="2"/>
      <c r="G49" s="2"/>
      <c r="H49" s="2"/>
      <c r="I49" s="2"/>
      <c r="J49" s="2"/>
      <c r="K49" s="2"/>
      <c r="L49" s="2"/>
      <c r="M49" s="2"/>
      <c r="N49" s="2"/>
      <c r="O49" s="2"/>
      <c r="P49" s="2"/>
      <c r="Q49" s="2"/>
    </row>
    <row r="50" spans="1:17" s="1" customFormat="1" ht="15">
      <c r="A50" s="2"/>
      <c r="B50" s="3"/>
      <c r="C50" s="3"/>
      <c r="D50" s="3"/>
      <c r="E50" s="3"/>
      <c r="F50" s="3"/>
      <c r="G50" s="3"/>
      <c r="H50" s="2"/>
      <c r="I50" s="2"/>
      <c r="J50" s="2"/>
      <c r="K50" s="2"/>
      <c r="L50" s="2"/>
      <c r="M50" s="2"/>
      <c r="N50" s="2"/>
      <c r="O50" s="2"/>
      <c r="P50" s="2"/>
      <c r="Q50" s="2"/>
    </row>
    <row r="51" spans="1:17" s="1" customFormat="1" ht="15.75" customHeight="1" thickBot="1">
      <c r="A51" s="2"/>
      <c r="B51" s="3"/>
      <c r="C51" s="3"/>
      <c r="D51" s="3"/>
      <c r="E51" s="3"/>
      <c r="F51" s="3"/>
      <c r="G51" s="3"/>
      <c r="H51" s="2"/>
      <c r="I51" s="2"/>
      <c r="J51" s="2"/>
      <c r="K51" s="2"/>
      <c r="L51" s="2"/>
      <c r="M51" s="2"/>
      <c r="N51" s="2"/>
      <c r="O51" s="2"/>
      <c r="P51" s="2"/>
      <c r="Q51" s="2"/>
    </row>
    <row r="52" spans="1:17" s="1" customFormat="1" ht="15">
      <c r="A52" s="307" t="s">
        <v>70</v>
      </c>
      <c r="B52" s="5487" t="s">
        <v>546</v>
      </c>
      <c r="C52" s="5488"/>
      <c r="D52" s="5488"/>
      <c r="E52" s="5488"/>
      <c r="F52" s="5488"/>
      <c r="G52" s="5488"/>
      <c r="H52" s="5489"/>
      <c r="I52" s="2"/>
      <c r="J52" s="1530" t="s">
        <v>70</v>
      </c>
      <c r="K52" s="5490" t="s">
        <v>371</v>
      </c>
      <c r="L52" s="5491"/>
      <c r="M52" s="5492"/>
      <c r="N52" s="2"/>
      <c r="O52" s="2"/>
      <c r="P52" s="2"/>
      <c r="Q52" s="2"/>
    </row>
    <row r="53" spans="1:17" s="1" customFormat="1">
      <c r="A53" s="4785" t="str">
        <f>B52</f>
        <v>CONVERSIONS</v>
      </c>
      <c r="B53" s="533" t="str">
        <f>ADDRESS(ROW(),COLUMN(),4)</f>
        <v>B53</v>
      </c>
      <c r="C53" s="534" t="s">
        <v>691</v>
      </c>
      <c r="D53" s="535"/>
      <c r="E53" s="535"/>
      <c r="F53" s="546"/>
      <c r="G53" s="546"/>
      <c r="H53" s="547"/>
      <c r="I53" s="2"/>
      <c r="J53" s="5493" t="str">
        <f>K52</f>
        <v>Convertir des temps</v>
      </c>
      <c r="K53" s="558" t="str">
        <f>ADDRESS(ROW(),COLUMN(),4)</f>
        <v>K53</v>
      </c>
      <c r="L53" s="534" t="s">
        <v>691</v>
      </c>
      <c r="M53" s="559"/>
      <c r="N53" s="2"/>
      <c r="O53" s="2"/>
      <c r="P53" s="2"/>
      <c r="Q53" s="2"/>
    </row>
    <row r="54" spans="1:17" s="1" customFormat="1" ht="15">
      <c r="A54" s="4785"/>
      <c r="B54" s="464" t="s">
        <v>544</v>
      </c>
      <c r="C54" s="386"/>
      <c r="D54" s="386"/>
      <c r="E54" s="465" t="s">
        <v>543</v>
      </c>
      <c r="F54" s="386"/>
      <c r="G54" s="386"/>
      <c r="H54" s="385"/>
      <c r="I54" s="2"/>
      <c r="J54" s="5493"/>
      <c r="K54" s="553" t="s">
        <v>370</v>
      </c>
      <c r="L54" s="549" t="s">
        <v>369</v>
      </c>
      <c r="M54" s="550" t="s">
        <v>368</v>
      </c>
      <c r="N54" s="2"/>
      <c r="O54" s="2"/>
      <c r="P54" s="2"/>
      <c r="Q54" s="2"/>
    </row>
    <row r="55" spans="1:17" s="1" customFormat="1" ht="15">
      <c r="A55" s="4785"/>
      <c r="B55" s="464" t="s">
        <v>542</v>
      </c>
      <c r="C55" s="386"/>
      <c r="D55" s="386"/>
      <c r="E55" s="465" t="s">
        <v>541</v>
      </c>
      <c r="F55" s="386"/>
      <c r="G55" s="386"/>
      <c r="H55" s="385"/>
      <c r="I55" s="2"/>
      <c r="J55" s="5493"/>
      <c r="K55" s="358">
        <v>4.1666666666666664E-2</v>
      </c>
      <c r="L55" s="554">
        <v>60</v>
      </c>
      <c r="M55" s="357">
        <v>100</v>
      </c>
      <c r="N55" s="2"/>
      <c r="O55" s="2"/>
      <c r="P55" s="2"/>
      <c r="Q55" s="2"/>
    </row>
    <row r="56" spans="1:17" s="1" customFormat="1" ht="18">
      <c r="A56" s="4785"/>
      <c r="B56" s="464" t="s">
        <v>539</v>
      </c>
      <c r="C56" s="386"/>
      <c r="D56" s="386"/>
      <c r="E56" s="2"/>
      <c r="F56" s="386"/>
      <c r="G56" s="386"/>
      <c r="H56" s="385"/>
      <c r="I56" s="2"/>
      <c r="J56" s="5493"/>
      <c r="K56" s="354">
        <v>4.1666666666666664E-2</v>
      </c>
      <c r="L56" s="555">
        <f>(L55/K55)*K56</f>
        <v>60</v>
      </c>
      <c r="M56" s="353">
        <f>(M55/K55)*K56</f>
        <v>100</v>
      </c>
      <c r="N56" s="2"/>
      <c r="O56" s="2"/>
      <c r="P56" s="2"/>
      <c r="Q56" s="2"/>
    </row>
    <row r="57" spans="1:17" s="1" customFormat="1">
      <c r="A57" s="4785"/>
      <c r="B57" s="464" t="s">
        <v>537</v>
      </c>
      <c r="C57" s="386"/>
      <c r="D57" s="386"/>
      <c r="E57" s="465" t="s">
        <v>536</v>
      </c>
      <c r="F57" s="386"/>
      <c r="G57" s="386"/>
      <c r="H57" s="385"/>
      <c r="I57" s="2"/>
      <c r="J57" s="5493"/>
      <c r="K57" s="350">
        <f>(K55/L55)*L57</f>
        <v>6.2499999999999993E-2</v>
      </c>
      <c r="L57" s="556">
        <v>90</v>
      </c>
      <c r="M57" s="349">
        <f>(M55/L55)*L57</f>
        <v>150</v>
      </c>
      <c r="N57" s="2"/>
      <c r="O57" s="2"/>
      <c r="P57" s="2"/>
      <c r="Q57" s="2"/>
    </row>
    <row r="58" spans="1:17" s="1" customFormat="1">
      <c r="A58" s="4785"/>
      <c r="B58" s="464" t="s">
        <v>534</v>
      </c>
      <c r="C58" s="386"/>
      <c r="D58" s="386"/>
      <c r="E58" s="465" t="s">
        <v>533</v>
      </c>
      <c r="F58" s="386"/>
      <c r="G58" s="386"/>
      <c r="H58" s="385"/>
      <c r="I58" s="2"/>
      <c r="J58" s="5493"/>
      <c r="K58" s="350">
        <f>(K55/M55)*M58</f>
        <v>1.6666666666666666E-2</v>
      </c>
      <c r="L58" s="555">
        <f>(L55/M55)*M58</f>
        <v>24</v>
      </c>
      <c r="M58" s="557">
        <v>40</v>
      </c>
      <c r="N58" s="2"/>
      <c r="O58" s="2"/>
      <c r="P58" s="2"/>
      <c r="Q58" s="2"/>
    </row>
    <row r="59" spans="1:17" s="1" customFormat="1" ht="15">
      <c r="A59" s="4785"/>
      <c r="B59" s="464"/>
      <c r="C59" s="386"/>
      <c r="D59" s="386"/>
      <c r="E59" s="465" t="s">
        <v>532</v>
      </c>
      <c r="F59" s="386"/>
      <c r="G59" s="386"/>
      <c r="H59" s="385"/>
      <c r="I59" s="2"/>
      <c r="J59" s="5493"/>
      <c r="K59" s="5494" t="s">
        <v>687</v>
      </c>
      <c r="L59" s="5495"/>
      <c r="M59" s="5496"/>
      <c r="N59" s="2"/>
      <c r="O59" s="2"/>
      <c r="P59" s="2"/>
      <c r="Q59" s="2"/>
    </row>
    <row r="60" spans="1:17" s="1" customFormat="1" ht="15">
      <c r="A60" s="4785"/>
      <c r="B60" s="459"/>
      <c r="C60" s="386"/>
      <c r="D60" s="386"/>
      <c r="E60" s="386"/>
      <c r="F60" s="386"/>
      <c r="G60" s="386"/>
      <c r="H60" s="385"/>
      <c r="I60" s="2"/>
      <c r="J60" s="5493"/>
      <c r="K60" s="5169"/>
      <c r="L60" s="5170"/>
      <c r="M60" s="5171"/>
      <c r="N60" s="2"/>
      <c r="O60" s="2"/>
      <c r="P60" s="2"/>
      <c r="Q60" s="2"/>
    </row>
    <row r="61" spans="1:17" s="1" customFormat="1" ht="15">
      <c r="A61" s="4785"/>
      <c r="B61" s="464" t="s">
        <v>531</v>
      </c>
      <c r="C61" s="386"/>
      <c r="D61" s="386"/>
      <c r="E61" s="548" t="s">
        <v>693</v>
      </c>
      <c r="F61" s="386"/>
      <c r="G61" s="386"/>
      <c r="H61" s="385"/>
      <c r="I61" s="2"/>
      <c r="J61" s="2"/>
      <c r="K61" s="2"/>
      <c r="L61" s="2"/>
      <c r="M61" s="2"/>
      <c r="N61" s="2"/>
      <c r="O61" s="2"/>
      <c r="P61" s="2"/>
      <c r="Q61" s="2"/>
    </row>
    <row r="62" spans="1:17" s="1" customFormat="1" ht="15">
      <c r="A62" s="4785"/>
      <c r="B62" s="464" t="s">
        <v>530</v>
      </c>
      <c r="C62" s="386"/>
      <c r="D62" s="386"/>
      <c r="E62" s="463">
        <v>0</v>
      </c>
      <c r="F62" s="462">
        <v>0</v>
      </c>
      <c r="G62" s="544">
        <v>0</v>
      </c>
      <c r="H62" s="545">
        <v>0</v>
      </c>
      <c r="I62" s="2"/>
      <c r="J62" s="2"/>
      <c r="K62" s="2"/>
      <c r="L62" s="2"/>
      <c r="M62" s="2"/>
      <c r="N62" s="2"/>
      <c r="O62" s="2"/>
      <c r="P62" s="2"/>
      <c r="Q62" s="2"/>
    </row>
    <row r="63" spans="1:17" s="1" customFormat="1" thickBot="1">
      <c r="A63" s="5463"/>
      <c r="B63" s="384"/>
      <c r="C63" s="383"/>
      <c r="D63" s="383"/>
      <c r="E63" s="383"/>
      <c r="F63" s="383"/>
      <c r="G63" s="383"/>
      <c r="H63" s="382"/>
      <c r="I63" s="2"/>
      <c r="J63" s="2"/>
      <c r="K63" s="2"/>
      <c r="L63" s="2"/>
      <c r="M63" s="2"/>
      <c r="N63" s="2"/>
      <c r="O63" s="2"/>
      <c r="P63" s="2"/>
      <c r="Q63" s="2"/>
    </row>
    <row r="64" spans="1:17" s="1" customFormat="1" ht="15">
      <c r="A64" s="2"/>
      <c r="B64" s="3"/>
      <c r="C64" s="3"/>
      <c r="D64" s="3"/>
      <c r="E64" s="3"/>
      <c r="F64" s="3"/>
      <c r="G64" s="3"/>
      <c r="H64" s="2"/>
      <c r="I64" s="2"/>
      <c r="J64" s="2"/>
      <c r="K64" s="2"/>
      <c r="L64" s="2"/>
      <c r="M64" s="2"/>
      <c r="N64" s="2"/>
      <c r="O64" s="2"/>
      <c r="P64" s="2"/>
      <c r="Q64" s="2"/>
    </row>
  </sheetData>
  <mergeCells count="37">
    <mergeCell ref="B2:Q2"/>
    <mergeCell ref="B4:Q5"/>
    <mergeCell ref="B17:G17"/>
    <mergeCell ref="J17:O17"/>
    <mergeCell ref="A18:A25"/>
    <mergeCell ref="I18:I25"/>
    <mergeCell ref="B19:C19"/>
    <mergeCell ref="F19:G19"/>
    <mergeCell ref="J19:K19"/>
    <mergeCell ref="N19:O19"/>
    <mergeCell ref="B20:B24"/>
    <mergeCell ref="C20:C24"/>
    <mergeCell ref="J20:J24"/>
    <mergeCell ref="K20:K24"/>
    <mergeCell ref="B25:G25"/>
    <mergeCell ref="J25:O25"/>
    <mergeCell ref="G28:J29"/>
    <mergeCell ref="M28:P29"/>
    <mergeCell ref="F29:F42"/>
    <mergeCell ref="L29:L41"/>
    <mergeCell ref="M31:P31"/>
    <mergeCell ref="G32:J32"/>
    <mergeCell ref="M32:P32"/>
    <mergeCell ref="M33:M34"/>
    <mergeCell ref="N33:N34"/>
    <mergeCell ref="O33:O34"/>
    <mergeCell ref="P33:P34"/>
    <mergeCell ref="G38:J38"/>
    <mergeCell ref="G40:J40"/>
    <mergeCell ref="M40:P40"/>
    <mergeCell ref="G41:J42"/>
    <mergeCell ref="M41:P41"/>
    <mergeCell ref="B52:H52"/>
    <mergeCell ref="K52:M52"/>
    <mergeCell ref="A53:A63"/>
    <mergeCell ref="J53:J60"/>
    <mergeCell ref="K59:M60"/>
  </mergeCells>
  <conditionalFormatting sqref="J52">
    <cfRule type="expression" dxfId="62" priority="6" stopIfTrue="1">
      <formula>OR(ROW()=CELL("ligne"),COLUMN()=CELL("colonne"))</formula>
    </cfRule>
  </conditionalFormatting>
  <conditionalFormatting sqref="A52">
    <cfRule type="expression" dxfId="61" priority="7" stopIfTrue="1">
      <formula>OR(ROW()=CELL("ligne"),COLUMN()=CELL("colonne"))</formula>
    </cfRule>
  </conditionalFormatting>
  <conditionalFormatting sqref="F28">
    <cfRule type="expression" dxfId="60" priority="5" stopIfTrue="1">
      <formula>OR(ROW()=CELL("ligne"),COLUMN()=CELL("colonne"))</formula>
    </cfRule>
  </conditionalFormatting>
  <conditionalFormatting sqref="L28">
    <cfRule type="expression" dxfId="59" priority="4" stopIfTrue="1">
      <formula>OR(ROW()=CELL("ligne"),COLUMN()=CELL("colonne"))</formula>
    </cfRule>
  </conditionalFormatting>
  <conditionalFormatting sqref="A17">
    <cfRule type="expression" dxfId="58" priority="3" stopIfTrue="1">
      <formula>OR(ROW()=CELL("ligne"),COLUMN()=CELL("colonne"))</formula>
    </cfRule>
  </conditionalFormatting>
  <conditionalFormatting sqref="I17">
    <cfRule type="expression" dxfId="57" priority="2" stopIfTrue="1">
      <formula>OR(ROW()=CELL("ligne"),COLUMN()=CELL("colonne"))</formula>
    </cfRule>
  </conditionalFormatting>
  <conditionalFormatting sqref="A4">
    <cfRule type="expression" dxfId="56" priority="1" stopIfTrue="1">
      <formula>OR(ROW()=CELL("ligne"),COLUMN()=CELL("colonne"))</formula>
    </cfRule>
  </conditionalFormatting>
  <hyperlinks>
    <hyperlink ref="C44" r:id="rId1" xr:uid="{00000000-0004-0000-0500-000000000000}"/>
    <hyperlink ref="C48" r:id="rId2" xr:uid="{00000000-0004-0000-0500-000001000000}"/>
    <hyperlink ref="G40" r:id="rId3" xr:uid="{00000000-0004-0000-0500-000002000000}"/>
    <hyperlink ref="M40" r:id="rId4" xr:uid="{00000000-0004-0000-0500-000003000000}"/>
    <hyperlink ref="K45" r:id="rId5" xr:uid="{00000000-0004-0000-0500-000004000000}"/>
    <hyperlink ref="K48" r:id="rId6" xr:uid="{00000000-0004-0000-0500-000005000000}"/>
  </hyperlinks>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Q163"/>
  <sheetViews>
    <sheetView workbookViewId="0">
      <selection activeCell="P22" sqref="P22"/>
    </sheetView>
  </sheetViews>
  <sheetFormatPr baseColWidth="10" defaultRowHeight="15.75"/>
  <cols>
    <col min="1" max="1" width="6" customWidth="1"/>
    <col min="2" max="2" width="14.625" customWidth="1"/>
  </cols>
  <sheetData>
    <row r="2" spans="1:17" s="1" customFormat="1" ht="33">
      <c r="A2" s="635">
        <f>(ROW())</f>
        <v>2</v>
      </c>
      <c r="B2" s="5298" t="s">
        <v>709</v>
      </c>
      <c r="C2" s="5298"/>
      <c r="D2" s="5298"/>
      <c r="E2" s="5298"/>
      <c r="F2" s="5298"/>
      <c r="G2" s="5298"/>
      <c r="H2" s="5298"/>
      <c r="I2" s="5298"/>
      <c r="J2" s="5298"/>
      <c r="K2" s="5298"/>
      <c r="L2" s="5298"/>
      <c r="M2" s="5298"/>
      <c r="N2" s="5298"/>
      <c r="O2" s="5298"/>
      <c r="P2" s="5298"/>
      <c r="Q2" s="5298"/>
    </row>
    <row r="3" spans="1:17" s="1" customFormat="1">
      <c r="A3" s="2"/>
      <c r="B3" s="266"/>
      <c r="C3" s="265"/>
      <c r="D3" s="265"/>
      <c r="E3" s="265"/>
      <c r="F3" s="265"/>
      <c r="G3" s="265"/>
      <c r="H3" s="3"/>
      <c r="I3" s="3"/>
      <c r="J3" s="3"/>
      <c r="K3" s="3"/>
      <c r="L3" s="3"/>
      <c r="M3" s="3"/>
      <c r="N3" s="3"/>
      <c r="O3" s="3"/>
      <c r="P3" s="3"/>
      <c r="Q3" s="2"/>
    </row>
    <row r="4" spans="1:17" s="1" customFormat="1" ht="27" customHeight="1">
      <c r="A4" s="1173" t="s">
        <v>70</v>
      </c>
      <c r="B4" s="5299" t="s">
        <v>975</v>
      </c>
      <c r="C4" s="5299"/>
      <c r="D4" s="5299"/>
      <c r="E4" s="5299"/>
      <c r="F4" s="5299"/>
      <c r="G4" s="5299"/>
      <c r="H4" s="5299"/>
      <c r="I4" s="5299"/>
      <c r="J4" s="5299"/>
      <c r="K4" s="5299"/>
      <c r="L4" s="5299"/>
      <c r="M4" s="5299"/>
      <c r="N4" s="5299"/>
      <c r="O4" s="5299"/>
      <c r="P4" s="5299"/>
      <c r="Q4" s="5299"/>
    </row>
    <row r="5" spans="1:17" s="1" customFormat="1" ht="27" customHeight="1">
      <c r="A5" s="1191"/>
      <c r="B5" s="5299"/>
      <c r="C5" s="5299"/>
      <c r="D5" s="5299"/>
      <c r="E5" s="5299"/>
      <c r="F5" s="5299"/>
      <c r="G5" s="5299"/>
      <c r="H5" s="5299"/>
      <c r="I5" s="5299"/>
      <c r="J5" s="5299"/>
      <c r="K5" s="5299"/>
      <c r="L5" s="5299"/>
      <c r="M5" s="5299"/>
      <c r="N5" s="5299"/>
      <c r="O5" s="5299"/>
      <c r="P5" s="5299"/>
      <c r="Q5" s="5299"/>
    </row>
    <row r="6" spans="1:17" s="1" customFormat="1">
      <c r="A6" s="2"/>
      <c r="B6" s="266"/>
      <c r="C6" s="265"/>
      <c r="D6" s="265"/>
      <c r="E6" s="265"/>
      <c r="F6" s="265"/>
      <c r="G6" s="265"/>
      <c r="H6" s="3"/>
      <c r="I6" s="3"/>
      <c r="J6" s="3"/>
      <c r="K6" s="3"/>
      <c r="L6" s="3"/>
      <c r="M6" s="3"/>
      <c r="N6" s="3"/>
      <c r="O6" s="3"/>
      <c r="P6" s="3"/>
      <c r="Q6" s="2"/>
    </row>
    <row r="7" spans="1:17" s="1" customFormat="1" ht="21">
      <c r="A7" s="2"/>
      <c r="B7" s="266"/>
      <c r="C7" s="1174" t="s">
        <v>271</v>
      </c>
      <c r="D7" s="1174"/>
      <c r="E7" s="3"/>
      <c r="F7" s="3"/>
      <c r="G7" s="3"/>
      <c r="H7" s="3"/>
      <c r="I7" s="3"/>
      <c r="J7" s="3"/>
      <c r="K7" s="3"/>
      <c r="L7" s="3"/>
      <c r="M7" s="3"/>
      <c r="N7" s="3"/>
      <c r="O7" s="3"/>
      <c r="P7" s="3"/>
      <c r="Q7" s="2"/>
    </row>
    <row r="8" spans="1:17" s="1" customFormat="1" ht="21">
      <c r="A8" s="2"/>
      <c r="B8" s="266"/>
      <c r="C8" s="4607" t="str">
        <f>B21</f>
        <v>B21</v>
      </c>
      <c r="D8" s="661" t="s">
        <v>691</v>
      </c>
      <c r="E8" s="913"/>
      <c r="F8" s="913"/>
      <c r="G8" s="913"/>
      <c r="H8" s="913"/>
      <c r="I8" s="913"/>
      <c r="J8" s="913"/>
      <c r="K8" s="3"/>
      <c r="L8" s="3"/>
      <c r="M8" s="3"/>
      <c r="N8" s="3"/>
      <c r="O8" s="3"/>
      <c r="P8" s="3"/>
      <c r="Q8" s="2"/>
    </row>
    <row r="9" spans="1:17" s="1" customFormat="1">
      <c r="A9" s="2"/>
      <c r="B9" s="266"/>
      <c r="C9" s="266"/>
      <c r="D9" s="265"/>
      <c r="E9" s="265"/>
      <c r="F9" s="265"/>
      <c r="G9" s="265"/>
      <c r="H9" s="3"/>
      <c r="I9" s="3"/>
      <c r="J9" s="3"/>
      <c r="K9" s="3"/>
      <c r="L9" s="3"/>
      <c r="M9" s="3"/>
      <c r="N9" s="3"/>
      <c r="O9" s="3"/>
      <c r="P9" s="3"/>
      <c r="Q9" s="2"/>
    </row>
    <row r="10" spans="1:17" s="1" customFormat="1" ht="21">
      <c r="A10" s="2"/>
      <c r="B10" s="266"/>
      <c r="C10" s="1174" t="s">
        <v>265</v>
      </c>
      <c r="D10" s="1174"/>
      <c r="E10" s="1174" t="s">
        <v>263</v>
      </c>
      <c r="F10" s="1181"/>
      <c r="G10" s="1182"/>
      <c r="H10" s="3"/>
      <c r="I10" s="3"/>
      <c r="J10" s="1174" t="s">
        <v>264</v>
      </c>
      <c r="K10" s="1174"/>
      <c r="L10" s="1174" t="s">
        <v>263</v>
      </c>
      <c r="M10" s="1181"/>
      <c r="N10" s="1181"/>
      <c r="O10" s="1182"/>
      <c r="P10" s="3"/>
      <c r="Q10" s="2"/>
    </row>
    <row r="11" spans="1:17" s="1" customFormat="1" ht="21">
      <c r="A11" s="2"/>
      <c r="B11" s="266"/>
      <c r="C11" s="4607" t="str">
        <f>B36</f>
        <v>B36</v>
      </c>
      <c r="D11" s="661" t="s">
        <v>691</v>
      </c>
      <c r="E11" s="913"/>
      <c r="F11" s="913"/>
      <c r="G11" s="913"/>
      <c r="H11" s="3"/>
      <c r="I11" s="3"/>
      <c r="J11" s="4607" t="str">
        <f>K36</f>
        <v>K36</v>
      </c>
      <c r="K11" s="661" t="s">
        <v>691</v>
      </c>
      <c r="L11" s="913"/>
      <c r="M11" s="913"/>
      <c r="N11" s="913"/>
      <c r="O11" s="913"/>
      <c r="P11" s="3"/>
      <c r="Q11" s="2"/>
    </row>
    <row r="12" spans="1:17" s="1" customFormat="1">
      <c r="A12" s="2"/>
      <c r="B12" s="266"/>
      <c r="C12" s="266"/>
      <c r="D12" s="265"/>
      <c r="E12" s="265"/>
      <c r="F12" s="265"/>
      <c r="G12" s="265"/>
      <c r="H12" s="3"/>
      <c r="I12" s="3"/>
      <c r="J12" s="3"/>
      <c r="K12" s="3"/>
      <c r="L12" s="3"/>
      <c r="M12" s="3"/>
      <c r="N12" s="3"/>
      <c r="O12" s="3"/>
      <c r="P12" s="3"/>
      <c r="Q12" s="2"/>
    </row>
    <row r="13" spans="1:17" s="1" customFormat="1" ht="15" customHeight="1">
      <c r="A13" s="2"/>
      <c r="B13" s="266"/>
      <c r="C13" s="1174" t="s">
        <v>242</v>
      </c>
      <c r="D13" s="1174"/>
      <c r="E13" s="265"/>
      <c r="F13" s="265"/>
      <c r="G13" s="265"/>
      <c r="H13" s="3"/>
      <c r="I13" s="3"/>
      <c r="J13" s="1174" t="s">
        <v>229</v>
      </c>
      <c r="K13" s="1174"/>
      <c r="L13" s="3"/>
      <c r="M13" s="3"/>
      <c r="N13" s="3"/>
      <c r="O13" s="3"/>
      <c r="P13" s="3"/>
      <c r="Q13" s="2"/>
    </row>
    <row r="14" spans="1:17" s="1" customFormat="1" ht="21">
      <c r="A14" s="2"/>
      <c r="B14" s="266"/>
      <c r="C14" s="4607" t="str">
        <f>B51</f>
        <v>B51</v>
      </c>
      <c r="D14" s="661" t="s">
        <v>691</v>
      </c>
      <c r="E14" s="265"/>
      <c r="F14" s="265"/>
      <c r="G14" s="265"/>
      <c r="H14" s="3"/>
      <c r="I14" s="3"/>
      <c r="J14" s="4607" t="str">
        <f>K51</f>
        <v>K51</v>
      </c>
      <c r="K14" s="661" t="s">
        <v>691</v>
      </c>
      <c r="L14" s="3"/>
      <c r="M14" s="3"/>
      <c r="N14" s="3"/>
      <c r="O14" s="3"/>
      <c r="P14" s="3"/>
      <c r="Q14" s="2"/>
    </row>
    <row r="15" spans="1:17" s="1" customFormat="1">
      <c r="A15" s="2"/>
      <c r="B15" s="266"/>
      <c r="C15" s="265"/>
      <c r="D15" s="265"/>
      <c r="E15" s="265"/>
      <c r="F15" s="265"/>
      <c r="G15" s="265"/>
      <c r="H15" s="3"/>
      <c r="I15" s="3"/>
      <c r="J15" s="3"/>
      <c r="K15" s="3"/>
      <c r="L15" s="3"/>
      <c r="M15" s="3"/>
      <c r="N15" s="3"/>
      <c r="O15" s="3"/>
      <c r="P15" s="3"/>
      <c r="Q15" s="2"/>
    </row>
    <row r="16" spans="1:17" s="1" customFormat="1" ht="15.75" customHeight="1">
      <c r="A16" s="2"/>
      <c r="B16" s="266"/>
      <c r="C16" s="1174" t="s">
        <v>241</v>
      </c>
      <c r="D16" s="1174"/>
      <c r="E16" s="265"/>
      <c r="F16" s="265"/>
      <c r="G16" s="265"/>
      <c r="H16" s="3"/>
      <c r="I16" s="3"/>
      <c r="J16" s="1174" t="s">
        <v>218</v>
      </c>
      <c r="K16" s="1174"/>
      <c r="L16" s="3"/>
      <c r="M16" s="3"/>
      <c r="N16" s="3"/>
      <c r="O16" s="3"/>
      <c r="P16" s="3"/>
      <c r="Q16" s="2"/>
    </row>
    <row r="17" spans="1:17" s="1" customFormat="1" ht="21">
      <c r="A17" s="2"/>
      <c r="B17" s="266"/>
      <c r="C17" s="4607" t="str">
        <f>B59</f>
        <v>B59</v>
      </c>
      <c r="D17" s="661" t="s">
        <v>691</v>
      </c>
      <c r="E17" s="265"/>
      <c r="F17" s="265"/>
      <c r="G17" s="265"/>
      <c r="H17" s="3"/>
      <c r="I17" s="3"/>
      <c r="J17" s="4607" t="str">
        <f>K59</f>
        <v>K59</v>
      </c>
      <c r="K17" s="661" t="s">
        <v>691</v>
      </c>
      <c r="L17" s="3"/>
      <c r="M17" s="3"/>
      <c r="N17" s="3"/>
      <c r="O17" s="3"/>
      <c r="P17" s="3"/>
      <c r="Q17" s="2"/>
    </row>
    <row r="18" spans="1:17" s="1" customFormat="1">
      <c r="A18" s="2"/>
      <c r="B18" s="266"/>
      <c r="C18" s="265"/>
      <c r="D18" s="265"/>
      <c r="E18" s="265"/>
      <c r="F18" s="265"/>
      <c r="G18" s="265"/>
      <c r="H18" s="3"/>
      <c r="I18" s="3"/>
      <c r="J18" s="3"/>
      <c r="K18" s="3"/>
      <c r="L18" s="3"/>
      <c r="M18" s="3"/>
      <c r="N18" s="3"/>
      <c r="O18" s="3"/>
      <c r="P18" s="3"/>
      <c r="Q18" s="2"/>
    </row>
    <row r="19" spans="1:17" s="1" customFormat="1" ht="16.5" thickBot="1">
      <c r="A19" s="2"/>
      <c r="B19" s="266"/>
      <c r="C19" s="265"/>
      <c r="D19" s="265"/>
      <c r="E19" s="265"/>
      <c r="F19" s="265"/>
      <c r="G19" s="265"/>
      <c r="H19" s="3"/>
      <c r="I19" s="3"/>
      <c r="J19" s="3"/>
      <c r="K19" s="3"/>
      <c r="L19" s="3"/>
      <c r="M19" s="3"/>
      <c r="N19" s="3"/>
      <c r="O19" s="3"/>
      <c r="P19" s="3"/>
      <c r="Q19" s="2"/>
    </row>
    <row r="20" spans="1:17" s="1" customFormat="1">
      <c r="A20" s="307" t="s">
        <v>70</v>
      </c>
      <c r="B20" s="264"/>
      <c r="C20" s="263"/>
      <c r="D20" s="263"/>
      <c r="E20" s="263"/>
      <c r="F20" s="263"/>
      <c r="G20" s="1183"/>
      <c r="H20" s="263"/>
      <c r="I20" s="263"/>
      <c r="J20" s="262" t="s">
        <v>271</v>
      </c>
      <c r="K20" s="3"/>
      <c r="L20" s="3"/>
      <c r="M20" s="3"/>
      <c r="N20" s="3"/>
      <c r="O20" s="3"/>
      <c r="P20" s="3"/>
      <c r="Q20" s="2"/>
    </row>
    <row r="21" spans="1:17" s="1" customFormat="1" ht="15" customHeight="1">
      <c r="A21" s="4717" t="str">
        <f>J20</f>
        <v>Prix D'ACHAT / Prix de VENTE</v>
      </c>
      <c r="B21" s="551" t="str">
        <f>ADDRESS(ROW(),COLUMN(),4)</f>
        <v>B21</v>
      </c>
      <c r="C21" s="534" t="s">
        <v>691</v>
      </c>
      <c r="D21" s="601"/>
      <c r="E21" s="601"/>
      <c r="F21" s="601"/>
      <c r="G21" s="601"/>
      <c r="H21" s="601"/>
      <c r="I21" s="601"/>
      <c r="J21" s="602"/>
      <c r="K21" s="3"/>
      <c r="L21" s="3"/>
      <c r="M21" s="3"/>
      <c r="N21" s="3"/>
      <c r="O21" s="3"/>
      <c r="P21" s="3"/>
      <c r="Q21" s="2"/>
    </row>
    <row r="22" spans="1:17" s="1" customFormat="1" ht="20.100000000000001" customHeight="1">
      <c r="A22" s="4717"/>
      <c r="B22" s="245"/>
      <c r="C22" s="261" t="s">
        <v>268</v>
      </c>
      <c r="D22" s="243">
        <v>0.44</v>
      </c>
      <c r="E22" s="3"/>
      <c r="F22" s="244" t="s">
        <v>268</v>
      </c>
      <c r="G22" s="243">
        <v>100</v>
      </c>
      <c r="H22" s="3"/>
      <c r="I22" s="241" t="s">
        <v>270</v>
      </c>
      <c r="J22" s="237">
        <v>115</v>
      </c>
      <c r="K22" s="3"/>
      <c r="L22" s="3"/>
      <c r="M22" s="2"/>
      <c r="N22" s="2"/>
      <c r="O22" s="2"/>
      <c r="P22" s="2"/>
      <c r="Q22" s="2"/>
    </row>
    <row r="23" spans="1:17" s="1" customFormat="1" ht="20.100000000000001" customHeight="1">
      <c r="A23" s="4717"/>
      <c r="B23" s="260"/>
      <c r="C23" s="258" t="s">
        <v>267</v>
      </c>
      <c r="D23" s="259">
        <v>60</v>
      </c>
      <c r="E23" s="3"/>
      <c r="F23" s="258" t="s">
        <v>269</v>
      </c>
      <c r="G23" s="240">
        <v>10</v>
      </c>
      <c r="H23" s="3"/>
      <c r="I23" s="244" t="s">
        <v>268</v>
      </c>
      <c r="J23" s="257">
        <v>133</v>
      </c>
      <c r="K23" s="3"/>
      <c r="L23" s="3"/>
      <c r="M23" s="2"/>
      <c r="N23" s="2"/>
      <c r="O23" s="2"/>
      <c r="P23" s="2"/>
      <c r="Q23" s="2"/>
    </row>
    <row r="24" spans="1:17" s="1" customFormat="1" ht="20.100000000000001" customHeight="1">
      <c r="A24" s="4717"/>
      <c r="B24" s="236"/>
      <c r="C24" s="235" t="s">
        <v>269</v>
      </c>
      <c r="D24" s="234">
        <f>D22*D23%</f>
        <v>0.26400000000000001</v>
      </c>
      <c r="E24" s="3"/>
      <c r="F24" s="233" t="s">
        <v>270</v>
      </c>
      <c r="G24" s="234">
        <f>IF(G22=0,0,G22+G23)</f>
        <v>110</v>
      </c>
      <c r="H24" s="3"/>
      <c r="I24" s="235" t="s">
        <v>269</v>
      </c>
      <c r="J24" s="232">
        <f>IF(J22=0,0,IF(J23=0,0,J22-J23))</f>
        <v>-18</v>
      </c>
      <c r="K24" s="3"/>
      <c r="L24" s="3"/>
      <c r="M24" s="2"/>
      <c r="N24" s="2"/>
      <c r="O24" s="2"/>
      <c r="P24" s="2"/>
      <c r="Q24" s="2"/>
    </row>
    <row r="25" spans="1:17" s="1" customFormat="1" ht="20.100000000000001" customHeight="1">
      <c r="A25" s="4717"/>
      <c r="B25" s="256"/>
      <c r="C25" s="233" t="s">
        <v>270</v>
      </c>
      <c r="D25" s="234">
        <f>((D22*D23)/100)+D22</f>
        <v>0.70399999999999996</v>
      </c>
      <c r="E25" s="3"/>
      <c r="F25" s="254" t="s">
        <v>267</v>
      </c>
      <c r="G25" s="255">
        <f>IF(G22=0,0,IF(ISBLANK(G22),0,(G23/G22)*100))</f>
        <v>10</v>
      </c>
      <c r="H25" s="3"/>
      <c r="I25" s="254" t="s">
        <v>267</v>
      </c>
      <c r="J25" s="253">
        <f>IF(J23=0,0,IF(ISBLANK(J23),0,(J24/J23)*100))</f>
        <v>-13.533834586466165</v>
      </c>
      <c r="K25" s="3"/>
      <c r="L25" s="3"/>
      <c r="M25" s="2"/>
      <c r="N25" s="2"/>
      <c r="O25" s="2"/>
      <c r="P25" s="2"/>
      <c r="Q25" s="2"/>
    </row>
    <row r="26" spans="1:17" s="1" customFormat="1" ht="20.100000000000001" customHeight="1">
      <c r="A26" s="4717"/>
      <c r="B26" s="252"/>
      <c r="C26" s="251"/>
      <c r="D26" s="250"/>
      <c r="E26" s="248"/>
      <c r="F26" s="247"/>
      <c r="G26" s="249"/>
      <c r="H26" s="248"/>
      <c r="I26" s="247"/>
      <c r="J26" s="246"/>
      <c r="K26" s="3"/>
      <c r="L26" s="3"/>
      <c r="M26" s="2"/>
      <c r="N26" s="2"/>
      <c r="O26" s="2"/>
      <c r="P26" s="2"/>
      <c r="Q26" s="2"/>
    </row>
    <row r="27" spans="1:17" s="1" customFormat="1" ht="20.100000000000001" customHeight="1">
      <c r="A27" s="4717"/>
      <c r="B27" s="245"/>
      <c r="C27" s="244" t="s">
        <v>268</v>
      </c>
      <c r="D27" s="243">
        <v>5.8970000000000002</v>
      </c>
      <c r="E27" s="3"/>
      <c r="F27" s="241" t="s">
        <v>270</v>
      </c>
      <c r="G27" s="240">
        <v>9.64</v>
      </c>
      <c r="H27" s="3"/>
      <c r="I27" s="241" t="s">
        <v>270</v>
      </c>
      <c r="J27" s="237">
        <v>100</v>
      </c>
      <c r="K27" s="3"/>
      <c r="L27" s="3"/>
      <c r="M27" s="2"/>
      <c r="N27" s="2"/>
      <c r="O27" s="2"/>
      <c r="P27" s="2"/>
      <c r="Q27" s="2"/>
    </row>
    <row r="28" spans="1:17" s="1" customFormat="1" ht="20.100000000000001" customHeight="1">
      <c r="A28" s="4717"/>
      <c r="B28" s="242"/>
      <c r="C28" s="241" t="s">
        <v>270</v>
      </c>
      <c r="D28" s="240">
        <v>9.64</v>
      </c>
      <c r="E28" s="3"/>
      <c r="F28" s="238" t="s">
        <v>267</v>
      </c>
      <c r="G28" s="239">
        <v>63.5</v>
      </c>
      <c r="H28" s="3"/>
      <c r="I28" s="238" t="s">
        <v>269</v>
      </c>
      <c r="J28" s="237">
        <v>50</v>
      </c>
      <c r="K28" s="3"/>
      <c r="L28" s="3"/>
      <c r="M28" s="2"/>
      <c r="N28" s="2"/>
      <c r="O28" s="2"/>
      <c r="P28" s="2"/>
      <c r="Q28" s="2"/>
    </row>
    <row r="29" spans="1:17" s="1" customFormat="1" ht="20.100000000000001" customHeight="1">
      <c r="A29" s="4717"/>
      <c r="B29" s="236"/>
      <c r="C29" s="235" t="s">
        <v>269</v>
      </c>
      <c r="D29" s="234">
        <f>IF(D27=0,0,IF(D28=0,0,D28-D27))</f>
        <v>3.7430000000000003</v>
      </c>
      <c r="E29" s="3"/>
      <c r="F29" s="235" t="s">
        <v>269</v>
      </c>
      <c r="G29" s="234">
        <f>G27-G30</f>
        <v>3.7439755351681958</v>
      </c>
      <c r="H29" s="3"/>
      <c r="I29" s="233" t="s">
        <v>268</v>
      </c>
      <c r="J29" s="232">
        <f>IF(J27=0,0,IF(ISBLANK(J27),0,J27-J28))</f>
        <v>50</v>
      </c>
      <c r="K29" s="3"/>
      <c r="L29" s="3"/>
      <c r="M29" s="2"/>
      <c r="N29" s="2"/>
      <c r="O29" s="2"/>
      <c r="P29" s="2"/>
      <c r="Q29" s="2"/>
    </row>
    <row r="30" spans="1:17" s="1" customFormat="1" ht="20.100000000000001" customHeight="1">
      <c r="A30" s="4717"/>
      <c r="B30" s="231"/>
      <c r="C30" s="227" t="s">
        <v>267</v>
      </c>
      <c r="D30" s="230">
        <f>IF(D27=0,0,IF(ISBLANK(D27),0,(D29/D27)*100))</f>
        <v>63.472952348651859</v>
      </c>
      <c r="E30" s="3"/>
      <c r="F30" s="229" t="s">
        <v>268</v>
      </c>
      <c r="G30" s="228">
        <f>(G27/(100+G28)*100)</f>
        <v>5.8960244648318048</v>
      </c>
      <c r="H30" s="3"/>
      <c r="I30" s="227" t="s">
        <v>267</v>
      </c>
      <c r="J30" s="226">
        <f>IF(J29=0,0,IF(ISBLANK(J28),0,(J28/J29)*100))</f>
        <v>100</v>
      </c>
      <c r="K30" s="3"/>
      <c r="L30" s="3"/>
      <c r="M30" s="2"/>
      <c r="N30" s="2"/>
      <c r="O30" s="2"/>
      <c r="P30" s="2"/>
      <c r="Q30" s="2"/>
    </row>
    <row r="31" spans="1:17" s="1" customFormat="1" ht="20.100000000000001" customHeight="1">
      <c r="A31" s="4717"/>
      <c r="B31" s="5635" t="s">
        <v>258</v>
      </c>
      <c r="C31" s="5636"/>
      <c r="D31" s="5636"/>
      <c r="E31" s="5636"/>
      <c r="F31" s="5636"/>
      <c r="G31" s="5636"/>
      <c r="H31" s="5636"/>
      <c r="I31" s="5636"/>
      <c r="J31" s="5636"/>
      <c r="K31" s="3"/>
      <c r="L31" s="3"/>
      <c r="M31" s="2"/>
      <c r="N31" s="2"/>
      <c r="O31" s="2"/>
      <c r="P31" s="2"/>
      <c r="Q31" s="2"/>
    </row>
    <row r="32" spans="1:17" s="1" customFormat="1" ht="15">
      <c r="A32" s="2"/>
      <c r="B32" s="572"/>
      <c r="C32" s="572"/>
      <c r="D32" s="572"/>
      <c r="E32" s="572"/>
      <c r="F32" s="572"/>
      <c r="G32" s="572"/>
      <c r="H32" s="3"/>
      <c r="I32" s="490"/>
      <c r="J32" s="490"/>
      <c r="K32" s="139"/>
      <c r="L32" s="139"/>
      <c r="M32" s="490"/>
      <c r="N32" s="2"/>
      <c r="O32" s="2"/>
      <c r="P32" s="2"/>
      <c r="Q32" s="2"/>
    </row>
    <row r="33" spans="1:17" s="1" customFormat="1" ht="15">
      <c r="A33" s="2"/>
      <c r="B33" s="572"/>
      <c r="C33" s="572"/>
      <c r="D33" s="572"/>
      <c r="E33" s="572"/>
      <c r="F33" s="572"/>
      <c r="G33" s="572"/>
      <c r="H33" s="3"/>
      <c r="I33" s="490"/>
      <c r="J33" s="490"/>
      <c r="K33" s="139"/>
      <c r="L33" s="139"/>
      <c r="M33" s="490"/>
      <c r="N33" s="2"/>
      <c r="O33" s="2"/>
      <c r="P33" s="2"/>
      <c r="Q33" s="2"/>
    </row>
    <row r="34" spans="1:17" s="1" customFormat="1" ht="15">
      <c r="A34" s="2"/>
      <c r="B34" s="224">
        <v>15</v>
      </c>
      <c r="C34" s="224">
        <v>15</v>
      </c>
      <c r="D34" s="224">
        <v>15</v>
      </c>
      <c r="E34" s="224">
        <v>15</v>
      </c>
      <c r="F34" s="224">
        <v>15</v>
      </c>
      <c r="G34" s="224">
        <v>15</v>
      </c>
      <c r="H34" s="2"/>
      <c r="I34" s="2"/>
      <c r="J34" s="225" t="s">
        <v>266</v>
      </c>
      <c r="K34" s="224">
        <v>15</v>
      </c>
      <c r="L34" s="224">
        <v>15</v>
      </c>
      <c r="M34" s="224">
        <v>15</v>
      </c>
      <c r="N34" s="224">
        <v>15</v>
      </c>
      <c r="O34" s="224">
        <v>15</v>
      </c>
      <c r="P34" s="224">
        <v>15</v>
      </c>
      <c r="Q34" s="223" t="s">
        <v>266</v>
      </c>
    </row>
    <row r="35" spans="1:17" s="1" customFormat="1" ht="18">
      <c r="A35" s="307" t="s">
        <v>70</v>
      </c>
      <c r="B35" s="222" t="s">
        <v>265</v>
      </c>
      <c r="C35" s="221"/>
      <c r="D35" s="221"/>
      <c r="E35" s="221"/>
      <c r="F35" s="221"/>
      <c r="G35" s="220" t="s">
        <v>263</v>
      </c>
      <c r="H35" s="2"/>
      <c r="I35" s="2"/>
      <c r="J35" s="307" t="s">
        <v>70</v>
      </c>
      <c r="K35" s="1866" t="s">
        <v>264</v>
      </c>
      <c r="L35" s="221"/>
      <c r="M35" s="221"/>
      <c r="N35" s="221"/>
      <c r="O35" s="221"/>
      <c r="P35" s="220" t="s">
        <v>263</v>
      </c>
      <c r="Q35" s="2"/>
    </row>
    <row r="36" spans="1:17" s="1" customFormat="1" ht="19.5" customHeight="1">
      <c r="A36" s="4752" t="str">
        <f>B35</f>
        <v>Aide à la décision en Gr</v>
      </c>
      <c r="B36" s="551" t="str">
        <f>ADDRESS(ROW(),COLUMN(),4)</f>
        <v>B36</v>
      </c>
      <c r="C36" s="534" t="s">
        <v>691</v>
      </c>
      <c r="D36" s="601"/>
      <c r="E36" s="601"/>
      <c r="F36" s="601"/>
      <c r="G36" s="552"/>
      <c r="H36" s="2"/>
      <c r="I36" s="2"/>
      <c r="J36" s="4752" t="str">
        <f>K35</f>
        <v>Aide à la décision en Kg</v>
      </c>
      <c r="K36" s="551" t="str">
        <f>ADDRESS(ROW(),COLUMN(),4)</f>
        <v>K36</v>
      </c>
      <c r="L36" s="534" t="s">
        <v>691</v>
      </c>
      <c r="M36" s="601"/>
      <c r="N36" s="601"/>
      <c r="O36" s="601"/>
      <c r="P36" s="552"/>
      <c r="Q36" s="2"/>
    </row>
    <row r="37" spans="1:17" s="1" customFormat="1" ht="19.5" customHeight="1">
      <c r="A37" s="4752"/>
      <c r="B37" s="218" t="s">
        <v>261</v>
      </c>
      <c r="C37" s="203">
        <v>1000</v>
      </c>
      <c r="D37" s="219" t="s">
        <v>261</v>
      </c>
      <c r="E37" s="203">
        <v>1000</v>
      </c>
      <c r="F37" s="218" t="s">
        <v>261</v>
      </c>
      <c r="G37" s="203">
        <v>100</v>
      </c>
      <c r="H37" s="2"/>
      <c r="I37" s="2"/>
      <c r="J37" s="4752"/>
      <c r="K37" s="218" t="s">
        <v>261</v>
      </c>
      <c r="L37" s="217">
        <v>1</v>
      </c>
      <c r="M37" s="219" t="s">
        <v>261</v>
      </c>
      <c r="N37" s="217">
        <v>1</v>
      </c>
      <c r="O37" s="218" t="s">
        <v>261</v>
      </c>
      <c r="P37" s="217">
        <v>1</v>
      </c>
      <c r="Q37" s="2"/>
    </row>
    <row r="38" spans="1:17" s="1" customFormat="1">
      <c r="A38" s="4752"/>
      <c r="B38" s="214" t="s">
        <v>215</v>
      </c>
      <c r="C38" s="210">
        <v>2000</v>
      </c>
      <c r="D38" s="216" t="s">
        <v>260</v>
      </c>
      <c r="E38" s="210">
        <v>327</v>
      </c>
      <c r="F38" s="214" t="s">
        <v>213</v>
      </c>
      <c r="G38" s="213">
        <v>40</v>
      </c>
      <c r="H38" s="2"/>
      <c r="I38" s="2"/>
      <c r="J38" s="4752"/>
      <c r="K38" s="214" t="s">
        <v>215</v>
      </c>
      <c r="L38" s="215">
        <v>2</v>
      </c>
      <c r="M38" s="216" t="s">
        <v>260</v>
      </c>
      <c r="N38" s="215">
        <v>2</v>
      </c>
      <c r="O38" s="214" t="s">
        <v>213</v>
      </c>
      <c r="P38" s="213">
        <v>50</v>
      </c>
      <c r="Q38" s="2"/>
    </row>
    <row r="39" spans="1:17" s="1" customFormat="1">
      <c r="A39" s="4752"/>
      <c r="B39" s="197" t="s">
        <v>212</v>
      </c>
      <c r="C39" s="198">
        <f>IF(C37=0,0,IF(C38=0,0,C38-C37))</f>
        <v>1000</v>
      </c>
      <c r="D39" s="197" t="s">
        <v>262</v>
      </c>
      <c r="E39" s="198">
        <f>IF(E37=0,0,E37+E38)</f>
        <v>1327</v>
      </c>
      <c r="F39" s="197" t="s">
        <v>212</v>
      </c>
      <c r="G39" s="212">
        <f>G40*G38%</f>
        <v>66.666666666666671</v>
      </c>
      <c r="H39" s="2"/>
      <c r="I39" s="2"/>
      <c r="J39" s="4752"/>
      <c r="K39" s="197" t="s">
        <v>212</v>
      </c>
      <c r="L39" s="196">
        <f>IF(L37=0,0,IF(L38=0,0,L38-L37))</f>
        <v>1</v>
      </c>
      <c r="M39" s="197" t="s">
        <v>262</v>
      </c>
      <c r="N39" s="196">
        <f>IF(N37=0,0,N37+N38)</f>
        <v>3</v>
      </c>
      <c r="O39" s="197" t="s">
        <v>212</v>
      </c>
      <c r="P39" s="196">
        <f>P40*P38%</f>
        <v>1</v>
      </c>
      <c r="Q39" s="2"/>
    </row>
    <row r="40" spans="1:17" s="1" customFormat="1">
      <c r="A40" s="4752"/>
      <c r="B40" s="193" t="s">
        <v>259</v>
      </c>
      <c r="C40" s="194">
        <f>IF(C37=0,0,IF(C38=0,0,C39/C38))</f>
        <v>0.5</v>
      </c>
      <c r="D40" s="193" t="s">
        <v>259</v>
      </c>
      <c r="E40" s="194">
        <f>IF(E37=0,0,E38/E39)</f>
        <v>0.24642049736247174</v>
      </c>
      <c r="F40" s="197" t="s">
        <v>262</v>
      </c>
      <c r="G40" s="212">
        <f>G37/(100-G38)*100</f>
        <v>166.66666666666669</v>
      </c>
      <c r="H40" s="2"/>
      <c r="I40" s="2"/>
      <c r="J40" s="4752"/>
      <c r="K40" s="193" t="s">
        <v>259</v>
      </c>
      <c r="L40" s="194">
        <f>IF(L37=0,0,IF(L38=0,0,L39/L38))</f>
        <v>0.5</v>
      </c>
      <c r="M40" s="193" t="s">
        <v>259</v>
      </c>
      <c r="N40" s="194">
        <f>IF(N37=0,0,N38/N39)</f>
        <v>0.66666666666666663</v>
      </c>
      <c r="O40" s="197" t="s">
        <v>262</v>
      </c>
      <c r="P40" s="211">
        <f>P37/(100-P38)*100</f>
        <v>2</v>
      </c>
      <c r="Q40" s="2"/>
    </row>
    <row r="41" spans="1:17" s="1" customFormat="1">
      <c r="A41" s="4752"/>
      <c r="B41" s="207" t="s">
        <v>215</v>
      </c>
      <c r="C41" s="210">
        <v>1780</v>
      </c>
      <c r="D41" s="205" t="s">
        <v>215</v>
      </c>
      <c r="E41" s="210">
        <v>2310</v>
      </c>
      <c r="F41" s="209" t="s">
        <v>215</v>
      </c>
      <c r="G41" s="208">
        <v>500</v>
      </c>
      <c r="H41" s="2"/>
      <c r="I41" s="2"/>
      <c r="J41" s="4752"/>
      <c r="K41" s="207" t="s">
        <v>215</v>
      </c>
      <c r="L41" s="204">
        <v>2</v>
      </c>
      <c r="M41" s="205" t="s">
        <v>215</v>
      </c>
      <c r="N41" s="206">
        <v>2</v>
      </c>
      <c r="O41" s="205" t="s">
        <v>215</v>
      </c>
      <c r="P41" s="204">
        <v>1</v>
      </c>
      <c r="Q41" s="2"/>
    </row>
    <row r="42" spans="1:17" s="1" customFormat="1">
      <c r="A42" s="4752"/>
      <c r="B42" s="202" t="s">
        <v>261</v>
      </c>
      <c r="C42" s="203">
        <v>1000</v>
      </c>
      <c r="D42" s="200" t="s">
        <v>260</v>
      </c>
      <c r="E42" s="203">
        <v>720</v>
      </c>
      <c r="F42" s="200" t="s">
        <v>213</v>
      </c>
      <c r="G42" s="199">
        <v>50</v>
      </c>
      <c r="H42" s="2"/>
      <c r="I42" s="2"/>
      <c r="J42" s="4752"/>
      <c r="K42" s="202" t="s">
        <v>261</v>
      </c>
      <c r="L42" s="201">
        <v>1</v>
      </c>
      <c r="M42" s="200" t="s">
        <v>260</v>
      </c>
      <c r="N42" s="201">
        <v>1</v>
      </c>
      <c r="O42" s="200" t="s">
        <v>213</v>
      </c>
      <c r="P42" s="199">
        <v>50</v>
      </c>
      <c r="Q42" s="2"/>
    </row>
    <row r="43" spans="1:17" s="1" customFormat="1">
      <c r="A43" s="4752"/>
      <c r="B43" s="197" t="s">
        <v>212</v>
      </c>
      <c r="C43" s="198">
        <f>IF(C41=0,0,IF(C42=0,0,C41-C42))</f>
        <v>780</v>
      </c>
      <c r="D43" s="197" t="s">
        <v>222</v>
      </c>
      <c r="E43" s="198">
        <f>IF(E41=0,0,IF(E42=0,0,E41-E42))</f>
        <v>1590</v>
      </c>
      <c r="F43" s="197" t="s">
        <v>212</v>
      </c>
      <c r="G43" s="198">
        <f>G41*G42%</f>
        <v>250</v>
      </c>
      <c r="H43" s="2"/>
      <c r="I43" s="2"/>
      <c r="J43" s="4752"/>
      <c r="K43" s="197" t="s">
        <v>212</v>
      </c>
      <c r="L43" s="196">
        <f>IF(L41=0,0,IF(L42=0,0,L41-L42))</f>
        <v>1</v>
      </c>
      <c r="M43" s="197" t="s">
        <v>222</v>
      </c>
      <c r="N43" s="196">
        <f>IF(N41=0,0,IF(N42=0,0,N41-N42))</f>
        <v>1</v>
      </c>
      <c r="O43" s="197" t="s">
        <v>212</v>
      </c>
      <c r="P43" s="196">
        <f>P41*P42%</f>
        <v>0.5</v>
      </c>
      <c r="Q43" s="2"/>
    </row>
    <row r="44" spans="1:17" s="1" customFormat="1">
      <c r="A44" s="4752"/>
      <c r="B44" s="193" t="s">
        <v>259</v>
      </c>
      <c r="C44" s="194">
        <f>IF(C41=0,0,C43/C41)</f>
        <v>0.43820224719101125</v>
      </c>
      <c r="D44" s="193" t="s">
        <v>259</v>
      </c>
      <c r="E44" s="194">
        <f>IF(E41=0,0,IF(E42=0,0,E42/E41))</f>
        <v>0.31168831168831168</v>
      </c>
      <c r="F44" s="193" t="s">
        <v>222</v>
      </c>
      <c r="G44" s="195">
        <f>G41-G43</f>
        <v>250</v>
      </c>
      <c r="H44" s="2"/>
      <c r="I44" s="2"/>
      <c r="J44" s="4752"/>
      <c r="K44" s="193" t="s">
        <v>259</v>
      </c>
      <c r="L44" s="194">
        <f>IF(L41=0,0,L43/L41)</f>
        <v>0.5</v>
      </c>
      <c r="M44" s="193" t="s">
        <v>259</v>
      </c>
      <c r="N44" s="194">
        <f>IF(N41=0,0,IF(N42=0,0,N42/N41))</f>
        <v>0.5</v>
      </c>
      <c r="O44" s="193" t="s">
        <v>222</v>
      </c>
      <c r="P44" s="192">
        <f>P41-P43</f>
        <v>0.5</v>
      </c>
      <c r="Q44" s="2"/>
    </row>
    <row r="45" spans="1:17" s="1" customFormat="1" ht="15">
      <c r="A45" s="4752"/>
      <c r="B45" s="5637" t="s">
        <v>258</v>
      </c>
      <c r="C45" s="5638"/>
      <c r="D45" s="5638"/>
      <c r="E45" s="5638"/>
      <c r="F45" s="5638"/>
      <c r="G45" s="5638"/>
      <c r="H45" s="2"/>
      <c r="I45" s="2"/>
      <c r="J45" s="4752"/>
      <c r="K45" s="5637" t="s">
        <v>258</v>
      </c>
      <c r="L45" s="5638"/>
      <c r="M45" s="5638"/>
      <c r="N45" s="5638"/>
      <c r="O45" s="5638"/>
      <c r="P45" s="5638"/>
      <c r="Q45" s="2"/>
    </row>
    <row r="46" spans="1:17" s="1" customFormat="1" ht="15">
      <c r="A46" s="572"/>
      <c r="B46" s="572"/>
      <c r="C46" s="572"/>
      <c r="D46" s="572"/>
      <c r="E46" s="572"/>
      <c r="F46" s="572"/>
      <c r="G46" s="572"/>
      <c r="H46" s="3"/>
      <c r="I46" s="490"/>
      <c r="J46" s="490"/>
      <c r="K46" s="139"/>
      <c r="L46" s="139"/>
      <c r="M46" s="490"/>
      <c r="N46" s="490"/>
      <c r="O46" s="2"/>
      <c r="P46" s="2"/>
      <c r="Q46" s="3"/>
    </row>
    <row r="47" spans="1:17" s="1" customFormat="1">
      <c r="A47" s="2"/>
      <c r="B47" s="145"/>
      <c r="C47" s="2"/>
      <c r="D47" s="142"/>
      <c r="E47" s="142"/>
      <c r="F47" s="572"/>
      <c r="G47" s="572"/>
      <c r="H47" s="3"/>
      <c r="I47" s="2"/>
      <c r="J47" s="140"/>
      <c r="K47" s="140"/>
      <c r="L47" s="140"/>
      <c r="M47" s="140"/>
      <c r="N47" s="140"/>
      <c r="O47" s="2"/>
      <c r="P47" s="2"/>
      <c r="Q47" s="2"/>
    </row>
    <row r="48" spans="1:17" s="1" customFormat="1" ht="16.5" thickBot="1">
      <c r="A48" s="2"/>
      <c r="B48" s="145"/>
      <c r="C48" s="2"/>
      <c r="D48" s="142" t="s">
        <v>243</v>
      </c>
      <c r="E48" s="143"/>
      <c r="F48" s="572"/>
      <c r="G48" s="572"/>
      <c r="H48" s="3"/>
      <c r="I48" s="2"/>
      <c r="J48" s="140"/>
      <c r="K48" s="2"/>
      <c r="L48" s="2"/>
      <c r="M48" s="2"/>
      <c r="N48" s="2"/>
      <c r="O48" s="143"/>
      <c r="P48" s="2"/>
      <c r="Q48" s="2"/>
    </row>
    <row r="49" spans="1:17" s="1" customFormat="1">
      <c r="A49" s="307" t="s">
        <v>70</v>
      </c>
      <c r="B49" s="5613" t="s">
        <v>242</v>
      </c>
      <c r="C49" s="5614"/>
      <c r="D49" s="143" t="s">
        <v>242</v>
      </c>
      <c r="E49" s="140"/>
      <c r="F49" s="572"/>
      <c r="G49" s="572"/>
      <c r="H49" s="3"/>
      <c r="I49" s="2"/>
      <c r="J49" s="307" t="s">
        <v>70</v>
      </c>
      <c r="K49" s="5613" t="s">
        <v>229</v>
      </c>
      <c r="L49" s="5614"/>
      <c r="M49" s="143" t="s">
        <v>229</v>
      </c>
      <c r="O49" s="140"/>
      <c r="P49" s="2"/>
      <c r="Q49" s="2"/>
    </row>
    <row r="50" spans="1:17" s="1" customFormat="1">
      <c r="A50" s="5617" t="str">
        <f>B49</f>
        <v>Pour prendre, par exemple, le 5 % de 87 Kg</v>
      </c>
      <c r="B50" s="5615"/>
      <c r="C50" s="5616"/>
      <c r="D50" s="140" t="s">
        <v>240</v>
      </c>
      <c r="E50" s="140"/>
      <c r="F50" s="572"/>
      <c r="G50" s="572"/>
      <c r="H50" s="3"/>
      <c r="I50" s="2"/>
      <c r="J50" s="5618" t="str">
        <f>K49</f>
        <v>Pour déduire, par exemple, le 5 % de 87 Kg</v>
      </c>
      <c r="K50" s="5615"/>
      <c r="L50" s="5616"/>
      <c r="M50" s="140" t="s">
        <v>227</v>
      </c>
      <c r="O50" s="142"/>
      <c r="P50" s="2"/>
      <c r="Q50" s="2"/>
    </row>
    <row r="51" spans="1:17" s="1" customFormat="1">
      <c r="A51" s="5617"/>
      <c r="B51" s="1179" t="str">
        <f>ADDRESS(ROW(),COLUMN(),4)</f>
        <v>B51</v>
      </c>
      <c r="C51" s="1180" t="s">
        <v>691</v>
      </c>
      <c r="D51" s="140" t="s">
        <v>238</v>
      </c>
      <c r="E51" s="140"/>
      <c r="F51" s="572"/>
      <c r="G51" s="572"/>
      <c r="H51" s="3"/>
      <c r="I51" s="2"/>
      <c r="J51" s="5618"/>
      <c r="K51" s="1179" t="str">
        <f>ADDRESS(ROW(),COLUMN(),4)</f>
        <v>K51</v>
      </c>
      <c r="L51" s="1180" t="s">
        <v>691</v>
      </c>
      <c r="M51" s="142" t="s">
        <v>225</v>
      </c>
      <c r="O51" s="142"/>
      <c r="P51" s="2"/>
      <c r="Q51" s="2"/>
    </row>
    <row r="52" spans="1:17" s="1" customFormat="1">
      <c r="A52" s="5617"/>
      <c r="B52" s="172" t="s">
        <v>215</v>
      </c>
      <c r="C52" s="179">
        <v>87</v>
      </c>
      <c r="D52" s="142" t="s">
        <v>236</v>
      </c>
      <c r="E52" s="142"/>
      <c r="F52" s="572"/>
      <c r="G52" s="572"/>
      <c r="H52" s="3"/>
      <c r="I52" s="2"/>
      <c r="J52" s="5618"/>
      <c r="K52" s="172" t="s">
        <v>215</v>
      </c>
      <c r="L52" s="171">
        <v>87</v>
      </c>
      <c r="M52" s="140" t="s">
        <v>223</v>
      </c>
      <c r="O52" s="140"/>
      <c r="P52" s="2"/>
      <c r="Q52" s="2"/>
    </row>
    <row r="53" spans="1:17" s="1" customFormat="1">
      <c r="A53" s="5617"/>
      <c r="B53" s="170" t="s">
        <v>213</v>
      </c>
      <c r="C53" s="169">
        <v>5</v>
      </c>
      <c r="D53" s="140" t="s">
        <v>235</v>
      </c>
      <c r="E53" s="140"/>
      <c r="F53" s="572"/>
      <c r="G53" s="572"/>
      <c r="H53" s="3"/>
      <c r="I53" s="2"/>
      <c r="J53" s="5618"/>
      <c r="K53" s="170" t="s">
        <v>213</v>
      </c>
      <c r="L53" s="169">
        <v>5</v>
      </c>
      <c r="M53" s="142" t="s">
        <v>221</v>
      </c>
      <c r="O53" s="142"/>
      <c r="P53" s="2"/>
      <c r="Q53" s="2"/>
    </row>
    <row r="54" spans="1:17" s="1" customFormat="1">
      <c r="A54" s="5617"/>
      <c r="B54" s="157" t="s">
        <v>224</v>
      </c>
      <c r="C54" s="167">
        <f>C53/100</f>
        <v>0.05</v>
      </c>
      <c r="D54" s="140" t="s">
        <v>234</v>
      </c>
      <c r="E54" s="140"/>
      <c r="F54" s="572"/>
      <c r="G54" s="572"/>
      <c r="H54" s="3"/>
      <c r="I54" s="2"/>
      <c r="J54" s="5618"/>
      <c r="K54" s="157" t="s">
        <v>224</v>
      </c>
      <c r="L54" s="167">
        <f>(100-L53)/100</f>
        <v>0.95</v>
      </c>
      <c r="M54" s="140" t="s">
        <v>220</v>
      </c>
      <c r="O54" s="140"/>
      <c r="P54" s="2"/>
      <c r="Q54" s="2"/>
    </row>
    <row r="55" spans="1:17" s="1" customFormat="1" ht="16.5" thickBot="1">
      <c r="A55" s="5617"/>
      <c r="B55" s="166" t="s">
        <v>212</v>
      </c>
      <c r="C55" s="165">
        <f>C52*C54</f>
        <v>4.3500000000000005</v>
      </c>
      <c r="D55" s="142" t="s">
        <v>232</v>
      </c>
      <c r="E55" s="142"/>
      <c r="F55" s="572"/>
      <c r="G55" s="572"/>
      <c r="H55" s="3"/>
      <c r="I55" s="2"/>
      <c r="J55" s="5618"/>
      <c r="K55" s="166" t="s">
        <v>222</v>
      </c>
      <c r="L55" s="165">
        <f>L52*L54</f>
        <v>82.649999999999991</v>
      </c>
      <c r="M55" s="140"/>
      <c r="N55" s="140"/>
      <c r="O55" s="2"/>
      <c r="P55" s="2"/>
      <c r="Q55" s="2"/>
    </row>
    <row r="56" spans="1:17" s="1" customFormat="1" ht="35.25" customHeight="1" thickBot="1">
      <c r="A56" s="145"/>
      <c r="B56" s="145"/>
      <c r="C56" s="2"/>
      <c r="D56" s="2"/>
      <c r="F56" s="572"/>
      <c r="G56" s="572"/>
      <c r="H56" s="3"/>
      <c r="I56" s="490"/>
      <c r="J56" s="140"/>
      <c r="K56" s="140"/>
      <c r="L56" s="140"/>
      <c r="M56" s="140"/>
      <c r="N56" s="140"/>
      <c r="O56" s="2"/>
      <c r="P56" s="2"/>
      <c r="Q56" s="2"/>
    </row>
    <row r="57" spans="1:17" s="1" customFormat="1">
      <c r="A57" s="307" t="s">
        <v>70</v>
      </c>
      <c r="B57" s="5619" t="s">
        <v>241</v>
      </c>
      <c r="C57" s="5620"/>
      <c r="D57" s="140" t="s">
        <v>241</v>
      </c>
      <c r="E57" s="2"/>
      <c r="F57" s="572"/>
      <c r="G57" s="572"/>
      <c r="H57" s="3"/>
      <c r="I57" s="490"/>
      <c r="J57" s="307" t="s">
        <v>70</v>
      </c>
      <c r="K57" s="5621" t="s">
        <v>218</v>
      </c>
      <c r="L57" s="5622"/>
      <c r="M57" s="140" t="s">
        <v>218</v>
      </c>
      <c r="N57" s="140"/>
      <c r="O57" s="2"/>
      <c r="P57" s="2"/>
      <c r="Q57" s="2"/>
    </row>
    <row r="58" spans="1:17" s="1" customFormat="1">
      <c r="A58" s="4717" t="str">
        <f>B57</f>
        <v>Pour prendre 20% de 140</v>
      </c>
      <c r="B58" s="5625" t="s">
        <v>239</v>
      </c>
      <c r="C58" s="5626"/>
      <c r="D58" s="140" t="s">
        <v>239</v>
      </c>
      <c r="E58" s="2"/>
      <c r="F58" s="572"/>
      <c r="G58" s="572"/>
      <c r="H58" s="3"/>
      <c r="I58" s="490"/>
      <c r="J58" s="5618" t="str">
        <f>K57</f>
        <v xml:space="preserve">Voici la formule pour calculer un pourcentage, </v>
      </c>
      <c r="K58" s="5623"/>
      <c r="L58" s="5624"/>
      <c r="M58" s="140" t="s">
        <v>217</v>
      </c>
      <c r="N58" s="140"/>
      <c r="O58" s="2"/>
      <c r="P58" s="2"/>
      <c r="Q58" s="2"/>
    </row>
    <row r="59" spans="1:17" s="1" customFormat="1">
      <c r="A59" s="4717"/>
      <c r="B59" s="1179" t="str">
        <f>ADDRESS(ROW(),COLUMN(),4)</f>
        <v>B59</v>
      </c>
      <c r="C59" s="1180" t="s">
        <v>691</v>
      </c>
      <c r="D59" s="140" t="s">
        <v>237</v>
      </c>
      <c r="E59" s="2"/>
      <c r="F59" s="572"/>
      <c r="G59" s="572"/>
      <c r="H59" s="3"/>
      <c r="I59" s="490"/>
      <c r="J59" s="5618"/>
      <c r="K59" s="1179" t="str">
        <f>ADDRESS(ROW(),COLUMN(),4)</f>
        <v>K59</v>
      </c>
      <c r="L59" s="1180" t="s">
        <v>691</v>
      </c>
      <c r="M59" s="140" t="s">
        <v>216</v>
      </c>
      <c r="N59" s="140"/>
      <c r="O59" s="2"/>
      <c r="P59" s="2"/>
      <c r="Q59" s="2"/>
    </row>
    <row r="60" spans="1:17" s="1" customFormat="1">
      <c r="A60" s="4717"/>
      <c r="B60" s="181" t="s">
        <v>215</v>
      </c>
      <c r="C60" s="180">
        <v>140</v>
      </c>
      <c r="D60" s="142" t="s">
        <v>233</v>
      </c>
      <c r="E60" s="2"/>
      <c r="F60" s="572"/>
      <c r="G60" s="572"/>
      <c r="H60" s="3"/>
      <c r="I60" s="490"/>
      <c r="J60" s="5618"/>
      <c r="K60" s="5627" t="s">
        <v>217</v>
      </c>
      <c r="L60" s="5628"/>
      <c r="M60" s="140" t="s">
        <v>211</v>
      </c>
      <c r="N60" s="140"/>
      <c r="O60" s="2"/>
      <c r="P60" s="2"/>
      <c r="Q60" s="2"/>
    </row>
    <row r="61" spans="1:17" s="1" customFormat="1">
      <c r="A61" s="4717"/>
      <c r="B61" s="178" t="s">
        <v>213</v>
      </c>
      <c r="C61" s="177">
        <v>20</v>
      </c>
      <c r="D61" s="140" t="s">
        <v>231</v>
      </c>
      <c r="E61" s="2"/>
      <c r="F61" s="572"/>
      <c r="G61" s="572"/>
      <c r="H61" s="3"/>
      <c r="I61" s="490"/>
      <c r="J61" s="5618"/>
      <c r="K61" s="5629" t="s">
        <v>216</v>
      </c>
      <c r="L61" s="5630"/>
      <c r="M61" s="140" t="s">
        <v>210</v>
      </c>
      <c r="N61" s="140"/>
      <c r="O61" s="2"/>
      <c r="P61" s="2"/>
      <c r="Q61" s="2"/>
    </row>
    <row r="62" spans="1:17" s="1" customFormat="1">
      <c r="A62" s="4717"/>
      <c r="B62" s="175" t="s">
        <v>212</v>
      </c>
      <c r="C62" s="176">
        <f>(C60*C61)/100</f>
        <v>28</v>
      </c>
      <c r="D62" s="142" t="s">
        <v>228</v>
      </c>
      <c r="E62" s="2"/>
      <c r="F62" s="572"/>
      <c r="G62" s="572"/>
      <c r="H62" s="3"/>
      <c r="I62" s="490"/>
      <c r="J62" s="5618"/>
      <c r="K62" s="161" t="s">
        <v>215</v>
      </c>
      <c r="L62" s="160">
        <v>500</v>
      </c>
      <c r="M62" s="140" t="s">
        <v>214</v>
      </c>
      <c r="N62" s="140"/>
      <c r="O62" s="2"/>
      <c r="P62" s="2"/>
      <c r="Q62" s="2"/>
    </row>
    <row r="63" spans="1:17" s="1" customFormat="1">
      <c r="A63" s="4717"/>
      <c r="B63" s="175" t="s">
        <v>224</v>
      </c>
      <c r="C63" s="174">
        <f>C61/100</f>
        <v>0.2</v>
      </c>
      <c r="D63" s="140" t="s">
        <v>226</v>
      </c>
      <c r="E63" s="2"/>
      <c r="F63" s="572"/>
      <c r="G63" s="572"/>
      <c r="H63" s="3"/>
      <c r="I63" s="490"/>
      <c r="J63" s="5618"/>
      <c r="K63" s="159" t="s">
        <v>213</v>
      </c>
      <c r="L63" s="158">
        <v>8</v>
      </c>
      <c r="M63" s="2"/>
      <c r="N63" s="140"/>
      <c r="O63" s="2"/>
      <c r="P63" s="2"/>
      <c r="Q63" s="2"/>
    </row>
    <row r="64" spans="1:17" s="1" customFormat="1">
      <c r="A64" s="4717"/>
      <c r="B64" s="157" t="s">
        <v>212</v>
      </c>
      <c r="C64" s="156">
        <f>C60*C63</f>
        <v>28</v>
      </c>
      <c r="D64" s="142" t="s">
        <v>219</v>
      </c>
      <c r="E64" s="2"/>
      <c r="F64" s="572"/>
      <c r="G64" s="572"/>
      <c r="H64" s="3"/>
      <c r="I64" s="490"/>
      <c r="J64" s="5618"/>
      <c r="K64" s="157" t="s">
        <v>212</v>
      </c>
      <c r="L64" s="156">
        <f>L62*(L63/100)</f>
        <v>40</v>
      </c>
      <c r="M64" s="2"/>
      <c r="N64" s="140"/>
      <c r="O64" s="2"/>
      <c r="P64" s="2"/>
      <c r="Q64" s="2"/>
    </row>
    <row r="65" spans="1:17" s="1" customFormat="1">
      <c r="A65" s="4717"/>
      <c r="B65" s="5631" t="s">
        <v>233</v>
      </c>
      <c r="C65" s="5632"/>
      <c r="D65" s="2"/>
      <c r="E65" s="2"/>
      <c r="F65" s="572"/>
      <c r="G65" s="572"/>
      <c r="H65" s="3"/>
      <c r="I65" s="490"/>
      <c r="J65" s="5618"/>
      <c r="K65" s="5633" t="s">
        <v>211</v>
      </c>
      <c r="L65" s="5634"/>
      <c r="M65" s="2"/>
      <c r="N65" s="140"/>
      <c r="O65" s="2"/>
      <c r="P65" s="2"/>
      <c r="Q65" s="2"/>
    </row>
    <row r="66" spans="1:17" s="1" customFormat="1">
      <c r="A66" s="4717"/>
      <c r="B66" s="5601" t="s">
        <v>231</v>
      </c>
      <c r="C66" s="5602"/>
      <c r="D66" s="2"/>
      <c r="E66" s="2"/>
      <c r="F66" s="572"/>
      <c r="G66" s="572"/>
      <c r="H66" s="3"/>
      <c r="I66" s="490"/>
      <c r="J66" s="5618"/>
      <c r="K66" s="5629" t="s">
        <v>210</v>
      </c>
      <c r="L66" s="5630"/>
      <c r="M66" s="2"/>
      <c r="N66" s="140"/>
      <c r="O66" s="2"/>
      <c r="P66" s="2"/>
      <c r="Q66" s="2"/>
    </row>
    <row r="67" spans="1:17" s="1" customFormat="1" ht="16.5" thickBot="1">
      <c r="A67" s="4717"/>
      <c r="B67" s="164">
        <f>C63</f>
        <v>0.2</v>
      </c>
      <c r="C67" s="163">
        <f>C60*B67</f>
        <v>28</v>
      </c>
      <c r="D67" s="2"/>
      <c r="E67" s="2"/>
      <c r="F67" s="572"/>
      <c r="G67" s="572"/>
      <c r="H67" s="3"/>
      <c r="I67" s="490"/>
      <c r="J67" s="5618"/>
      <c r="K67" s="155">
        <f>L63/100</f>
        <v>0.08</v>
      </c>
      <c r="L67" s="154">
        <f>L62*K67</f>
        <v>40</v>
      </c>
      <c r="M67" s="140"/>
      <c r="N67" s="140"/>
      <c r="O67" s="2"/>
      <c r="P67" s="2"/>
      <c r="Q67" s="2"/>
    </row>
    <row r="68" spans="1:17" s="1" customFormat="1">
      <c r="A68" s="4717"/>
      <c r="B68" s="5611" t="s">
        <v>228</v>
      </c>
      <c r="C68" s="5612"/>
      <c r="D68" s="2"/>
      <c r="E68" s="2"/>
      <c r="F68" s="572"/>
      <c r="G68" s="572"/>
      <c r="H68" s="3"/>
      <c r="I68" s="490"/>
      <c r="J68" s="140"/>
      <c r="K68" s="2"/>
      <c r="L68" s="2"/>
      <c r="M68" s="140"/>
      <c r="N68" s="140"/>
      <c r="O68" s="2"/>
      <c r="P68" s="2"/>
      <c r="Q68" s="2"/>
    </row>
    <row r="69" spans="1:17" s="1" customFormat="1" ht="15.75" customHeight="1">
      <c r="A69" s="4717"/>
      <c r="B69" s="168" t="s">
        <v>226</v>
      </c>
      <c r="C69" s="131"/>
      <c r="D69" s="2"/>
      <c r="E69" s="2"/>
      <c r="F69" s="2"/>
      <c r="G69" s="572"/>
      <c r="H69" s="3"/>
      <c r="I69" s="490"/>
      <c r="J69" s="490"/>
      <c r="K69" s="2"/>
      <c r="L69" s="2"/>
      <c r="M69" s="490"/>
      <c r="N69" s="490"/>
      <c r="O69" s="2"/>
      <c r="P69" s="2"/>
      <c r="Q69" s="2"/>
    </row>
    <row r="70" spans="1:17" s="1" customFormat="1" ht="15">
      <c r="A70" s="4717"/>
      <c r="B70" s="159" t="s">
        <v>213</v>
      </c>
      <c r="C70" s="158">
        <v>40</v>
      </c>
      <c r="D70" s="2"/>
      <c r="E70" s="2"/>
      <c r="F70" s="2"/>
      <c r="G70" s="572"/>
      <c r="H70" s="3"/>
      <c r="I70" s="490"/>
      <c r="J70" s="490"/>
      <c r="K70" s="2"/>
      <c r="L70" s="2"/>
      <c r="M70" s="490"/>
      <c r="N70" s="490"/>
      <c r="O70" s="2"/>
      <c r="P70" s="2"/>
      <c r="Q70" s="2"/>
    </row>
    <row r="71" spans="1:17" s="1" customFormat="1">
      <c r="A71" s="4717"/>
      <c r="B71" s="164">
        <f>C70/100</f>
        <v>0.4</v>
      </c>
      <c r="C71" s="163">
        <f>C60*B71</f>
        <v>56</v>
      </c>
      <c r="D71" s="2"/>
      <c r="E71" s="2"/>
      <c r="F71" s="2"/>
      <c r="G71" s="572"/>
      <c r="H71" s="3"/>
      <c r="I71" s="490"/>
      <c r="J71" s="490"/>
      <c r="K71" s="2"/>
      <c r="L71" s="2"/>
      <c r="M71" s="490"/>
      <c r="N71" s="490"/>
      <c r="O71" s="2"/>
      <c r="P71" s="2"/>
      <c r="Q71" s="2"/>
    </row>
    <row r="72" spans="1:17" s="1" customFormat="1" ht="15">
      <c r="A72" s="4717"/>
      <c r="B72" s="159" t="s">
        <v>213</v>
      </c>
      <c r="C72" s="158">
        <v>90</v>
      </c>
      <c r="D72" s="2"/>
      <c r="E72" s="2"/>
      <c r="F72" s="2"/>
      <c r="G72" s="572"/>
      <c r="H72" s="3"/>
      <c r="I72" s="490"/>
      <c r="J72" s="490"/>
      <c r="K72" s="2"/>
      <c r="L72" s="2"/>
      <c r="M72" s="490"/>
      <c r="N72" s="490"/>
      <c r="O72" s="2"/>
      <c r="P72" s="2"/>
      <c r="Q72" s="2"/>
    </row>
    <row r="73" spans="1:17" s="1" customFormat="1">
      <c r="A73" s="4717"/>
      <c r="B73" s="5601" t="s">
        <v>219</v>
      </c>
      <c r="C73" s="5602"/>
      <c r="D73" s="2"/>
      <c r="E73" s="2"/>
      <c r="F73" s="2"/>
      <c r="G73" s="572"/>
      <c r="H73" s="3"/>
      <c r="I73" s="490"/>
      <c r="J73" s="490"/>
      <c r="K73" s="2"/>
      <c r="L73" s="2"/>
      <c r="M73" s="490"/>
      <c r="N73" s="490"/>
      <c r="O73" s="2"/>
      <c r="P73" s="2"/>
      <c r="Q73" s="2"/>
    </row>
    <row r="74" spans="1:17" s="1" customFormat="1" ht="16.5" thickBot="1">
      <c r="A74" s="4717"/>
      <c r="B74" s="162">
        <f>C72/100</f>
        <v>0.9</v>
      </c>
      <c r="C74" s="154">
        <f>C60*B74</f>
        <v>126</v>
      </c>
      <c r="D74" s="2"/>
      <c r="E74" s="2"/>
      <c r="F74" s="2"/>
      <c r="G74" s="572"/>
      <c r="H74" s="3"/>
      <c r="I74" s="490"/>
      <c r="J74" s="490"/>
      <c r="K74" s="2"/>
      <c r="L74" s="2"/>
      <c r="M74" s="490"/>
      <c r="N74" s="490"/>
      <c r="O74" s="2"/>
      <c r="P74" s="2"/>
      <c r="Q74" s="2"/>
    </row>
    <row r="75" spans="1:17" s="1" customFormat="1" ht="15">
      <c r="A75" s="572"/>
      <c r="B75" s="572"/>
      <c r="C75" s="572"/>
      <c r="D75" s="572"/>
      <c r="E75" s="572"/>
      <c r="F75" s="572"/>
      <c r="G75" s="572"/>
      <c r="H75" s="3"/>
      <c r="I75" s="490"/>
      <c r="J75" s="490"/>
      <c r="K75" s="139"/>
      <c r="L75" s="139"/>
      <c r="M75" s="490"/>
      <c r="N75" s="490"/>
      <c r="O75" s="2"/>
      <c r="P75" s="2"/>
      <c r="Q75" s="3"/>
    </row>
    <row r="76" spans="1:17" s="1" customFormat="1" ht="33">
      <c r="A76" s="635">
        <f>(ROW())</f>
        <v>76</v>
      </c>
      <c r="B76" s="5298" t="s">
        <v>710</v>
      </c>
      <c r="C76" s="5298"/>
      <c r="D76" s="5298"/>
      <c r="E76" s="5298"/>
      <c r="F76" s="5298"/>
      <c r="G76" s="5298"/>
      <c r="H76" s="5298"/>
      <c r="I76" s="5298"/>
      <c r="J76" s="5298"/>
      <c r="K76" s="5298"/>
      <c r="L76" s="5298"/>
      <c r="M76" s="5298"/>
      <c r="N76" s="5298"/>
      <c r="O76" s="5298"/>
      <c r="P76" s="5298"/>
      <c r="Q76" s="5298"/>
    </row>
    <row r="77" spans="1:17" s="1" customFormat="1" ht="15">
      <c r="A77" s="2"/>
      <c r="B77" s="572"/>
      <c r="C77" s="572"/>
      <c r="D77" s="572"/>
      <c r="E77" s="572"/>
      <c r="F77" s="572"/>
      <c r="G77" s="572"/>
      <c r="H77" s="3"/>
      <c r="I77" s="490"/>
      <c r="J77" s="490"/>
      <c r="K77" s="139"/>
      <c r="L77" s="139"/>
      <c r="M77" s="490"/>
      <c r="N77" s="490"/>
      <c r="O77" s="2"/>
      <c r="P77" s="2"/>
      <c r="Q77" s="3"/>
    </row>
    <row r="78" spans="1:17" s="1" customFormat="1" ht="15">
      <c r="A78" s="2"/>
      <c r="B78" s="572"/>
      <c r="C78" s="572"/>
      <c r="D78" s="572"/>
      <c r="E78" s="572"/>
      <c r="F78" s="572"/>
      <c r="G78" s="572"/>
      <c r="H78" s="3"/>
      <c r="I78" s="490"/>
      <c r="J78" s="490"/>
      <c r="K78" s="139"/>
      <c r="L78" s="139"/>
      <c r="M78" s="490"/>
      <c r="N78" s="490"/>
      <c r="O78" s="2"/>
      <c r="P78" s="2"/>
      <c r="Q78" s="3"/>
    </row>
    <row r="79" spans="1:17" s="1" customFormat="1" ht="21">
      <c r="A79" s="2"/>
      <c r="B79" s="572"/>
      <c r="C79" s="1174" t="s">
        <v>836</v>
      </c>
      <c r="D79" s="1174"/>
      <c r="E79" s="3"/>
      <c r="F79" s="3"/>
      <c r="G79" s="3"/>
      <c r="H79" s="3"/>
      <c r="I79" s="490"/>
      <c r="J79" s="1174" t="s">
        <v>209</v>
      </c>
      <c r="K79" s="1174"/>
      <c r="L79" s="3"/>
      <c r="M79" s="1174"/>
      <c r="N79" s="1174"/>
      <c r="O79" s="3"/>
      <c r="P79" s="1174"/>
      <c r="Q79" s="3"/>
    </row>
    <row r="80" spans="1:17" s="1" customFormat="1" ht="21">
      <c r="A80" s="2"/>
      <c r="B80" s="572"/>
      <c r="C80" s="1176" t="str">
        <f>B110</f>
        <v>B110</v>
      </c>
      <c r="D80" s="661" t="s">
        <v>691</v>
      </c>
      <c r="E80" s="814"/>
      <c r="F80" s="140"/>
      <c r="G80" s="2"/>
      <c r="H80" s="3"/>
      <c r="I80" s="490"/>
      <c r="J80" s="1176" t="str">
        <f>J110</f>
        <v>J110</v>
      </c>
      <c r="K80" s="661" t="s">
        <v>691</v>
      </c>
      <c r="L80" s="913"/>
      <c r="M80" s="913"/>
      <c r="N80" s="913"/>
      <c r="O80" s="913"/>
      <c r="P80" s="913"/>
      <c r="Q80" s="3"/>
    </row>
    <row r="81" spans="1:17" s="1" customFormat="1" ht="15">
      <c r="A81" s="2"/>
      <c r="B81" s="572"/>
      <c r="C81" s="572"/>
      <c r="D81" s="572"/>
      <c r="E81" s="572"/>
      <c r="F81" s="572"/>
      <c r="G81" s="572"/>
      <c r="H81" s="3"/>
      <c r="I81" s="490"/>
      <c r="J81" s="490"/>
      <c r="K81" s="139"/>
      <c r="L81" s="139"/>
      <c r="M81" s="490"/>
      <c r="N81" s="490"/>
      <c r="O81" s="2"/>
      <c r="P81" s="2"/>
      <c r="Q81" s="3"/>
    </row>
    <row r="82" spans="1:17" s="1" customFormat="1" ht="15">
      <c r="A82" s="2"/>
      <c r="B82" s="572"/>
      <c r="C82" s="572"/>
      <c r="D82" s="572"/>
      <c r="E82" s="572"/>
      <c r="F82" s="572"/>
      <c r="G82" s="572"/>
      <c r="H82" s="3"/>
      <c r="I82" s="490"/>
      <c r="J82" s="490"/>
      <c r="K82" s="139"/>
      <c r="L82" s="139"/>
      <c r="M82" s="490"/>
      <c r="N82" s="490"/>
      <c r="O82" s="2"/>
      <c r="P82" s="2"/>
      <c r="Q82" s="3"/>
    </row>
    <row r="83" spans="1:17" s="1" customFormat="1" ht="15">
      <c r="A83" s="2"/>
      <c r="B83" s="572"/>
      <c r="C83" s="572"/>
      <c r="D83" s="572"/>
      <c r="E83" s="572"/>
      <c r="F83" s="572"/>
      <c r="G83" s="572"/>
      <c r="H83" s="3"/>
      <c r="I83" s="490"/>
      <c r="J83" s="2"/>
      <c r="K83" s="2"/>
      <c r="L83" s="2"/>
      <c r="M83" s="2"/>
      <c r="N83" s="2"/>
      <c r="O83" s="2"/>
      <c r="P83" s="2"/>
      <c r="Q83" s="3"/>
    </row>
    <row r="84" spans="1:17" s="1" customFormat="1" ht="15">
      <c r="A84" s="2"/>
      <c r="B84" s="572"/>
      <c r="C84" s="572"/>
      <c r="D84" s="572"/>
      <c r="E84" s="572"/>
      <c r="F84" s="572"/>
      <c r="G84" s="572"/>
      <c r="H84" s="3"/>
      <c r="I84" s="490"/>
      <c r="J84" s="2"/>
      <c r="K84" s="2"/>
      <c r="L84" s="2"/>
      <c r="M84" s="2"/>
      <c r="N84" s="2"/>
      <c r="O84" s="2"/>
      <c r="P84" s="2"/>
      <c r="Q84" s="3"/>
    </row>
    <row r="85" spans="1:17" s="1" customFormat="1" ht="15">
      <c r="A85" s="2"/>
      <c r="B85" s="572"/>
      <c r="C85" s="572"/>
      <c r="D85" s="572"/>
      <c r="E85" s="572"/>
      <c r="F85" s="572"/>
      <c r="G85" s="572"/>
      <c r="H85" s="3"/>
      <c r="I85" s="490"/>
      <c r="J85" s="2"/>
      <c r="K85" s="2"/>
      <c r="L85" s="2"/>
      <c r="M85" s="2"/>
      <c r="N85" s="2"/>
      <c r="O85" s="2"/>
      <c r="P85" s="2"/>
      <c r="Q85" s="3"/>
    </row>
    <row r="86" spans="1:17" s="1" customFormat="1" ht="15">
      <c r="A86" s="2"/>
      <c r="B86" s="572"/>
      <c r="C86" s="572"/>
      <c r="D86" s="572"/>
      <c r="E86" s="572"/>
      <c r="F86" s="572"/>
      <c r="G86" s="572"/>
      <c r="H86" s="3"/>
      <c r="I86" s="490"/>
      <c r="J86" s="2"/>
      <c r="K86" s="2"/>
      <c r="L86" s="2"/>
      <c r="M86" s="2"/>
      <c r="N86" s="2"/>
      <c r="O86" s="2"/>
      <c r="P86" s="2"/>
      <c r="Q86" s="3"/>
    </row>
    <row r="87" spans="1:17" s="1" customFormat="1" ht="15">
      <c r="A87" s="2"/>
      <c r="B87" s="572"/>
      <c r="C87" s="572"/>
      <c r="D87" s="572"/>
      <c r="E87" s="572"/>
      <c r="F87" s="572"/>
      <c r="G87" s="572"/>
      <c r="H87" s="3"/>
      <c r="I87" s="490"/>
      <c r="J87" s="2"/>
      <c r="K87" s="2"/>
      <c r="L87" s="2"/>
      <c r="M87" s="2"/>
      <c r="N87" s="2"/>
      <c r="O87" s="2"/>
      <c r="P87" s="2"/>
      <c r="Q87" s="3"/>
    </row>
    <row r="88" spans="1:17" s="1" customFormat="1" ht="15">
      <c r="A88" s="2"/>
      <c r="B88" s="572"/>
      <c r="C88" s="572"/>
      <c r="D88" s="572"/>
      <c r="E88" s="572"/>
      <c r="F88" s="572"/>
      <c r="G88" s="572"/>
      <c r="H88" s="3"/>
      <c r="I88" s="490"/>
      <c r="J88" s="2"/>
      <c r="K88" s="2"/>
      <c r="L88" s="2"/>
      <c r="M88" s="2"/>
      <c r="N88" s="2"/>
      <c r="O88" s="2"/>
      <c r="P88" s="2"/>
      <c r="Q88" s="3"/>
    </row>
    <row r="89" spans="1:17" s="1" customFormat="1" ht="15">
      <c r="A89" s="2"/>
      <c r="B89" s="572"/>
      <c r="C89" s="572"/>
      <c r="D89" s="572"/>
      <c r="E89" s="572"/>
      <c r="F89" s="572"/>
      <c r="G89" s="572"/>
      <c r="H89" s="3"/>
      <c r="I89" s="490"/>
      <c r="J89" s="2"/>
      <c r="K89" s="2"/>
      <c r="L89" s="2"/>
      <c r="M89" s="2"/>
      <c r="N89" s="2"/>
      <c r="O89" s="2"/>
      <c r="P89" s="2"/>
      <c r="Q89" s="3"/>
    </row>
    <row r="90" spans="1:17" s="1" customFormat="1">
      <c r="A90" s="2"/>
      <c r="B90" s="141" t="s">
        <v>251</v>
      </c>
      <c r="C90" s="572"/>
      <c r="D90" s="572"/>
      <c r="E90" s="572"/>
      <c r="F90" s="572"/>
      <c r="G90" s="572"/>
      <c r="H90" s="3"/>
      <c r="I90" s="490"/>
      <c r="J90" s="2"/>
      <c r="K90" s="2"/>
      <c r="L90" s="2"/>
      <c r="M90" s="2"/>
      <c r="N90" s="2"/>
      <c r="O90" s="2"/>
      <c r="P90" s="2"/>
      <c r="Q90" s="3"/>
    </row>
    <row r="91" spans="1:17" s="1" customFormat="1">
      <c r="A91" s="2"/>
      <c r="B91" s="141" t="s">
        <v>249</v>
      </c>
      <c r="C91" s="572"/>
      <c r="D91" s="572"/>
      <c r="E91" s="572"/>
      <c r="F91" s="572"/>
      <c r="G91" s="572"/>
      <c r="H91" s="3"/>
      <c r="I91" s="490"/>
      <c r="J91" s="2"/>
      <c r="K91" s="2"/>
      <c r="L91" s="2"/>
      <c r="M91" s="2"/>
      <c r="N91" s="2"/>
      <c r="O91" s="2"/>
      <c r="P91" s="2"/>
      <c r="Q91" s="3"/>
    </row>
    <row r="92" spans="1:17" s="1" customFormat="1" ht="15">
      <c r="A92" s="2"/>
      <c r="B92" s="572"/>
      <c r="C92" s="572"/>
      <c r="D92" s="572"/>
      <c r="E92" s="572"/>
      <c r="F92" s="572"/>
      <c r="G92" s="572"/>
      <c r="H92" s="3"/>
      <c r="I92" s="490"/>
      <c r="J92" s="2"/>
      <c r="K92" s="2"/>
      <c r="L92" s="2"/>
      <c r="M92" s="2"/>
      <c r="N92" s="2"/>
      <c r="O92" s="2"/>
      <c r="P92" s="2"/>
      <c r="Q92" s="3"/>
    </row>
    <row r="93" spans="1:17" s="1" customFormat="1">
      <c r="A93" s="2"/>
      <c r="B93" s="183" t="s">
        <v>246</v>
      </c>
      <c r="C93" s="2"/>
      <c r="D93" s="2"/>
      <c r="E93" s="2"/>
      <c r="F93" s="572"/>
      <c r="G93" s="572"/>
      <c r="H93" s="3"/>
      <c r="I93" s="490"/>
      <c r="J93" s="2"/>
      <c r="K93" s="2"/>
      <c r="L93" s="2"/>
      <c r="M93" s="2"/>
      <c r="N93" s="2"/>
      <c r="O93" s="2"/>
      <c r="P93" s="2"/>
      <c r="Q93" s="3"/>
    </row>
    <row r="94" spans="1:17" s="1" customFormat="1" ht="15">
      <c r="A94" s="2"/>
      <c r="C94" s="2"/>
      <c r="D94" s="2"/>
      <c r="E94" s="2"/>
      <c r="F94" s="572"/>
      <c r="G94" s="572"/>
      <c r="H94" s="3"/>
      <c r="I94" s="490"/>
      <c r="J94" s="490"/>
      <c r="K94" s="139"/>
      <c r="L94" s="139"/>
      <c r="M94" s="490"/>
      <c r="N94" s="490"/>
      <c r="O94" s="2"/>
      <c r="P94" s="2"/>
      <c r="Q94" s="3"/>
    </row>
    <row r="95" spans="1:17" s="1" customFormat="1" ht="18.75">
      <c r="A95" s="2"/>
      <c r="B95" s="689" t="s">
        <v>365</v>
      </c>
      <c r="C95" s="5603" t="s">
        <v>244</v>
      </c>
      <c r="D95" s="5603"/>
      <c r="E95" s="5603"/>
      <c r="F95" s="5603"/>
      <c r="G95" s="5603"/>
      <c r="H95" s="5603"/>
      <c r="I95" s="5603"/>
      <c r="J95" s="5603"/>
      <c r="K95" s="5603"/>
      <c r="L95" s="5603"/>
      <c r="M95" s="490"/>
      <c r="N95" s="490"/>
      <c r="O95" s="2"/>
      <c r="P95" s="2"/>
      <c r="Q95" s="3"/>
    </row>
    <row r="96" spans="1:17" s="1" customFormat="1" ht="31.5" customHeight="1">
      <c r="A96" s="2"/>
      <c r="B96" s="141"/>
      <c r="C96" s="184"/>
      <c r="D96" s="184"/>
      <c r="E96" s="184"/>
      <c r="F96" s="572"/>
      <c r="G96" s="572"/>
      <c r="H96" s="3"/>
      <c r="I96" s="490"/>
      <c r="J96" s="183"/>
      <c r="K96" s="139"/>
      <c r="M96" s="2"/>
      <c r="N96" s="2"/>
      <c r="O96" s="2"/>
      <c r="P96" s="2"/>
      <c r="Q96" s="3"/>
    </row>
    <row r="97" spans="1:17" s="1" customFormat="1" ht="16.5" customHeight="1">
      <c r="A97" s="2"/>
      <c r="B97" s="191" t="s">
        <v>257</v>
      </c>
      <c r="C97" s="190"/>
      <c r="D97" s="190"/>
      <c r="E97" s="189"/>
      <c r="F97" s="189"/>
      <c r="G97" s="572"/>
      <c r="H97" s="3"/>
      <c r="I97" s="490"/>
      <c r="J97" s="182"/>
      <c r="K97" s="139"/>
      <c r="L97" s="139"/>
      <c r="M97" s="2"/>
      <c r="N97" s="2"/>
      <c r="O97" s="2"/>
      <c r="P97" s="2"/>
      <c r="Q97" s="3"/>
    </row>
    <row r="98" spans="1:17" s="1" customFormat="1">
      <c r="A98" s="2"/>
      <c r="B98" s="490"/>
      <c r="C98" s="139"/>
      <c r="D98" s="139"/>
      <c r="E98" s="490"/>
      <c r="F98" s="490"/>
      <c r="G98" s="2"/>
      <c r="H98" s="2"/>
      <c r="I98" s="490"/>
      <c r="J98" s="140"/>
      <c r="K98" s="140"/>
      <c r="L98" s="139"/>
      <c r="M98" s="2"/>
      <c r="N98" s="2"/>
      <c r="O98" s="2"/>
      <c r="P98" s="2"/>
      <c r="Q98" s="3"/>
    </row>
    <row r="99" spans="1:17" s="1" customFormat="1" ht="21">
      <c r="A99" s="2"/>
      <c r="B99" s="188" t="s">
        <v>256</v>
      </c>
      <c r="C99" s="2"/>
      <c r="D99" s="2"/>
      <c r="E99" s="2"/>
      <c r="F99" s="2"/>
      <c r="G99" s="2"/>
      <c r="H99" s="2"/>
      <c r="I99" s="490"/>
      <c r="J99" s="2"/>
      <c r="K99" s="140"/>
      <c r="L99" s="139"/>
      <c r="M99" s="2"/>
      <c r="N99" s="2"/>
      <c r="O99" s="2"/>
      <c r="P99" s="2"/>
      <c r="Q99" s="3"/>
    </row>
    <row r="100" spans="1:17" s="1" customFormat="1" ht="15.75" customHeight="1">
      <c r="A100" s="2"/>
      <c r="B100" s="5604" t="s">
        <v>255</v>
      </c>
      <c r="C100" s="5604"/>
      <c r="D100" s="5604"/>
      <c r="E100" s="5604"/>
      <c r="F100" s="5604"/>
      <c r="G100" s="2"/>
      <c r="H100" s="2"/>
      <c r="I100" s="490"/>
      <c r="J100" s="2"/>
      <c r="K100" s="140"/>
      <c r="L100" s="139"/>
      <c r="M100" s="2"/>
      <c r="N100" s="2"/>
      <c r="O100" s="2"/>
      <c r="P100" s="2"/>
      <c r="Q100" s="2"/>
    </row>
    <row r="101" spans="1:17" s="1" customFormat="1" ht="20.25">
      <c r="A101" s="2"/>
      <c r="B101" s="689" t="s">
        <v>365</v>
      </c>
      <c r="C101" s="690" t="s">
        <v>254</v>
      </c>
      <c r="D101" s="186"/>
      <c r="E101" s="185"/>
      <c r="F101" s="490"/>
      <c r="G101" s="2"/>
      <c r="H101" s="2"/>
      <c r="I101" s="490"/>
      <c r="J101" s="2"/>
      <c r="K101" s="140"/>
      <c r="L101" s="139"/>
      <c r="M101" s="2"/>
      <c r="N101" s="2"/>
      <c r="O101" s="2"/>
      <c r="P101" s="2"/>
      <c r="Q101" s="2"/>
    </row>
    <row r="102" spans="1:17" s="1" customFormat="1" ht="21">
      <c r="A102" s="2"/>
      <c r="B102" s="187"/>
      <c r="C102" s="690" t="s">
        <v>253</v>
      </c>
      <c r="D102" s="186"/>
      <c r="E102" s="185"/>
      <c r="F102" s="490"/>
      <c r="G102" s="2"/>
      <c r="H102" s="2"/>
      <c r="I102" s="490"/>
      <c r="J102" s="2"/>
      <c r="K102" s="2"/>
      <c r="L102" s="2"/>
      <c r="M102" s="2"/>
      <c r="N102" s="2"/>
      <c r="O102" s="2"/>
      <c r="P102" s="2"/>
      <c r="Q102" s="2"/>
    </row>
    <row r="103" spans="1:17" s="1" customFormat="1" ht="21">
      <c r="A103" s="2"/>
      <c r="B103" s="187"/>
      <c r="C103" s="690" t="s">
        <v>252</v>
      </c>
      <c r="D103" s="186"/>
      <c r="E103" s="185"/>
      <c r="F103" s="490"/>
      <c r="G103" s="2"/>
      <c r="H103" s="2"/>
      <c r="I103" s="490"/>
      <c r="J103" s="2"/>
      <c r="K103" s="2"/>
      <c r="L103" s="2"/>
      <c r="M103" s="2"/>
      <c r="N103" s="2"/>
      <c r="O103" s="2"/>
      <c r="P103" s="2"/>
      <c r="Q103" s="2"/>
    </row>
    <row r="104" spans="1:17" s="1" customFormat="1" ht="21">
      <c r="A104" s="2"/>
      <c r="B104" s="187"/>
      <c r="C104" s="690" t="s">
        <v>250</v>
      </c>
      <c r="D104" s="186"/>
      <c r="E104" s="185"/>
      <c r="F104" s="490"/>
      <c r="G104" s="572"/>
      <c r="H104" s="3"/>
      <c r="I104" s="490"/>
      <c r="J104" s="2"/>
      <c r="K104" s="2"/>
      <c r="L104" s="2"/>
      <c r="M104" s="2"/>
      <c r="N104" s="2"/>
      <c r="O104" s="2"/>
      <c r="P104" s="2"/>
      <c r="Q104" s="2"/>
    </row>
    <row r="105" spans="1:17" s="1" customFormat="1" ht="21">
      <c r="A105" s="2"/>
      <c r="B105" s="187"/>
      <c r="C105" s="690" t="s">
        <v>248</v>
      </c>
      <c r="D105" s="186"/>
      <c r="E105" s="185"/>
      <c r="F105" s="490"/>
      <c r="G105" s="2"/>
      <c r="H105" s="2"/>
      <c r="I105" s="490"/>
      <c r="J105" s="2"/>
      <c r="K105" s="2"/>
      <c r="L105" s="2"/>
      <c r="M105" s="2"/>
      <c r="N105" s="2"/>
      <c r="O105" s="2"/>
      <c r="P105" s="2"/>
      <c r="Q105" s="2"/>
    </row>
    <row r="106" spans="1:17" s="1" customFormat="1" ht="21">
      <c r="A106" s="2"/>
      <c r="B106" s="187"/>
      <c r="C106" s="690" t="s">
        <v>247</v>
      </c>
      <c r="D106" s="186"/>
      <c r="E106" s="185"/>
      <c r="F106" s="490"/>
      <c r="G106" s="2"/>
      <c r="H106" s="2"/>
      <c r="I106" s="490"/>
      <c r="J106" s="2"/>
      <c r="K106" s="2"/>
      <c r="L106" s="2"/>
      <c r="M106" s="2"/>
      <c r="N106" s="2"/>
      <c r="O106" s="173" t="s">
        <v>230</v>
      </c>
      <c r="P106" s="2"/>
      <c r="Q106" s="2"/>
    </row>
    <row r="107" spans="1:17" s="1" customFormat="1" ht="21">
      <c r="A107" s="2"/>
      <c r="B107" s="187"/>
      <c r="C107" s="690" t="s">
        <v>245</v>
      </c>
      <c r="D107" s="186"/>
      <c r="E107" s="185"/>
      <c r="F107" s="490"/>
      <c r="G107" s="2"/>
      <c r="H107" s="2"/>
      <c r="I107" s="490"/>
      <c r="J107" s="2"/>
      <c r="K107" s="2"/>
      <c r="L107" s="2"/>
      <c r="M107" s="2"/>
      <c r="N107" s="2"/>
      <c r="O107" s="2"/>
      <c r="P107" s="2"/>
      <c r="Q107" s="2"/>
    </row>
    <row r="108" spans="1:17" s="1" customFormat="1" ht="16.5" thickBot="1">
      <c r="A108" s="2"/>
      <c r="B108" s="145"/>
      <c r="C108" s="2"/>
      <c r="D108" s="2"/>
      <c r="E108" s="2"/>
      <c r="F108" s="572"/>
      <c r="G108" s="572"/>
      <c r="H108" s="3"/>
      <c r="I108" s="490"/>
      <c r="J108" s="140"/>
      <c r="K108" s="140"/>
      <c r="L108" s="140"/>
      <c r="M108" s="140"/>
      <c r="N108" s="140"/>
      <c r="O108" s="2"/>
      <c r="P108" s="2"/>
      <c r="Q108" s="2"/>
    </row>
    <row r="109" spans="1:17" s="1" customFormat="1" ht="20.25">
      <c r="A109" s="307" t="s">
        <v>70</v>
      </c>
      <c r="B109" s="5605" t="s">
        <v>836</v>
      </c>
      <c r="C109" s="5606"/>
      <c r="D109" s="5606"/>
      <c r="E109" s="5606"/>
      <c r="F109" s="5607"/>
      <c r="G109" s="572"/>
      <c r="H109" s="3"/>
      <c r="I109" s="307" t="s">
        <v>70</v>
      </c>
      <c r="J109" s="5608" t="s">
        <v>209</v>
      </c>
      <c r="K109" s="5609"/>
      <c r="L109" s="5609"/>
      <c r="M109" s="5609"/>
      <c r="N109" s="5609"/>
      <c r="O109" s="5609"/>
      <c r="P109" s="5610"/>
      <c r="Q109" s="2"/>
    </row>
    <row r="110" spans="1:17" s="1" customFormat="1">
      <c r="A110" s="4717" t="str">
        <f>B109</f>
        <v>Formule avec DONT</v>
      </c>
      <c r="B110" s="533" t="str">
        <f>ADDRESS(ROW(),COLUMN(),4)</f>
        <v>B110</v>
      </c>
      <c r="C110" s="534" t="s">
        <v>691</v>
      </c>
      <c r="D110" s="814"/>
      <c r="E110" s="140"/>
      <c r="F110" s="131"/>
      <c r="G110" s="572"/>
      <c r="H110" s="3"/>
      <c r="I110" s="4717" t="str">
        <f>J109</f>
        <v>Décriptage d'une recette par les pourcentages</v>
      </c>
      <c r="J110" s="533" t="str">
        <f>ADDRESS(ROW(),COLUMN(),4)</f>
        <v>J110</v>
      </c>
      <c r="K110" s="534" t="s">
        <v>691</v>
      </c>
      <c r="L110" s="601"/>
      <c r="M110" s="601"/>
      <c r="N110" s="601"/>
      <c r="O110" s="601"/>
      <c r="P110" s="602"/>
      <c r="Q110" s="2"/>
    </row>
    <row r="111" spans="1:17" s="1" customFormat="1" ht="15">
      <c r="A111" s="4717"/>
      <c r="B111" s="5561" t="s">
        <v>788</v>
      </c>
      <c r="C111" s="5562" t="s">
        <v>837</v>
      </c>
      <c r="D111" s="5562"/>
      <c r="E111" s="5562"/>
      <c r="F111" s="5563"/>
      <c r="G111" s="572"/>
      <c r="H111" s="3"/>
      <c r="I111" s="4717"/>
      <c r="J111" s="5566" t="s">
        <v>788</v>
      </c>
      <c r="K111" s="5562" t="s">
        <v>787</v>
      </c>
      <c r="L111" s="5562"/>
      <c r="M111" s="5562"/>
      <c r="N111" s="5562"/>
      <c r="O111" s="5562"/>
      <c r="P111" s="5563"/>
      <c r="Q111" s="2"/>
    </row>
    <row r="112" spans="1:17" s="1" customFormat="1" ht="15">
      <c r="A112" s="4717"/>
      <c r="B112" s="5336"/>
      <c r="C112" s="5564"/>
      <c r="D112" s="5564"/>
      <c r="E112" s="5564"/>
      <c r="F112" s="5565"/>
      <c r="G112" s="572"/>
      <c r="H112" s="3"/>
      <c r="I112" s="4717"/>
      <c r="J112" s="5567"/>
      <c r="K112" s="5583"/>
      <c r="L112" s="5583"/>
      <c r="M112" s="5583"/>
      <c r="N112" s="5583"/>
      <c r="O112" s="5583"/>
      <c r="P112" s="5584"/>
      <c r="Q112" s="2"/>
    </row>
    <row r="113" spans="1:17" s="1" customFormat="1" ht="15" customHeight="1">
      <c r="A113" s="4717"/>
      <c r="B113" s="5585" t="s">
        <v>785</v>
      </c>
      <c r="C113" s="5586"/>
      <c r="D113" s="5586"/>
      <c r="E113" s="5589">
        <v>1000</v>
      </c>
      <c r="F113" s="5591">
        <f>(F115+F121)/E113*100</f>
        <v>100</v>
      </c>
      <c r="G113" s="572"/>
      <c r="H113" s="3"/>
      <c r="I113" s="4717"/>
      <c r="J113" s="5593" t="s">
        <v>786</v>
      </c>
      <c r="K113" s="5595">
        <f>SUM(J117:J126)</f>
        <v>0.97000000000000008</v>
      </c>
      <c r="L113" s="5597" t="str">
        <f>IF(J116&lt;O116,"Recette incomplète, il manque",IF(J116&gt;O116,"Trop de produits dans la recette",IF(J116=O116,"OK")))</f>
        <v>Recette incomplète, il manque</v>
      </c>
      <c r="M113" s="5597"/>
      <c r="N113" s="5597"/>
      <c r="O113" s="5597"/>
      <c r="P113" s="5599">
        <f>IF(J116=O116,"",IF(J116&lt;O116,O116-J116,IF(J116&gt;O116,J116-O116)))</f>
        <v>2.9999999999999916E-2</v>
      </c>
      <c r="Q113" s="2"/>
    </row>
    <row r="114" spans="1:17" s="1" customFormat="1" ht="15" customHeight="1">
      <c r="A114" s="4717"/>
      <c r="B114" s="5587"/>
      <c r="C114" s="5588"/>
      <c r="D114" s="5588"/>
      <c r="E114" s="5590"/>
      <c r="F114" s="5592"/>
      <c r="G114" s="572"/>
      <c r="H114" s="3"/>
      <c r="I114" s="4717"/>
      <c r="J114" s="5594"/>
      <c r="K114" s="5596"/>
      <c r="L114" s="5598"/>
      <c r="M114" s="5598"/>
      <c r="N114" s="5598"/>
      <c r="O114" s="5598"/>
      <c r="P114" s="5600"/>
      <c r="Q114" s="2"/>
    </row>
    <row r="115" spans="1:17" s="1" customFormat="1" ht="28.5">
      <c r="A115" s="4717"/>
      <c r="B115" s="5568" t="s">
        <v>55</v>
      </c>
      <c r="C115" s="5570" t="s">
        <v>846</v>
      </c>
      <c r="D115" s="5570"/>
      <c r="E115" s="5572">
        <v>20</v>
      </c>
      <c r="F115" s="5553">
        <f>(E113*E115)/100</f>
        <v>200</v>
      </c>
      <c r="G115" s="572"/>
      <c r="H115" s="3"/>
      <c r="I115" s="4717"/>
      <c r="J115" s="153" t="s">
        <v>208</v>
      </c>
      <c r="K115" s="582"/>
      <c r="L115" s="582"/>
      <c r="M115" s="582"/>
      <c r="N115" s="704" t="s">
        <v>207</v>
      </c>
      <c r="O115" s="705" t="s">
        <v>206</v>
      </c>
      <c r="P115" s="152" t="s">
        <v>205</v>
      </c>
      <c r="Q115" s="2"/>
    </row>
    <row r="116" spans="1:17" s="1" customFormat="1">
      <c r="A116" s="4717"/>
      <c r="B116" s="5568"/>
      <c r="C116" s="5570"/>
      <c r="D116" s="5570"/>
      <c r="E116" s="5572"/>
      <c r="F116" s="5553"/>
      <c r="G116" s="572"/>
      <c r="H116" s="3"/>
      <c r="I116" s="4717"/>
      <c r="J116" s="151">
        <f>SUM(J117:J126)</f>
        <v>0.97000000000000008</v>
      </c>
      <c r="K116" s="703"/>
      <c r="L116" s="691"/>
      <c r="M116" s="692" t="s">
        <v>785</v>
      </c>
      <c r="N116" s="702">
        <v>7</v>
      </c>
      <c r="O116" s="150">
        <v>1</v>
      </c>
      <c r="P116" s="149">
        <f>SUM(P117:P126)</f>
        <v>6.9300000000000006</v>
      </c>
      <c r="Q116" s="2"/>
    </row>
    <row r="117" spans="1:17" s="1" customFormat="1" ht="15.75" customHeight="1">
      <c r="A117" s="4717"/>
      <c r="B117" s="5569"/>
      <c r="C117" s="5571"/>
      <c r="D117" s="5571"/>
      <c r="E117" s="5573"/>
      <c r="F117" s="5574"/>
      <c r="G117" s="572"/>
      <c r="H117" s="3"/>
      <c r="I117" s="4717"/>
      <c r="J117" s="147">
        <v>0.12</v>
      </c>
      <c r="K117" s="693" t="s">
        <v>203</v>
      </c>
      <c r="L117" s="693"/>
      <c r="M117" s="693"/>
      <c r="N117" s="148">
        <f>N116*J117</f>
        <v>0.84</v>
      </c>
      <c r="O117" s="701">
        <v>0</v>
      </c>
      <c r="P117" s="146">
        <f t="shared" ref="P117:P126" si="0">IF(O117=0,N117,IF(N117="","",N117/(100-O117)*100))</f>
        <v>0.84</v>
      </c>
      <c r="Q117" s="2"/>
    </row>
    <row r="118" spans="1:17" s="1" customFormat="1" ht="16.5" customHeight="1">
      <c r="A118" s="4717"/>
      <c r="B118" s="5580" t="s">
        <v>44</v>
      </c>
      <c r="C118" s="5581" t="s">
        <v>845</v>
      </c>
      <c r="D118" s="5581"/>
      <c r="E118" s="5582">
        <v>26.5</v>
      </c>
      <c r="F118" s="5553">
        <f>(E115*E118)/10</f>
        <v>53</v>
      </c>
      <c r="G118" s="572"/>
      <c r="H118" s="3"/>
      <c r="I118" s="4717"/>
      <c r="J118" s="147">
        <v>0.08</v>
      </c>
      <c r="K118" s="693" t="s">
        <v>202</v>
      </c>
      <c r="L118" s="693"/>
      <c r="M118" s="693"/>
      <c r="N118" s="695">
        <f>N116*J118</f>
        <v>0.56000000000000005</v>
      </c>
      <c r="O118" s="694">
        <v>0</v>
      </c>
      <c r="P118" s="146">
        <f t="shared" si="0"/>
        <v>0.56000000000000005</v>
      </c>
      <c r="Q118" s="2"/>
    </row>
    <row r="119" spans="1:17" s="1" customFormat="1" ht="16.5" customHeight="1">
      <c r="A119" s="4717"/>
      <c r="B119" s="5580"/>
      <c r="C119" s="5581"/>
      <c r="D119" s="5581"/>
      <c r="E119" s="5582"/>
      <c r="F119" s="5553"/>
      <c r="G119" s="572"/>
      <c r="H119" s="3"/>
      <c r="I119" s="4717"/>
      <c r="J119" s="147">
        <v>0.2</v>
      </c>
      <c r="K119" s="693" t="s">
        <v>201</v>
      </c>
      <c r="L119" s="693"/>
      <c r="M119" s="693"/>
      <c r="N119" s="695">
        <f>N116*J119</f>
        <v>1.4000000000000001</v>
      </c>
      <c r="O119" s="694">
        <v>0</v>
      </c>
      <c r="P119" s="146">
        <f t="shared" si="0"/>
        <v>1.4000000000000001</v>
      </c>
      <c r="Q119" s="2"/>
    </row>
    <row r="120" spans="1:17" s="1" customFormat="1" ht="16.5" customHeight="1" thickBot="1">
      <c r="A120" s="4717"/>
      <c r="B120" s="5580"/>
      <c r="C120" s="5581"/>
      <c r="D120" s="5581"/>
      <c r="E120" s="5582"/>
      <c r="F120" s="5553"/>
      <c r="G120" s="572"/>
      <c r="H120" s="3"/>
      <c r="I120" s="4717"/>
      <c r="J120" s="147">
        <v>0.55000000000000004</v>
      </c>
      <c r="K120" s="693" t="s">
        <v>200</v>
      </c>
      <c r="L120" s="693"/>
      <c r="M120" s="693"/>
      <c r="N120" s="695">
        <f>N116*J120</f>
        <v>3.8500000000000005</v>
      </c>
      <c r="O120" s="694">
        <v>0</v>
      </c>
      <c r="P120" s="146">
        <f t="shared" si="0"/>
        <v>3.8500000000000005</v>
      </c>
      <c r="Q120" s="2"/>
    </row>
    <row r="121" spans="1:17" s="1" customFormat="1" ht="20.25" customHeight="1">
      <c r="A121" s="4717"/>
      <c r="B121" s="5554" t="s">
        <v>46</v>
      </c>
      <c r="C121" s="5555" t="s">
        <v>841</v>
      </c>
      <c r="D121" s="5555"/>
      <c r="E121" s="5557">
        <f>(F113/E113)*F121</f>
        <v>80</v>
      </c>
      <c r="F121" s="5559">
        <f>E113-F115</f>
        <v>800</v>
      </c>
      <c r="G121" s="2"/>
      <c r="H121" s="2"/>
      <c r="I121" s="4717"/>
      <c r="J121" s="147">
        <v>0.02</v>
      </c>
      <c r="K121" s="693" t="s">
        <v>199</v>
      </c>
      <c r="L121" s="693"/>
      <c r="M121" s="693"/>
      <c r="N121" s="695">
        <f>N116*J121</f>
        <v>0.14000000000000001</v>
      </c>
      <c r="O121" s="694">
        <v>50</v>
      </c>
      <c r="P121" s="146">
        <f t="shared" si="0"/>
        <v>0.28000000000000003</v>
      </c>
      <c r="Q121" s="2"/>
    </row>
    <row r="122" spans="1:17" s="1" customFormat="1" ht="15.75" customHeight="1">
      <c r="A122" s="4717"/>
      <c r="B122" s="5547"/>
      <c r="C122" s="5556"/>
      <c r="D122" s="5556"/>
      <c r="E122" s="5558"/>
      <c r="F122" s="5560"/>
      <c r="G122" s="2"/>
      <c r="H122" s="2"/>
      <c r="I122" s="4717"/>
      <c r="J122" s="147"/>
      <c r="K122" s="693"/>
      <c r="L122" s="693"/>
      <c r="M122" s="693"/>
      <c r="N122" s="695">
        <f>N116*J122</f>
        <v>0</v>
      </c>
      <c r="O122" s="694"/>
      <c r="P122" s="146">
        <f t="shared" si="0"/>
        <v>0</v>
      </c>
      <c r="Q122" s="2"/>
    </row>
    <row r="123" spans="1:17" s="1" customFormat="1" ht="15.75" customHeight="1">
      <c r="A123" s="4717"/>
      <c r="B123" s="5547" t="s">
        <v>457</v>
      </c>
      <c r="C123" s="5548" t="s">
        <v>842</v>
      </c>
      <c r="D123" s="5549" t="s">
        <v>843</v>
      </c>
      <c r="E123" s="5551">
        <f>(F113/E113)*F123</f>
        <v>14.700000000000001</v>
      </c>
      <c r="F123" s="5552">
        <f>F115-F125</f>
        <v>147</v>
      </c>
      <c r="G123" s="2"/>
      <c r="H123" s="2"/>
      <c r="I123" s="4717"/>
      <c r="J123" s="147"/>
      <c r="K123" s="693"/>
      <c r="L123" s="693"/>
      <c r="M123" s="693"/>
      <c r="N123" s="695">
        <f>N116*J123</f>
        <v>0</v>
      </c>
      <c r="O123" s="694"/>
      <c r="P123" s="146">
        <f t="shared" si="0"/>
        <v>0</v>
      </c>
      <c r="Q123" s="2"/>
    </row>
    <row r="124" spans="1:17" s="1" customFormat="1" ht="15.75" customHeight="1">
      <c r="A124" s="4717"/>
      <c r="B124" s="5547"/>
      <c r="C124" s="5548"/>
      <c r="D124" s="5550"/>
      <c r="E124" s="5551"/>
      <c r="F124" s="5552"/>
      <c r="G124" s="2"/>
      <c r="H124" s="2"/>
      <c r="I124" s="4717"/>
      <c r="J124" s="147"/>
      <c r="K124" s="693"/>
      <c r="L124" s="693"/>
      <c r="M124" s="693"/>
      <c r="N124" s="695">
        <f>N116*J124</f>
        <v>0</v>
      </c>
      <c r="O124" s="694"/>
      <c r="P124" s="146">
        <f t="shared" si="0"/>
        <v>0</v>
      </c>
      <c r="Q124" s="2"/>
    </row>
    <row r="125" spans="1:17" s="1" customFormat="1" ht="15.75" customHeight="1">
      <c r="A125" s="4717"/>
      <c r="B125" s="5547" t="s">
        <v>469</v>
      </c>
      <c r="C125" s="5576" t="s">
        <v>844</v>
      </c>
      <c r="D125" s="5576"/>
      <c r="E125" s="5551">
        <f>(F113/E113)*F125</f>
        <v>5.3000000000000007</v>
      </c>
      <c r="F125" s="5552">
        <f>(F115*E118)/100</f>
        <v>53</v>
      </c>
      <c r="G125" s="2"/>
      <c r="H125" s="2"/>
      <c r="I125" s="4717"/>
      <c r="J125" s="147"/>
      <c r="K125" s="693"/>
      <c r="L125" s="693"/>
      <c r="M125" s="693"/>
      <c r="N125" s="695">
        <f>N116*J125</f>
        <v>0</v>
      </c>
      <c r="O125" s="694"/>
      <c r="P125" s="146">
        <f t="shared" si="0"/>
        <v>0</v>
      </c>
      <c r="Q125" s="2"/>
    </row>
    <row r="126" spans="1:17" s="1" customFormat="1" ht="15.75" customHeight="1">
      <c r="A126" s="4717"/>
      <c r="B126" s="5575"/>
      <c r="C126" s="5577"/>
      <c r="D126" s="5577"/>
      <c r="E126" s="5578"/>
      <c r="F126" s="5579"/>
      <c r="G126" s="2"/>
      <c r="H126" s="2"/>
      <c r="I126" s="4717"/>
      <c r="J126" s="696"/>
      <c r="K126" s="697"/>
      <c r="L126" s="697"/>
      <c r="M126" s="697"/>
      <c r="N126" s="698">
        <f>N116*J126</f>
        <v>0</v>
      </c>
      <c r="O126" s="699"/>
      <c r="P126" s="700">
        <f t="shared" si="0"/>
        <v>0</v>
      </c>
      <c r="Q126" s="2"/>
    </row>
    <row r="127" spans="1:17" s="1" customFormat="1" ht="15.75" customHeight="1">
      <c r="A127" s="4717"/>
      <c r="B127" s="810"/>
      <c r="C127" s="811"/>
      <c r="D127" s="811"/>
      <c r="E127" s="812">
        <f>SUM(E121:E126)</f>
        <v>100</v>
      </c>
      <c r="F127" s="813">
        <f>SUM(F121:F126)</f>
        <v>1000</v>
      </c>
      <c r="G127" s="2"/>
      <c r="H127" s="2"/>
      <c r="I127" s="4717"/>
      <c r="J127" s="5544" t="s">
        <v>687</v>
      </c>
      <c r="K127" s="5545"/>
      <c r="L127" s="5545"/>
      <c r="M127" s="5545"/>
      <c r="N127" s="5545"/>
      <c r="O127" s="5545"/>
      <c r="P127" s="5546"/>
      <c r="Q127" s="2"/>
    </row>
    <row r="128" spans="1:17" s="1" customFormat="1" ht="15.75" customHeight="1">
      <c r="A128" s="4717"/>
      <c r="B128" s="4693" t="s">
        <v>687</v>
      </c>
      <c r="C128" s="4694"/>
      <c r="D128" s="4694"/>
      <c r="E128" s="4694"/>
      <c r="F128" s="4695"/>
      <c r="G128" s="2"/>
      <c r="H128" s="2"/>
      <c r="I128" s="4717"/>
      <c r="J128" s="709"/>
      <c r="K128" s="658" t="s">
        <v>790</v>
      </c>
      <c r="L128" s="2"/>
      <c r="M128" s="710" t="s">
        <v>204</v>
      </c>
      <c r="N128" s="1532"/>
      <c r="O128" s="1532"/>
      <c r="P128" s="1533"/>
      <c r="Q128" s="2"/>
    </row>
    <row r="129" spans="1:17" s="1" customFormat="1" ht="15.75" customHeight="1" thickBot="1">
      <c r="A129" s="4717"/>
      <c r="B129" s="807" t="s">
        <v>55</v>
      </c>
      <c r="C129" s="2" t="s">
        <v>838</v>
      </c>
      <c r="D129" s="2"/>
      <c r="E129" s="140"/>
      <c r="F129" s="131"/>
      <c r="G129" s="2"/>
      <c r="H129" s="2"/>
      <c r="I129" s="4717"/>
      <c r="J129" s="706"/>
      <c r="K129" s="123" t="s">
        <v>791</v>
      </c>
      <c r="L129" s="123"/>
      <c r="M129" s="123" t="s">
        <v>789</v>
      </c>
      <c r="N129" s="707"/>
      <c r="O129" s="123" t="s">
        <v>206</v>
      </c>
      <c r="P129" s="708"/>
      <c r="Q129" s="2"/>
    </row>
    <row r="130" spans="1:17" s="1" customFormat="1" ht="15.75" customHeight="1">
      <c r="A130" s="4717"/>
      <c r="B130" s="807" t="s">
        <v>44</v>
      </c>
      <c r="C130" s="2" t="s">
        <v>840</v>
      </c>
      <c r="D130" s="2"/>
      <c r="E130" s="2"/>
      <c r="F130" s="131"/>
      <c r="G130" s="2"/>
      <c r="H130" s="2"/>
      <c r="I130" s="490"/>
      <c r="J130" s="2"/>
      <c r="K130" s="2"/>
      <c r="L130" s="2"/>
      <c r="M130" s="2"/>
      <c r="N130" s="2"/>
      <c r="O130" s="2"/>
      <c r="P130" s="2"/>
      <c r="Q130" s="2"/>
    </row>
    <row r="131" spans="1:17" s="1" customFormat="1" ht="15.75" customHeight="1" thickBot="1">
      <c r="A131" s="4717"/>
      <c r="B131" s="808" t="s">
        <v>46</v>
      </c>
      <c r="C131" s="806" t="s">
        <v>839</v>
      </c>
      <c r="D131" s="806"/>
      <c r="E131" s="800"/>
      <c r="F131" s="809"/>
      <c r="G131" s="2"/>
      <c r="H131" s="2"/>
      <c r="I131" s="490"/>
      <c r="J131" s="2"/>
      <c r="K131" s="2"/>
      <c r="L131" s="2"/>
      <c r="M131" s="2"/>
      <c r="N131" s="2"/>
      <c r="O131" s="2"/>
      <c r="P131" s="2"/>
      <c r="Q131" s="2"/>
    </row>
    <row r="132" spans="1:17" s="1" customFormat="1" ht="18.75" customHeight="1">
      <c r="A132" s="4717"/>
      <c r="B132" s="802"/>
      <c r="C132" s="803" t="s">
        <v>790</v>
      </c>
      <c r="D132" s="803"/>
      <c r="E132" s="804" t="s">
        <v>789</v>
      </c>
      <c r="F132" s="805"/>
      <c r="G132" s="2"/>
      <c r="H132" s="2"/>
      <c r="I132" s="490"/>
      <c r="J132" s="2"/>
      <c r="K132" s="2"/>
      <c r="L132" s="2"/>
      <c r="M132" s="2"/>
      <c r="N132" s="2"/>
      <c r="O132" s="2"/>
      <c r="P132" s="2"/>
      <c r="Q132" s="2"/>
    </row>
    <row r="133" spans="1:17" s="1" customFormat="1" ht="16.5" customHeight="1" thickBot="1">
      <c r="A133" s="4717"/>
      <c r="B133" s="706"/>
      <c r="C133" s="801" t="s">
        <v>204</v>
      </c>
      <c r="D133" s="801"/>
      <c r="E133" s="123"/>
      <c r="F133" s="708"/>
      <c r="G133" s="2"/>
      <c r="H133" s="2"/>
      <c r="I133" s="490"/>
      <c r="J133" s="2"/>
      <c r="K133" s="2"/>
      <c r="L133" s="2"/>
      <c r="M133" s="2"/>
      <c r="N133" s="2"/>
      <c r="O133" s="2"/>
      <c r="P133" s="2"/>
      <c r="Q133" s="2"/>
    </row>
    <row r="134" spans="1:17" s="1" customFormat="1">
      <c r="A134" s="145"/>
      <c r="B134" s="145"/>
      <c r="C134" s="2"/>
      <c r="D134" s="2"/>
      <c r="E134" s="2"/>
      <c r="F134" s="572"/>
      <c r="G134" s="572"/>
      <c r="H134" s="3"/>
      <c r="I134" s="490"/>
      <c r="J134" s="140"/>
      <c r="K134" s="140"/>
      <c r="L134" s="140"/>
      <c r="M134" s="140"/>
      <c r="N134" s="140"/>
      <c r="O134" s="2"/>
      <c r="P134" s="2"/>
      <c r="Q134" s="2"/>
    </row>
    <row r="135" spans="1:17" s="1" customFormat="1" ht="33">
      <c r="A135" s="635">
        <f>(ROW())</f>
        <v>135</v>
      </c>
      <c r="B135" s="5298" t="s">
        <v>711</v>
      </c>
      <c r="C135" s="5298"/>
      <c r="D135" s="5298"/>
      <c r="E135" s="5298"/>
      <c r="F135" s="5298"/>
      <c r="G135" s="5298"/>
      <c r="H135" s="5298"/>
      <c r="I135" s="5298"/>
      <c r="J135" s="5298"/>
      <c r="K135" s="5298"/>
      <c r="L135" s="5298"/>
      <c r="M135" s="5298"/>
      <c r="N135" s="5298"/>
      <c r="O135" s="5298"/>
      <c r="P135" s="5298"/>
      <c r="Q135" s="5298"/>
    </row>
    <row r="136" spans="1:17" s="1" customFormat="1">
      <c r="A136" s="2"/>
      <c r="B136" s="145"/>
      <c r="C136" s="2"/>
      <c r="D136" s="2"/>
      <c r="E136" s="2"/>
      <c r="F136" s="572"/>
      <c r="G136" s="572"/>
      <c r="H136" s="3"/>
      <c r="I136" s="490"/>
      <c r="J136" s="140"/>
      <c r="K136" s="140"/>
      <c r="L136" s="140"/>
      <c r="M136" s="140"/>
      <c r="N136" s="140"/>
      <c r="O136" s="2"/>
      <c r="P136" s="2"/>
      <c r="Q136" s="2"/>
    </row>
    <row r="137" spans="1:17" s="1" customFormat="1" ht="18.75">
      <c r="A137" s="815" t="s">
        <v>55</v>
      </c>
      <c r="B137" s="711" t="s">
        <v>198</v>
      </c>
      <c r="C137" s="660"/>
      <c r="D137" s="660"/>
      <c r="E137" s="660"/>
      <c r="F137" s="712"/>
      <c r="G137" s="712"/>
      <c r="H137" s="638"/>
      <c r="I137" s="713"/>
      <c r="J137" s="714"/>
      <c r="K137" s="714"/>
      <c r="L137" s="715"/>
      <c r="M137" s="716"/>
      <c r="N137" s="144"/>
      <c r="O137" s="2"/>
      <c r="P137" s="2"/>
      <c r="Q137" s="2"/>
    </row>
    <row r="138" spans="1:17" s="1" customFormat="1" ht="18.75">
      <c r="A138" s="660"/>
      <c r="B138" s="5543" t="s">
        <v>197</v>
      </c>
      <c r="C138" s="5543"/>
      <c r="D138" s="5543"/>
      <c r="E138" s="5543"/>
      <c r="F138" s="5543"/>
      <c r="G138" s="5543"/>
      <c r="H138" s="638"/>
      <c r="I138" s="816" t="s">
        <v>461</v>
      </c>
      <c r="J138" s="718" t="s">
        <v>196</v>
      </c>
      <c r="K138" s="714"/>
      <c r="L138" s="715"/>
      <c r="M138" s="713"/>
      <c r="N138" s="490"/>
      <c r="O138" s="2"/>
      <c r="P138" s="2"/>
      <c r="Q138" s="2"/>
    </row>
    <row r="139" spans="1:17" s="1" customFormat="1" ht="18.75">
      <c r="A139" s="660"/>
      <c r="B139" s="714"/>
      <c r="C139" s="660"/>
      <c r="D139" s="660"/>
      <c r="E139" s="660"/>
      <c r="F139" s="712"/>
      <c r="G139" s="712"/>
      <c r="H139" s="638"/>
      <c r="I139" s="713"/>
      <c r="J139" s="717" t="s">
        <v>195</v>
      </c>
      <c r="K139" s="714"/>
      <c r="L139" s="715"/>
      <c r="M139" s="713"/>
      <c r="N139" s="490"/>
      <c r="O139" s="2"/>
      <c r="P139" s="2"/>
      <c r="Q139" s="2"/>
    </row>
    <row r="140" spans="1:17" s="1" customFormat="1" ht="18.75">
      <c r="A140" s="815" t="s">
        <v>44</v>
      </c>
      <c r="B140" s="714" t="s">
        <v>194</v>
      </c>
      <c r="C140" s="660"/>
      <c r="D140" s="660"/>
      <c r="E140" s="660"/>
      <c r="F140" s="712"/>
      <c r="G140" s="712"/>
      <c r="H140" s="638"/>
      <c r="I140" s="713"/>
      <c r="J140" s="714"/>
      <c r="K140" s="714"/>
      <c r="L140" s="715"/>
      <c r="M140" s="713"/>
      <c r="N140" s="490"/>
      <c r="O140" s="2"/>
      <c r="P140" s="2"/>
      <c r="Q140" s="2"/>
    </row>
    <row r="141" spans="1:17" s="1" customFormat="1" ht="18.75">
      <c r="A141" s="660"/>
      <c r="B141" s="714" t="s">
        <v>193</v>
      </c>
      <c r="C141" s="660"/>
      <c r="D141" s="660"/>
      <c r="E141" s="660"/>
      <c r="F141" s="712"/>
      <c r="G141" s="712"/>
      <c r="H141" s="638"/>
      <c r="I141" s="816" t="s">
        <v>455</v>
      </c>
      <c r="J141" s="718" t="s">
        <v>192</v>
      </c>
      <c r="K141" s="714"/>
      <c r="L141" s="715"/>
      <c r="M141" s="713"/>
      <c r="N141" s="490"/>
      <c r="O141" s="2"/>
      <c r="P141" s="2"/>
      <c r="Q141" s="2"/>
    </row>
    <row r="142" spans="1:17" s="1" customFormat="1" ht="18.75">
      <c r="A142" s="660"/>
      <c r="B142" s="714" t="s">
        <v>191</v>
      </c>
      <c r="C142" s="660"/>
      <c r="D142" s="660"/>
      <c r="E142" s="660"/>
      <c r="F142" s="712"/>
      <c r="G142" s="712"/>
      <c r="H142" s="638"/>
      <c r="I142" s="713"/>
      <c r="J142" s="714" t="s">
        <v>190</v>
      </c>
      <c r="K142" s="714"/>
      <c r="L142" s="715"/>
      <c r="M142" s="713"/>
      <c r="N142" s="490"/>
      <c r="O142" s="2"/>
      <c r="P142" s="2"/>
      <c r="Q142" s="2"/>
    </row>
    <row r="143" spans="1:17" s="1" customFormat="1" ht="18.75">
      <c r="A143" s="660"/>
      <c r="B143" s="714" t="s">
        <v>189</v>
      </c>
      <c r="C143" s="660"/>
      <c r="D143" s="660"/>
      <c r="E143" s="660"/>
      <c r="F143" s="712"/>
      <c r="G143" s="712"/>
      <c r="H143" s="638"/>
      <c r="I143" s="713"/>
      <c r="J143" s="714" t="s">
        <v>188</v>
      </c>
      <c r="K143" s="714"/>
      <c r="L143" s="715"/>
      <c r="M143" s="713"/>
      <c r="N143" s="490"/>
      <c r="O143" s="2"/>
      <c r="P143" s="2"/>
      <c r="Q143" s="3"/>
    </row>
    <row r="144" spans="1:17" s="1" customFormat="1" ht="18.75">
      <c r="A144" s="660"/>
      <c r="B144" s="5543" t="s">
        <v>187</v>
      </c>
      <c r="C144" s="5543"/>
      <c r="D144" s="5543"/>
      <c r="E144" s="5543"/>
      <c r="F144" s="712"/>
      <c r="G144" s="712"/>
      <c r="H144" s="638"/>
      <c r="I144" s="713"/>
      <c r="J144" s="714" t="s">
        <v>186</v>
      </c>
      <c r="K144" s="714"/>
      <c r="L144" s="715"/>
      <c r="M144" s="713"/>
      <c r="N144" s="490"/>
      <c r="O144" s="2"/>
      <c r="P144" s="2"/>
      <c r="Q144" s="3"/>
    </row>
    <row r="145" spans="1:17" s="1" customFormat="1" ht="18.75">
      <c r="A145" s="660"/>
      <c r="B145" s="714"/>
      <c r="C145" s="660"/>
      <c r="D145" s="660"/>
      <c r="E145" s="660"/>
      <c r="F145" s="712"/>
      <c r="G145" s="712"/>
      <c r="H145" s="638"/>
      <c r="I145" s="713"/>
      <c r="J145" s="717" t="s">
        <v>185</v>
      </c>
      <c r="K145" s="714"/>
      <c r="L145" s="715"/>
      <c r="M145" s="713"/>
      <c r="N145" s="490"/>
      <c r="O145" s="2"/>
      <c r="P145" s="2"/>
      <c r="Q145" s="3"/>
    </row>
    <row r="146" spans="1:17" s="1" customFormat="1" ht="18.75">
      <c r="A146" s="815" t="s">
        <v>46</v>
      </c>
      <c r="B146" s="718" t="s">
        <v>184</v>
      </c>
      <c r="C146" s="660"/>
      <c r="D146" s="660"/>
      <c r="E146" s="660"/>
      <c r="F146" s="712"/>
      <c r="G146" s="712"/>
      <c r="H146" s="638"/>
      <c r="I146" s="713"/>
      <c r="J146" s="717" t="s">
        <v>183</v>
      </c>
      <c r="K146" s="714"/>
      <c r="L146" s="715"/>
      <c r="M146" s="713"/>
      <c r="N146" s="490"/>
      <c r="O146" s="2"/>
      <c r="P146" s="2"/>
      <c r="Q146" s="3"/>
    </row>
    <row r="147" spans="1:17" s="1" customFormat="1" ht="18.75">
      <c r="A147" s="660"/>
      <c r="B147" s="5543" t="s">
        <v>182</v>
      </c>
      <c r="C147" s="5543"/>
      <c r="D147" s="5543"/>
      <c r="E147" s="5543"/>
      <c r="F147" s="5543"/>
      <c r="G147" s="712"/>
      <c r="H147" s="638"/>
      <c r="I147" s="713"/>
      <c r="J147" s="714"/>
      <c r="K147" s="714"/>
      <c r="L147" s="715"/>
      <c r="M147" s="713"/>
      <c r="N147" s="490"/>
      <c r="O147" s="2"/>
      <c r="P147" s="2"/>
      <c r="Q147" s="3"/>
    </row>
    <row r="148" spans="1:17" s="1" customFormat="1" ht="18.75">
      <c r="A148" s="660"/>
      <c r="B148" s="714"/>
      <c r="C148" s="660"/>
      <c r="D148" s="660"/>
      <c r="E148" s="660"/>
      <c r="F148" s="712"/>
      <c r="G148" s="712"/>
      <c r="H148" s="638"/>
      <c r="I148" s="816" t="s">
        <v>467</v>
      </c>
      <c r="J148" s="718" t="s">
        <v>181</v>
      </c>
      <c r="K148" s="714"/>
      <c r="L148" s="715"/>
      <c r="M148" s="713"/>
      <c r="N148" s="490"/>
      <c r="O148" s="2"/>
      <c r="P148" s="2"/>
      <c r="Q148" s="3"/>
    </row>
    <row r="149" spans="1:17" s="1" customFormat="1" ht="18.75">
      <c r="A149" s="660"/>
      <c r="B149" s="714"/>
      <c r="C149" s="660"/>
      <c r="D149" s="660"/>
      <c r="E149" s="660"/>
      <c r="F149" s="712"/>
      <c r="G149" s="712"/>
      <c r="H149" s="638"/>
      <c r="I149" s="713"/>
      <c r="J149" s="717" t="s">
        <v>180</v>
      </c>
      <c r="K149" s="714"/>
      <c r="L149" s="715"/>
      <c r="M149" s="713"/>
      <c r="N149" s="490"/>
      <c r="O149" s="2"/>
      <c r="P149" s="2"/>
      <c r="Q149" s="3"/>
    </row>
    <row r="150" spans="1:17" s="1" customFormat="1" ht="18.75">
      <c r="A150" s="815" t="s">
        <v>457</v>
      </c>
      <c r="B150" s="718" t="s">
        <v>179</v>
      </c>
      <c r="C150" s="660"/>
      <c r="D150" s="660"/>
      <c r="E150" s="660"/>
      <c r="F150" s="712"/>
      <c r="G150" s="712"/>
      <c r="H150" s="638"/>
      <c r="I150" s="713"/>
      <c r="J150" s="714"/>
      <c r="K150" s="714"/>
      <c r="L150" s="715"/>
      <c r="M150" s="713"/>
      <c r="N150" s="490"/>
      <c r="O150" s="2"/>
      <c r="P150" s="2"/>
      <c r="Q150" s="3"/>
    </row>
    <row r="151" spans="1:17" s="1" customFormat="1" ht="18.75">
      <c r="A151" s="660"/>
      <c r="B151" s="5543" t="s">
        <v>178</v>
      </c>
      <c r="C151" s="5543"/>
      <c r="D151" s="5543"/>
      <c r="E151" s="5543"/>
      <c r="F151" s="5543"/>
      <c r="G151" s="5543"/>
      <c r="H151" s="638"/>
      <c r="I151" s="816" t="s">
        <v>459</v>
      </c>
      <c r="J151" s="718" t="s">
        <v>177</v>
      </c>
      <c r="K151" s="714"/>
      <c r="L151" s="715"/>
      <c r="M151" s="713"/>
      <c r="N151" s="490"/>
      <c r="O151" s="2"/>
      <c r="P151" s="2"/>
      <c r="Q151" s="3"/>
    </row>
    <row r="152" spans="1:17" s="1" customFormat="1" ht="18.75">
      <c r="A152" s="660"/>
      <c r="B152" s="5543" t="s">
        <v>176</v>
      </c>
      <c r="C152" s="5543"/>
      <c r="D152" s="5543"/>
      <c r="E152" s="5543"/>
      <c r="F152" s="5543"/>
      <c r="G152" s="5543"/>
      <c r="H152" s="638"/>
      <c r="I152" s="713"/>
      <c r="J152" s="717" t="s">
        <v>175</v>
      </c>
      <c r="K152" s="714"/>
      <c r="L152" s="715"/>
      <c r="M152" s="713"/>
      <c r="N152" s="490"/>
      <c r="O152" s="2"/>
      <c r="P152" s="2"/>
      <c r="Q152" s="3"/>
    </row>
    <row r="153" spans="1:17" s="1" customFormat="1" ht="18.75">
      <c r="A153" s="660"/>
      <c r="B153" s="714"/>
      <c r="C153" s="660"/>
      <c r="D153" s="660"/>
      <c r="E153" s="660"/>
      <c r="F153" s="712"/>
      <c r="G153" s="712"/>
      <c r="H153" s="638"/>
      <c r="I153" s="713"/>
      <c r="J153" s="714"/>
      <c r="K153" s="714"/>
      <c r="L153" s="715"/>
      <c r="M153" s="713"/>
      <c r="N153" s="490"/>
      <c r="O153" s="2"/>
      <c r="P153" s="2"/>
      <c r="Q153" s="3"/>
    </row>
    <row r="154" spans="1:17" s="1" customFormat="1" ht="18.75">
      <c r="A154" s="815" t="s">
        <v>469</v>
      </c>
      <c r="B154" s="718" t="s">
        <v>174</v>
      </c>
      <c r="C154" s="660"/>
      <c r="D154" s="660"/>
      <c r="E154" s="660"/>
      <c r="F154" s="712"/>
      <c r="G154" s="712"/>
      <c r="H154" s="638"/>
      <c r="I154" s="816" t="s">
        <v>601</v>
      </c>
      <c r="J154" s="718" t="s">
        <v>173</v>
      </c>
      <c r="K154" s="714"/>
      <c r="L154" s="715"/>
      <c r="M154" s="713"/>
      <c r="N154" s="490"/>
      <c r="O154" s="2"/>
      <c r="P154" s="2"/>
      <c r="Q154" s="3"/>
    </row>
    <row r="155" spans="1:17" s="1" customFormat="1" ht="18.75">
      <c r="A155" s="660"/>
      <c r="B155" s="714" t="s">
        <v>172</v>
      </c>
      <c r="C155" s="660"/>
      <c r="D155" s="660"/>
      <c r="E155" s="660"/>
      <c r="F155" s="712"/>
      <c r="G155" s="712"/>
      <c r="H155" s="638"/>
      <c r="I155" s="713"/>
      <c r="J155" s="717" t="s">
        <v>171</v>
      </c>
      <c r="K155" s="714"/>
      <c r="L155" s="715"/>
      <c r="M155" s="713"/>
      <c r="N155" s="490"/>
      <c r="O155" s="2"/>
      <c r="P155" s="2"/>
      <c r="Q155" s="3"/>
    </row>
    <row r="156" spans="1:17" s="1" customFormat="1" ht="18.75">
      <c r="A156" s="660"/>
      <c r="B156" s="714" t="s">
        <v>170</v>
      </c>
      <c r="C156" s="660"/>
      <c r="D156" s="660"/>
      <c r="E156" s="660"/>
      <c r="F156" s="712"/>
      <c r="G156" s="712"/>
      <c r="H156" s="638"/>
      <c r="I156" s="713"/>
      <c r="J156" s="714"/>
      <c r="K156" s="714"/>
      <c r="L156" s="715"/>
      <c r="M156" s="713"/>
      <c r="N156" s="490"/>
      <c r="O156" s="2"/>
      <c r="P156" s="2"/>
      <c r="Q156" s="3"/>
    </row>
    <row r="157" spans="1:17" s="1" customFormat="1" ht="18.75">
      <c r="A157" s="660"/>
      <c r="B157" s="714" t="s">
        <v>169</v>
      </c>
      <c r="C157" s="660"/>
      <c r="D157" s="660"/>
      <c r="E157" s="660"/>
      <c r="F157" s="712"/>
      <c r="G157" s="712"/>
      <c r="H157" s="638"/>
      <c r="I157" s="816" t="s">
        <v>600</v>
      </c>
      <c r="J157" s="719" t="s">
        <v>168</v>
      </c>
      <c r="K157" s="714"/>
      <c r="L157" s="715"/>
      <c r="M157" s="713"/>
      <c r="N157" s="490"/>
      <c r="O157" s="2"/>
      <c r="P157" s="2"/>
      <c r="Q157" s="3"/>
    </row>
    <row r="158" spans="1:17" s="1" customFormat="1" ht="18.75">
      <c r="A158" s="660"/>
      <c r="B158" s="5543" t="s">
        <v>167</v>
      </c>
      <c r="C158" s="5543"/>
      <c r="D158" s="5543"/>
      <c r="E158" s="5543"/>
      <c r="F158" s="5543"/>
      <c r="G158" s="712"/>
      <c r="H158" s="638"/>
      <c r="I158" s="713"/>
      <c r="J158" s="717" t="s">
        <v>166</v>
      </c>
      <c r="K158" s="714"/>
      <c r="L158" s="715"/>
      <c r="M158" s="713"/>
      <c r="N158" s="490"/>
      <c r="O158" s="2"/>
      <c r="P158" s="2"/>
      <c r="Q158" s="3"/>
    </row>
    <row r="159" spans="1:17" s="1" customFormat="1" ht="18.75">
      <c r="A159" s="660"/>
      <c r="B159" s="714"/>
      <c r="C159" s="660"/>
      <c r="D159" s="660"/>
      <c r="E159" s="660"/>
      <c r="F159" s="712"/>
      <c r="G159" s="712"/>
      <c r="H159" s="638"/>
      <c r="I159" s="713"/>
      <c r="J159" s="717" t="s">
        <v>165</v>
      </c>
      <c r="K159" s="714"/>
      <c r="L159" s="715"/>
      <c r="M159" s="713"/>
      <c r="N159" s="490"/>
      <c r="O159" s="2"/>
      <c r="P159" s="2"/>
      <c r="Q159" s="3"/>
    </row>
    <row r="160" spans="1:17" s="1" customFormat="1" ht="18.75">
      <c r="A160" s="660"/>
      <c r="B160" s="714"/>
      <c r="C160" s="660"/>
      <c r="D160" s="660"/>
      <c r="E160" s="660"/>
      <c r="F160" s="712"/>
      <c r="G160" s="712"/>
      <c r="H160" s="638"/>
      <c r="I160" s="713"/>
      <c r="J160" s="717" t="s">
        <v>164</v>
      </c>
      <c r="K160" s="714"/>
      <c r="L160" s="715"/>
      <c r="M160" s="713"/>
      <c r="N160" s="490"/>
      <c r="O160" s="2"/>
      <c r="P160" s="2"/>
      <c r="Q160" s="3"/>
    </row>
    <row r="161" spans="1:17" s="1" customFormat="1" ht="18.75">
      <c r="A161" s="815" t="s">
        <v>464</v>
      </c>
      <c r="B161" s="718" t="s">
        <v>163</v>
      </c>
      <c r="C161" s="660"/>
      <c r="D161" s="660"/>
      <c r="E161" s="660"/>
      <c r="F161" s="712"/>
      <c r="G161" s="712"/>
      <c r="H161" s="638"/>
      <c r="I161" s="713"/>
      <c r="J161" s="714"/>
      <c r="K161" s="714"/>
      <c r="L161" s="715"/>
      <c r="M161" s="713"/>
      <c r="N161" s="490"/>
      <c r="O161" s="2"/>
      <c r="P161" s="2"/>
      <c r="Q161" s="3"/>
    </row>
    <row r="162" spans="1:17" s="1" customFormat="1" ht="18.75">
      <c r="A162" s="660"/>
      <c r="B162" s="5543" t="s">
        <v>162</v>
      </c>
      <c r="C162" s="5543"/>
      <c r="D162" s="5543"/>
      <c r="E162" s="5543"/>
      <c r="F162" s="712"/>
      <c r="G162" s="712"/>
      <c r="H162" s="638"/>
      <c r="I162" s="816" t="s">
        <v>599</v>
      </c>
      <c r="J162" s="718" t="s">
        <v>161</v>
      </c>
      <c r="K162" s="714"/>
      <c r="L162" s="715"/>
      <c r="M162" s="713"/>
      <c r="N162" s="490"/>
      <c r="O162" s="2"/>
      <c r="P162" s="2"/>
      <c r="Q162" s="3"/>
    </row>
    <row r="163" spans="1:17" s="1" customFormat="1" ht="18.75">
      <c r="A163" s="660"/>
      <c r="B163" s="714"/>
      <c r="C163" s="660"/>
      <c r="D163" s="660"/>
      <c r="E163" s="660"/>
      <c r="F163" s="712"/>
      <c r="G163" s="712"/>
      <c r="H163" s="638"/>
      <c r="I163" s="713"/>
      <c r="J163" s="717" t="s">
        <v>160</v>
      </c>
      <c r="K163" s="714"/>
      <c r="L163" s="715"/>
      <c r="M163" s="713"/>
      <c r="N163" s="490"/>
      <c r="O163" s="2"/>
      <c r="P163" s="2"/>
      <c r="Q163" s="3"/>
    </row>
  </sheetData>
  <mergeCells count="74">
    <mergeCell ref="B2:Q2"/>
    <mergeCell ref="B4:Q5"/>
    <mergeCell ref="A21:A31"/>
    <mergeCell ref="B31:J31"/>
    <mergeCell ref="A36:A45"/>
    <mergeCell ref="J36:J45"/>
    <mergeCell ref="B45:G45"/>
    <mergeCell ref="K45:P45"/>
    <mergeCell ref="B68:C68"/>
    <mergeCell ref="B49:C50"/>
    <mergeCell ref="K49:L50"/>
    <mergeCell ref="A50:A55"/>
    <mergeCell ref="J50:J55"/>
    <mergeCell ref="B57:C57"/>
    <mergeCell ref="K57:L58"/>
    <mergeCell ref="A58:A74"/>
    <mergeCell ref="B58:C58"/>
    <mergeCell ref="J58:J67"/>
    <mergeCell ref="K60:L60"/>
    <mergeCell ref="K61:L61"/>
    <mergeCell ref="B65:C65"/>
    <mergeCell ref="K65:L65"/>
    <mergeCell ref="B66:C66"/>
    <mergeCell ref="K66:L66"/>
    <mergeCell ref="B73:C73"/>
    <mergeCell ref="B76:Q76"/>
    <mergeCell ref="C95:L95"/>
    <mergeCell ref="B100:F100"/>
    <mergeCell ref="B109:F109"/>
    <mergeCell ref="J109:P109"/>
    <mergeCell ref="K111:P112"/>
    <mergeCell ref="B113:D114"/>
    <mergeCell ref="E113:E114"/>
    <mergeCell ref="F113:F114"/>
    <mergeCell ref="J113:J114"/>
    <mergeCell ref="K113:K114"/>
    <mergeCell ref="L113:O114"/>
    <mergeCell ref="P113:P114"/>
    <mergeCell ref="A110:A133"/>
    <mergeCell ref="I110:I129"/>
    <mergeCell ref="B111:B112"/>
    <mergeCell ref="C111:F112"/>
    <mergeCell ref="J111:J112"/>
    <mergeCell ref="B115:B117"/>
    <mergeCell ref="C115:D117"/>
    <mergeCell ref="E115:E117"/>
    <mergeCell ref="F115:F117"/>
    <mergeCell ref="B125:B126"/>
    <mergeCell ref="C125:D126"/>
    <mergeCell ref="E125:E126"/>
    <mergeCell ref="F125:F126"/>
    <mergeCell ref="B118:B120"/>
    <mergeCell ref="C118:D120"/>
    <mergeCell ref="E118:E120"/>
    <mergeCell ref="F118:F120"/>
    <mergeCell ref="B121:B122"/>
    <mergeCell ref="C121:D122"/>
    <mergeCell ref="E121:E122"/>
    <mergeCell ref="F121:F122"/>
    <mergeCell ref="B123:B124"/>
    <mergeCell ref="C123:C124"/>
    <mergeCell ref="D123:D124"/>
    <mergeCell ref="E123:E124"/>
    <mergeCell ref="F123:F124"/>
    <mergeCell ref="B151:G151"/>
    <mergeCell ref="B152:G152"/>
    <mergeCell ref="B158:F158"/>
    <mergeCell ref="B162:E162"/>
    <mergeCell ref="J127:P127"/>
    <mergeCell ref="B128:F128"/>
    <mergeCell ref="B135:Q135"/>
    <mergeCell ref="B138:G138"/>
    <mergeCell ref="B144:E144"/>
    <mergeCell ref="B147:F147"/>
  </mergeCells>
  <conditionalFormatting sqref="A4">
    <cfRule type="expression" dxfId="55" priority="1" stopIfTrue="1">
      <formula>OR(ROW()=CELL("ligne"),COLUMN()=CELL("colonne"))</formula>
    </cfRule>
  </conditionalFormatting>
  <hyperlinks>
    <hyperlink ref="B138" r:id="rId1" xr:uid="{00000000-0004-0000-0600-000000000000}"/>
    <hyperlink ref="B144" r:id="rId2" xr:uid="{00000000-0004-0000-0600-000001000000}"/>
    <hyperlink ref="B152" r:id="rId3" xr:uid="{00000000-0004-0000-0600-000002000000}"/>
    <hyperlink ref="B151" r:id="rId4" xr:uid="{00000000-0004-0000-0600-000003000000}"/>
    <hyperlink ref="B158" r:id="rId5" xr:uid="{00000000-0004-0000-0600-000004000000}"/>
    <hyperlink ref="B162" r:id="rId6" xr:uid="{00000000-0004-0000-0600-000005000000}"/>
    <hyperlink ref="B147" r:id="rId7" xr:uid="{00000000-0004-0000-0600-000006000000}"/>
    <hyperlink ref="J145" r:id="rId8" xr:uid="{00000000-0004-0000-0600-000007000000}"/>
    <hyperlink ref="J146" r:id="rId9" xr:uid="{00000000-0004-0000-0600-000008000000}"/>
    <hyperlink ref="J139" r:id="rId10" xr:uid="{00000000-0004-0000-0600-000009000000}"/>
    <hyperlink ref="J152" r:id="rId11" xr:uid="{00000000-0004-0000-0600-00000A000000}"/>
    <hyperlink ref="J158" r:id="rId12" xr:uid="{00000000-0004-0000-0600-00000B000000}"/>
    <hyperlink ref="J149" r:id="rId13" xr:uid="{00000000-0004-0000-0600-00000C000000}"/>
    <hyperlink ref="J163" r:id="rId14" xr:uid="{00000000-0004-0000-0600-00000D000000}"/>
    <hyperlink ref="J159" r:id="rId15" xr:uid="{00000000-0004-0000-0600-00000E000000}"/>
    <hyperlink ref="J160" r:id="rId16" xr:uid="{00000000-0004-0000-0600-00000F000000}"/>
    <hyperlink ref="J155" r:id="rId17" xr:uid="{00000000-0004-0000-0600-000010000000}"/>
    <hyperlink ref="B100" r:id="rId18" xr:uid="{00000000-0004-0000-0600-000011000000}"/>
    <hyperlink ref="C102" r:id="rId19" xr:uid="{00000000-0004-0000-0600-000012000000}"/>
    <hyperlink ref="C104" r:id="rId20" xr:uid="{00000000-0004-0000-0600-000013000000}"/>
    <hyperlink ref="C105" r:id="rId21" xr:uid="{00000000-0004-0000-0600-000014000000}"/>
    <hyperlink ref="C101" r:id="rId22" xr:uid="{00000000-0004-0000-0600-000015000000}"/>
    <hyperlink ref="C106" r:id="rId23" xr:uid="{00000000-0004-0000-0600-000016000000}"/>
    <hyperlink ref="C107" r:id="rId24" xr:uid="{00000000-0004-0000-0600-000017000000}"/>
    <hyperlink ref="C103" r:id="rId25" xr:uid="{00000000-0004-0000-0600-000018000000}"/>
    <hyperlink ref="B90" r:id="rId26" xr:uid="{00000000-0004-0000-0600-000019000000}"/>
    <hyperlink ref="B91" r:id="rId27" xr:uid="{00000000-0004-0000-0600-00001A000000}"/>
    <hyperlink ref="C95" r:id="rId28" xr:uid="{00000000-0004-0000-0600-00001B000000}"/>
  </hyperlinks>
  <pageMargins left="0.7" right="0.7" top="0.75" bottom="0.75" header="0.3" footer="0.3"/>
  <drawing r:id="rId2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T67"/>
  <sheetViews>
    <sheetView workbookViewId="0">
      <selection activeCell="G74" sqref="G74"/>
    </sheetView>
  </sheetViews>
  <sheetFormatPr baseColWidth="10" defaultRowHeight="15.75"/>
  <cols>
    <col min="1" max="1" width="5.625" customWidth="1"/>
  </cols>
  <sheetData>
    <row r="2" spans="1:20" s="1" customFormat="1" ht="18" customHeight="1">
      <c r="A2" s="1167">
        <f>ROW()</f>
        <v>2</v>
      </c>
      <c r="B2" s="5641" t="s">
        <v>930</v>
      </c>
      <c r="C2" s="5641"/>
      <c r="D2" s="5641"/>
      <c r="E2" s="5641"/>
      <c r="F2" s="5641"/>
      <c r="G2" s="5641"/>
      <c r="H2" s="5641"/>
      <c r="I2" s="5641"/>
      <c r="J2" s="5641"/>
      <c r="K2" s="5641"/>
      <c r="L2" s="5641"/>
      <c r="M2" s="5641"/>
      <c r="N2" s="5641"/>
      <c r="O2" s="1126"/>
      <c r="P2" s="1127"/>
      <c r="Q2" s="1128"/>
      <c r="R2" s="1126"/>
      <c r="S2" s="1127"/>
      <c r="T2" s="1128"/>
    </row>
    <row r="3" spans="1:20" s="1" customFormat="1" ht="18" customHeight="1">
      <c r="A3" s="1167"/>
      <c r="B3" s="5641"/>
      <c r="C3" s="5641"/>
      <c r="D3" s="5641"/>
      <c r="E3" s="5641"/>
      <c r="F3" s="5641"/>
      <c r="G3" s="5641"/>
      <c r="H3" s="5641"/>
      <c r="I3" s="5641"/>
      <c r="J3" s="5641"/>
      <c r="K3" s="5641"/>
      <c r="L3" s="5641"/>
      <c r="M3" s="5641"/>
      <c r="N3" s="5641"/>
      <c r="O3" s="1126"/>
      <c r="P3" s="1127"/>
      <c r="Q3" s="1128"/>
      <c r="R3" s="1126"/>
      <c r="S3" s="1127"/>
      <c r="T3" s="1128"/>
    </row>
    <row r="4" spans="1:20" s="1" customFormat="1" ht="18" customHeight="1">
      <c r="A4" s="1167"/>
      <c r="B4" s="5641"/>
      <c r="C4" s="5641"/>
      <c r="D4" s="5641"/>
      <c r="E4" s="5641"/>
      <c r="F4" s="5641"/>
      <c r="G4" s="5641"/>
      <c r="H4" s="5641"/>
      <c r="I4" s="5641"/>
      <c r="J4" s="5641"/>
      <c r="K4" s="5641"/>
      <c r="L4" s="5641"/>
      <c r="M4" s="5641"/>
      <c r="N4" s="5641"/>
      <c r="O4" s="1126"/>
      <c r="P4" s="1127"/>
      <c r="Q4" s="1128"/>
      <c r="R4" s="1126"/>
      <c r="S4" s="1127"/>
      <c r="T4" s="1128"/>
    </row>
    <row r="5" spans="1:20" s="1" customFormat="1" ht="18" customHeight="1">
      <c r="A5" s="2"/>
      <c r="B5" s="1171"/>
      <c r="C5" s="138"/>
      <c r="D5" s="138"/>
      <c r="E5" s="138"/>
      <c r="F5" s="138"/>
      <c r="G5" s="138"/>
      <c r="H5" s="138"/>
      <c r="I5" s="138"/>
      <c r="J5" s="138"/>
      <c r="K5" s="138"/>
      <c r="L5" s="138"/>
      <c r="M5" s="138"/>
      <c r="N5" s="138"/>
      <c r="O5" s="1126"/>
      <c r="P5" s="1127"/>
      <c r="Q5" s="1128"/>
      <c r="R5" s="1126"/>
      <c r="S5" s="1127"/>
      <c r="T5" s="1128"/>
    </row>
    <row r="6" spans="1:20" s="1" customFormat="1" ht="18" customHeight="1">
      <c r="A6" s="5642" t="s">
        <v>972</v>
      </c>
      <c r="B6" s="5643" t="s">
        <v>971</v>
      </c>
      <c r="C6" s="5644"/>
      <c r="D6" s="5644"/>
      <c r="E6" s="5644"/>
      <c r="F6" s="5644"/>
      <c r="G6" s="5644"/>
      <c r="H6" s="5644"/>
      <c r="I6" s="5644"/>
      <c r="J6" s="5644"/>
      <c r="K6" s="5644"/>
      <c r="L6" s="5644"/>
      <c r="M6" s="5644"/>
      <c r="N6" s="5644"/>
      <c r="O6" s="1126"/>
      <c r="P6" s="1127"/>
      <c r="Q6" s="1128"/>
      <c r="R6" s="1126"/>
      <c r="S6" s="1127"/>
      <c r="T6" s="1128"/>
    </row>
    <row r="7" spans="1:20" s="1" customFormat="1" ht="18" customHeight="1">
      <c r="A7" s="5642"/>
      <c r="B7" s="5643"/>
      <c r="C7" s="5644"/>
      <c r="D7" s="5644"/>
      <c r="E7" s="5644"/>
      <c r="F7" s="5644"/>
      <c r="G7" s="5644"/>
      <c r="H7" s="5644"/>
      <c r="I7" s="5644"/>
      <c r="J7" s="5644"/>
      <c r="K7" s="5644"/>
      <c r="L7" s="5644"/>
      <c r="M7" s="5644"/>
      <c r="N7" s="5644"/>
      <c r="O7" s="1126"/>
      <c r="P7" s="1127"/>
      <c r="Q7" s="1128"/>
      <c r="R7" s="1126"/>
      <c r="S7" s="1127"/>
      <c r="T7" s="1128"/>
    </row>
    <row r="8" spans="1:20" s="1" customFormat="1" ht="18" customHeight="1">
      <c r="A8" s="2"/>
      <c r="B8" s="1171"/>
      <c r="C8" s="138"/>
      <c r="D8" s="138"/>
      <c r="E8" s="138"/>
      <c r="F8" s="138"/>
      <c r="G8" s="138"/>
      <c r="H8" s="138"/>
      <c r="I8" s="138"/>
      <c r="J8" s="138"/>
      <c r="K8" s="138"/>
      <c r="L8" s="138"/>
      <c r="M8" s="138"/>
      <c r="N8" s="138"/>
      <c r="O8" s="1126"/>
      <c r="P8" s="1127"/>
      <c r="Q8" s="1128"/>
      <c r="R8" s="1126"/>
      <c r="S8" s="1127"/>
      <c r="T8" s="1128"/>
    </row>
    <row r="9" spans="1:20" s="1" customFormat="1" ht="18" customHeight="1">
      <c r="A9" s="1168">
        <f>ROW(A22)</f>
        <v>22</v>
      </c>
      <c r="B9" s="1169" t="s">
        <v>55</v>
      </c>
      <c r="C9" s="1170" t="s">
        <v>935</v>
      </c>
      <c r="D9" s="138"/>
      <c r="E9" s="138"/>
      <c r="F9" s="138"/>
      <c r="G9" s="138"/>
      <c r="H9" s="138"/>
      <c r="I9" s="138"/>
      <c r="J9" s="138"/>
      <c r="K9" s="138"/>
      <c r="L9" s="138"/>
      <c r="M9" s="138"/>
      <c r="N9" s="138"/>
      <c r="O9" s="1126"/>
      <c r="P9" s="1127"/>
      <c r="Q9" s="1128"/>
      <c r="R9" s="1126"/>
      <c r="S9" s="1127"/>
      <c r="T9" s="1128"/>
    </row>
    <row r="10" spans="1:20" s="1" customFormat="1" ht="18" customHeight="1">
      <c r="A10" s="1167">
        <f>ROW(B29)</f>
        <v>29</v>
      </c>
      <c r="B10" s="1169" t="s">
        <v>44</v>
      </c>
      <c r="C10" s="1170" t="s">
        <v>941</v>
      </c>
      <c r="D10" s="138"/>
      <c r="E10" s="138"/>
      <c r="F10" s="138"/>
      <c r="G10" s="138"/>
      <c r="H10" s="138"/>
      <c r="I10" s="138"/>
      <c r="J10" s="138"/>
      <c r="K10" s="138"/>
      <c r="L10" s="138"/>
      <c r="M10" s="138"/>
      <c r="N10" s="138"/>
      <c r="O10" s="1126"/>
      <c r="P10" s="1127"/>
      <c r="Q10" s="1128"/>
      <c r="R10" s="1126"/>
      <c r="S10" s="1127"/>
      <c r="T10" s="1128"/>
    </row>
    <row r="11" spans="1:20" s="1" customFormat="1" ht="18" customHeight="1">
      <c r="A11" s="1167">
        <f>ROW(B40)</f>
        <v>40</v>
      </c>
      <c r="B11" s="1169" t="s">
        <v>46</v>
      </c>
      <c r="C11" s="1170" t="s">
        <v>954</v>
      </c>
      <c r="D11" s="138"/>
      <c r="E11" s="138"/>
      <c r="F11" s="138"/>
      <c r="G11" s="138"/>
      <c r="H11" s="138"/>
      <c r="I11" s="138"/>
      <c r="J11" s="138"/>
      <c r="K11" s="138"/>
      <c r="L11" s="138"/>
      <c r="M11" s="138"/>
      <c r="N11" s="138"/>
      <c r="O11" s="1126"/>
      <c r="P11" s="1127"/>
      <c r="Q11" s="1128"/>
      <c r="R11" s="1126"/>
      <c r="S11" s="1127"/>
      <c r="T11" s="1128"/>
    </row>
    <row r="12" spans="1:20" s="1" customFormat="1" ht="18" customHeight="1">
      <c r="A12" s="1167">
        <f>ROW(B48)</f>
        <v>48</v>
      </c>
      <c r="B12" s="1169" t="s">
        <v>457</v>
      </c>
      <c r="C12" s="1170" t="s">
        <v>961</v>
      </c>
      <c r="D12" s="138"/>
      <c r="E12" s="138"/>
      <c r="F12" s="138"/>
      <c r="G12" s="138"/>
      <c r="H12" s="138"/>
      <c r="I12" s="138"/>
      <c r="J12" s="138"/>
      <c r="K12" s="138"/>
      <c r="L12" s="138"/>
      <c r="M12" s="138"/>
      <c r="N12" s="138"/>
      <c r="O12" s="1126"/>
      <c r="P12" s="1127"/>
      <c r="Q12" s="1128"/>
      <c r="R12" s="1126"/>
      <c r="S12" s="1127"/>
      <c r="T12" s="1128"/>
    </row>
    <row r="13" spans="1:20" s="1" customFormat="1" ht="18" customHeight="1">
      <c r="A13" s="1167">
        <f>ROW(B55)</f>
        <v>55</v>
      </c>
      <c r="B13" s="1169" t="s">
        <v>469</v>
      </c>
      <c r="C13" s="1170" t="s">
        <v>966</v>
      </c>
      <c r="D13" s="138"/>
      <c r="E13" s="138"/>
      <c r="F13" s="138"/>
      <c r="G13" s="138"/>
      <c r="H13" s="138"/>
      <c r="I13" s="138"/>
      <c r="J13" s="138"/>
      <c r="K13" s="138"/>
      <c r="L13" s="138"/>
      <c r="M13" s="138"/>
      <c r="N13" s="138"/>
      <c r="O13" s="1126"/>
      <c r="P13" s="1127"/>
      <c r="Q13" s="1128"/>
      <c r="R13" s="1126"/>
      <c r="S13" s="1127"/>
      <c r="T13" s="1128"/>
    </row>
    <row r="14" spans="1:20" s="1" customFormat="1" ht="18" customHeight="1">
      <c r="A14" s="2"/>
      <c r="B14" s="1171"/>
      <c r="C14" s="138"/>
      <c r="D14" s="138"/>
      <c r="E14" s="138"/>
      <c r="F14" s="138"/>
      <c r="G14" s="138"/>
      <c r="H14" s="138"/>
      <c r="I14" s="138"/>
      <c r="J14" s="138"/>
      <c r="K14" s="138"/>
      <c r="L14" s="138"/>
      <c r="M14" s="138"/>
      <c r="N14" s="138"/>
      <c r="O14" s="1126"/>
      <c r="P14" s="1127"/>
      <c r="Q14" s="1128"/>
      <c r="R14" s="1126"/>
      <c r="S14" s="1127"/>
      <c r="T14" s="1128"/>
    </row>
    <row r="15" spans="1:20" s="1" customFormat="1" ht="18" customHeight="1">
      <c r="A15" s="1167">
        <f>ROW()</f>
        <v>15</v>
      </c>
      <c r="B15" s="5645" t="s">
        <v>931</v>
      </c>
      <c r="C15" s="5646"/>
      <c r="D15" s="5646"/>
      <c r="E15" s="5646"/>
      <c r="F15" s="5646"/>
      <c r="G15" s="5646"/>
      <c r="H15" s="5646"/>
      <c r="I15" s="5646"/>
      <c r="J15" s="5646"/>
      <c r="K15" s="5646"/>
      <c r="L15" s="5647" t="s">
        <v>932</v>
      </c>
      <c r="M15" s="5649">
        <f ca="1">NOW()</f>
        <v>45075.412900000003</v>
      </c>
      <c r="N15" s="5650"/>
      <c r="O15" s="1126"/>
      <c r="P15" s="1127"/>
      <c r="Q15" s="1128"/>
      <c r="R15" s="1126"/>
      <c r="S15" s="1127"/>
      <c r="T15" s="1128"/>
    </row>
    <row r="16" spans="1:20" s="1" customFormat="1" ht="18" customHeight="1">
      <c r="A16" s="1167"/>
      <c r="B16" s="5643"/>
      <c r="C16" s="5644"/>
      <c r="D16" s="5644"/>
      <c r="E16" s="5644"/>
      <c r="F16" s="5644"/>
      <c r="G16" s="5644"/>
      <c r="H16" s="5644"/>
      <c r="I16" s="5644"/>
      <c r="J16" s="5644"/>
      <c r="K16" s="5644"/>
      <c r="L16" s="5648"/>
      <c r="M16" s="5651"/>
      <c r="N16" s="5652"/>
      <c r="O16" s="1126"/>
      <c r="P16" s="1127"/>
      <c r="Q16" s="1128"/>
      <c r="R16" s="1126"/>
      <c r="S16" s="1127"/>
      <c r="T16" s="1128"/>
    </row>
    <row r="17" spans="1:20" s="1" customFormat="1" ht="18" customHeight="1">
      <c r="A17" s="1167"/>
      <c r="B17" s="5653" t="s">
        <v>933</v>
      </c>
      <c r="C17" s="5654"/>
      <c r="D17" s="5654"/>
      <c r="E17" s="5654"/>
      <c r="F17" s="5654"/>
      <c r="G17" s="5654"/>
      <c r="H17" s="5654"/>
      <c r="I17" s="5654"/>
      <c r="J17" s="5654"/>
      <c r="K17" s="5654"/>
      <c r="L17" s="5654"/>
      <c r="M17" s="5654"/>
      <c r="N17" s="5655"/>
      <c r="O17" s="1126"/>
      <c r="P17" s="1127"/>
      <c r="Q17" s="1128"/>
      <c r="R17" s="1126"/>
      <c r="S17" s="1127"/>
      <c r="T17" s="1128"/>
    </row>
    <row r="18" spans="1:20" s="1" customFormat="1" ht="18" customHeight="1">
      <c r="A18" s="138"/>
      <c r="B18" s="138"/>
      <c r="C18" s="138"/>
      <c r="D18" s="138"/>
      <c r="E18" s="138"/>
      <c r="F18" s="138"/>
      <c r="G18" s="138"/>
      <c r="H18" s="138"/>
      <c r="I18" s="138"/>
      <c r="J18" s="138"/>
      <c r="K18" s="138"/>
      <c r="L18" s="138"/>
      <c r="M18" s="138"/>
      <c r="N18" s="138"/>
      <c r="O18" s="1126"/>
      <c r="P18" s="1127"/>
      <c r="Q18" s="1128"/>
      <c r="R18" s="1126"/>
      <c r="S18" s="1127"/>
      <c r="T18" s="1128"/>
    </row>
    <row r="19" spans="1:20" s="1" customFormat="1" ht="18" customHeight="1">
      <c r="A19" s="1167">
        <f>ROW()</f>
        <v>19</v>
      </c>
      <c r="B19" s="5656" t="s">
        <v>934</v>
      </c>
      <c r="C19" s="5657"/>
      <c r="D19" s="5657"/>
      <c r="E19" s="5657"/>
      <c r="F19" s="5657"/>
      <c r="G19" s="5657"/>
      <c r="H19" s="5657"/>
      <c r="I19" s="5657"/>
      <c r="J19" s="5657"/>
      <c r="K19" s="5657"/>
      <c r="L19" s="5657"/>
      <c r="M19" s="5657"/>
      <c r="N19" s="5658"/>
      <c r="O19" s="1126"/>
      <c r="P19" s="1127"/>
      <c r="Q19" s="1128"/>
      <c r="R19" s="1126"/>
      <c r="S19" s="1127"/>
      <c r="T19" s="1128"/>
    </row>
    <row r="20" spans="1:20" s="1" customFormat="1" ht="18" customHeight="1">
      <c r="A20" s="1167"/>
      <c r="B20" s="5659"/>
      <c r="C20" s="5660"/>
      <c r="D20" s="5660"/>
      <c r="E20" s="5660"/>
      <c r="F20" s="5660"/>
      <c r="G20" s="5660"/>
      <c r="H20" s="5660"/>
      <c r="I20" s="5660"/>
      <c r="J20" s="5660"/>
      <c r="K20" s="5660"/>
      <c r="L20" s="5660"/>
      <c r="M20" s="5660"/>
      <c r="N20" s="5661"/>
      <c r="O20" s="1126"/>
      <c r="P20" s="1127"/>
      <c r="Q20" s="1128"/>
      <c r="R20" s="1126"/>
      <c r="S20" s="1127"/>
      <c r="T20" s="1128"/>
    </row>
    <row r="21" spans="1:20" s="1" customFormat="1" ht="18" customHeight="1">
      <c r="B21" s="1129"/>
      <c r="C21" s="1129"/>
      <c r="D21" s="1129"/>
      <c r="E21" s="1129"/>
      <c r="F21" s="1129"/>
      <c r="G21" s="1129"/>
      <c r="H21" s="1129"/>
      <c r="I21" s="1129"/>
      <c r="J21" s="1129"/>
      <c r="O21" s="1126"/>
      <c r="P21" s="1127"/>
      <c r="Q21" s="1128"/>
      <c r="R21" s="1126"/>
      <c r="S21" s="1127"/>
      <c r="T21" s="1128"/>
    </row>
    <row r="22" spans="1:20" s="1" customFormat="1" ht="18" customHeight="1">
      <c r="A22" s="1164" t="s">
        <v>70</v>
      </c>
      <c r="B22" s="5662" t="s">
        <v>935</v>
      </c>
      <c r="C22" s="5663"/>
      <c r="D22" s="5663"/>
      <c r="E22" s="5663"/>
      <c r="F22" s="5663"/>
      <c r="G22" s="5663"/>
      <c r="H22" s="5663"/>
      <c r="I22" s="5663"/>
      <c r="J22" s="5663"/>
      <c r="K22" s="5663"/>
      <c r="L22" s="5663"/>
      <c r="M22" s="5663"/>
      <c r="N22" s="5664"/>
      <c r="O22" s="1126"/>
      <c r="P22" s="1127"/>
      <c r="Q22" s="1128"/>
      <c r="R22" s="1126"/>
      <c r="S22" s="1127"/>
      <c r="T22" s="1128"/>
    </row>
    <row r="23" spans="1:20" s="1" customFormat="1" ht="18" customHeight="1">
      <c r="A23" s="5713" t="str">
        <f>B22</f>
        <v>VIANDE NET A SERVIR ET BRUT A COMMANDER</v>
      </c>
      <c r="B23" s="558" t="str">
        <f>ADDRESS(ROW(),COLUMN(),4)</f>
        <v>B23</v>
      </c>
      <c r="C23" s="903" t="s">
        <v>691</v>
      </c>
      <c r="D23" s="1056"/>
      <c r="E23" s="1056"/>
      <c r="F23" s="1056"/>
      <c r="G23" s="1056"/>
      <c r="H23" s="1056"/>
      <c r="I23" s="1056"/>
      <c r="J23" s="1056"/>
      <c r="K23" s="1056"/>
      <c r="L23" s="1056"/>
      <c r="M23" s="1056"/>
      <c r="N23" s="1165" t="s">
        <v>55</v>
      </c>
      <c r="O23" s="1126"/>
      <c r="P23" s="1127"/>
      <c r="Q23" s="1128"/>
      <c r="R23" s="1126"/>
      <c r="S23" s="1127"/>
      <c r="T23" s="1128"/>
    </row>
    <row r="24" spans="1:20" s="1" customFormat="1" ht="18" customHeight="1">
      <c r="A24" s="5713"/>
      <c r="B24" s="5685" t="s">
        <v>907</v>
      </c>
      <c r="C24" s="5687" t="s">
        <v>915</v>
      </c>
      <c r="D24" s="5689" t="s">
        <v>916</v>
      </c>
      <c r="E24" s="5691" t="s">
        <v>917</v>
      </c>
      <c r="F24" s="5692"/>
      <c r="G24" s="5691" t="s">
        <v>936</v>
      </c>
      <c r="H24" s="5692"/>
      <c r="I24" s="5691" t="s">
        <v>920</v>
      </c>
      <c r="J24" s="5692"/>
      <c r="K24" s="5695" t="s">
        <v>937</v>
      </c>
      <c r="L24" s="5665" t="s">
        <v>938</v>
      </c>
      <c r="M24" s="5665" t="s">
        <v>939</v>
      </c>
      <c r="N24" s="5667" t="s">
        <v>940</v>
      </c>
      <c r="O24" s="1126"/>
      <c r="P24" s="1127"/>
      <c r="Q24" s="1128"/>
      <c r="R24" s="1126"/>
      <c r="S24" s="1127"/>
      <c r="T24" s="1128"/>
    </row>
    <row r="25" spans="1:20" s="1" customFormat="1" ht="18" customHeight="1">
      <c r="A25" s="5713"/>
      <c r="B25" s="5686"/>
      <c r="C25" s="5688"/>
      <c r="D25" s="5690"/>
      <c r="E25" s="5693"/>
      <c r="F25" s="5694"/>
      <c r="G25" s="5693"/>
      <c r="H25" s="5694"/>
      <c r="I25" s="5693"/>
      <c r="J25" s="5694"/>
      <c r="K25" s="5696"/>
      <c r="L25" s="5666"/>
      <c r="M25" s="5666"/>
      <c r="N25" s="5668"/>
      <c r="O25" s="1126"/>
      <c r="P25" s="1127"/>
      <c r="Q25" s="1128"/>
      <c r="R25" s="1126"/>
      <c r="S25" s="1127"/>
      <c r="T25" s="1128"/>
    </row>
    <row r="26" spans="1:20" s="1" customFormat="1" ht="18" customHeight="1">
      <c r="A26" s="5713"/>
      <c r="B26" s="5669">
        <v>100</v>
      </c>
      <c r="C26" s="5671">
        <v>0.11</v>
      </c>
      <c r="D26" s="5673">
        <v>30</v>
      </c>
      <c r="E26" s="5675">
        <f>(C26/(100-D26)*100)</f>
        <v>0.15714285714285714</v>
      </c>
      <c r="F26" s="5676"/>
      <c r="G26" s="5675">
        <f>C26*B26</f>
        <v>11</v>
      </c>
      <c r="H26" s="5676"/>
      <c r="I26" s="5675">
        <f>E26*B26</f>
        <v>15.714285714285714</v>
      </c>
      <c r="J26" s="5676"/>
      <c r="K26" s="5679">
        <v>2.5</v>
      </c>
      <c r="L26" s="5681">
        <f>C26/K26</f>
        <v>4.3999999999999997E-2</v>
      </c>
      <c r="M26" s="5681">
        <f>E26/K26</f>
        <v>6.2857142857142861E-2</v>
      </c>
      <c r="N26" s="5683">
        <f>K26*B26</f>
        <v>250</v>
      </c>
      <c r="O26" s="1126"/>
      <c r="P26" s="1127"/>
      <c r="Q26" s="1128"/>
      <c r="R26" s="1126"/>
      <c r="S26" s="1127"/>
      <c r="T26" s="1128"/>
    </row>
    <row r="27" spans="1:20" s="1" customFormat="1" ht="18" customHeight="1">
      <c r="A27" s="5713"/>
      <c r="B27" s="5670"/>
      <c r="C27" s="5672"/>
      <c r="D27" s="5674"/>
      <c r="E27" s="5677"/>
      <c r="F27" s="5678"/>
      <c r="G27" s="5677"/>
      <c r="H27" s="5678"/>
      <c r="I27" s="5677"/>
      <c r="J27" s="5678"/>
      <c r="K27" s="5680"/>
      <c r="L27" s="5682"/>
      <c r="M27" s="5682"/>
      <c r="N27" s="5684"/>
      <c r="O27" s="1126"/>
      <c r="P27" s="1127"/>
      <c r="Q27" s="1128"/>
      <c r="R27" s="1126"/>
      <c r="S27" s="1127"/>
      <c r="T27" s="1128"/>
    </row>
    <row r="28" spans="1:20" s="1" customFormat="1" ht="18" customHeight="1">
      <c r="A28" s="5713"/>
      <c r="B28" s="1130"/>
      <c r="C28" s="2"/>
      <c r="D28" s="2"/>
      <c r="E28" s="2"/>
      <c r="F28" s="2"/>
      <c r="G28" s="2"/>
      <c r="H28" s="2"/>
      <c r="I28" s="2"/>
      <c r="J28" s="2"/>
      <c r="K28" s="2"/>
      <c r="L28" s="2"/>
      <c r="M28" s="2"/>
      <c r="N28" s="2"/>
      <c r="O28" s="1126"/>
      <c r="P28" s="1127"/>
      <c r="Q28" s="1128"/>
      <c r="R28" s="1126"/>
      <c r="S28" s="1127"/>
      <c r="T28" s="1128"/>
    </row>
    <row r="29" spans="1:20" s="1" customFormat="1" ht="18" customHeight="1">
      <c r="A29" s="5713"/>
      <c r="B29" s="5662" t="s">
        <v>941</v>
      </c>
      <c r="C29" s="5663"/>
      <c r="D29" s="5663"/>
      <c r="E29" s="5663"/>
      <c r="F29" s="5663"/>
      <c r="G29" s="5663"/>
      <c r="H29" s="5663"/>
      <c r="I29" s="5663"/>
      <c r="J29" s="5663"/>
      <c r="K29" s="5663"/>
      <c r="L29" s="5663"/>
      <c r="M29" s="5663"/>
      <c r="N29" s="5664"/>
      <c r="O29" s="1126"/>
      <c r="P29" s="1131" t="s">
        <v>943</v>
      </c>
      <c r="Q29" s="1132"/>
      <c r="R29" s="1133"/>
      <c r="S29" s="1127"/>
      <c r="T29" s="1128"/>
    </row>
    <row r="30" spans="1:20" s="1" customFormat="1" ht="18" customHeight="1">
      <c r="A30" s="5713"/>
      <c r="B30" s="558" t="str">
        <f>ADDRESS(ROW(),COLUMN(),4)</f>
        <v>B30</v>
      </c>
      <c r="C30" s="903" t="s">
        <v>691</v>
      </c>
      <c r="D30" s="1056"/>
      <c r="E30" s="1056"/>
      <c r="F30" s="1056"/>
      <c r="G30" s="1056"/>
      <c r="H30" s="1056"/>
      <c r="I30" s="1056"/>
      <c r="J30" s="1056"/>
      <c r="K30" s="1056"/>
      <c r="L30" s="1056"/>
      <c r="M30" s="1056"/>
      <c r="N30" s="1166" t="s">
        <v>44</v>
      </c>
      <c r="O30" s="1126"/>
      <c r="P30" s="1163"/>
      <c r="Q30" s="2"/>
      <c r="R30" s="1135"/>
      <c r="S30" s="1127"/>
      <c r="T30" s="1128"/>
    </row>
    <row r="31" spans="1:20" s="1" customFormat="1" ht="18" customHeight="1">
      <c r="A31" s="5713"/>
      <c r="B31" s="5714" t="s">
        <v>907</v>
      </c>
      <c r="C31" s="5715" t="s">
        <v>944</v>
      </c>
      <c r="D31" s="5716" t="s">
        <v>945</v>
      </c>
      <c r="E31" s="5717" t="s">
        <v>946</v>
      </c>
      <c r="F31" s="5718" t="s">
        <v>947</v>
      </c>
      <c r="G31" s="5719" t="s">
        <v>948</v>
      </c>
      <c r="H31" s="5720"/>
      <c r="I31" s="5721"/>
      <c r="J31" s="5716" t="s">
        <v>949</v>
      </c>
      <c r="K31" s="5722" t="s">
        <v>950</v>
      </c>
      <c r="L31" s="5723" t="s">
        <v>951</v>
      </c>
      <c r="M31" s="5724"/>
      <c r="N31" s="5725"/>
      <c r="O31" s="1126"/>
      <c r="P31" s="1134" t="s">
        <v>907</v>
      </c>
      <c r="Q31" s="2"/>
      <c r="R31" s="1135"/>
      <c r="S31" s="1127"/>
      <c r="T31" s="1128"/>
    </row>
    <row r="32" spans="1:20" s="1" customFormat="1" ht="18" customHeight="1">
      <c r="A32" s="5713"/>
      <c r="B32" s="5714"/>
      <c r="C32" s="5715"/>
      <c r="D32" s="5716"/>
      <c r="E32" s="5717"/>
      <c r="F32" s="5718"/>
      <c r="G32" s="5719"/>
      <c r="H32" s="5720"/>
      <c r="I32" s="5721"/>
      <c r="J32" s="5716"/>
      <c r="K32" s="5722"/>
      <c r="L32" s="5723"/>
      <c r="M32" s="5724"/>
      <c r="N32" s="5725"/>
      <c r="O32" s="1126"/>
      <c r="P32" s="1136" t="s">
        <v>944</v>
      </c>
      <c r="Q32" s="2"/>
      <c r="R32" s="1135"/>
      <c r="S32" s="1127"/>
      <c r="T32" s="1128"/>
    </row>
    <row r="33" spans="1:20" s="1" customFormat="1" ht="18" customHeight="1">
      <c r="A33" s="5713"/>
      <c r="B33" s="5669">
        <v>100</v>
      </c>
      <c r="C33" s="5726" t="s">
        <v>952</v>
      </c>
      <c r="D33" s="5728">
        <v>1.5</v>
      </c>
      <c r="E33" s="5681">
        <f>IF(B33=0,0,D33-(D33*D26%))</f>
        <v>1.05</v>
      </c>
      <c r="F33" s="5639">
        <f>G26</f>
        <v>11</v>
      </c>
      <c r="G33" s="5697">
        <f>IF(G26=0,0,INT(G26/E33))</f>
        <v>10</v>
      </c>
      <c r="H33" s="5709">
        <f>G26-(E33*G33)</f>
        <v>0.5</v>
      </c>
      <c r="I33" s="5711" t="str">
        <f>IF(H33=0,0,"Kg")</f>
        <v>Kg</v>
      </c>
      <c r="J33" s="5730">
        <v>20</v>
      </c>
      <c r="K33" s="5737">
        <f>B26*K26</f>
        <v>250</v>
      </c>
      <c r="L33" s="5697">
        <f>IF(J33=0,0,INT(K26*B26/J33))</f>
        <v>12</v>
      </c>
      <c r="M33" s="4951">
        <f>(B26*K26)-(L33*J33)</f>
        <v>10</v>
      </c>
      <c r="N33" s="5734" t="str">
        <f>IF(M33=0,0,"Pièce /Mx")</f>
        <v>Pièce /Mx</v>
      </c>
      <c r="O33" s="1126"/>
      <c r="P33" s="1136" t="s">
        <v>945</v>
      </c>
      <c r="Q33" s="2"/>
      <c r="R33" s="1135"/>
      <c r="S33" s="1127"/>
      <c r="T33" s="1128"/>
    </row>
    <row r="34" spans="1:20" s="1" customFormat="1" ht="18" customHeight="1">
      <c r="A34" s="5713"/>
      <c r="B34" s="5670"/>
      <c r="C34" s="5727"/>
      <c r="D34" s="5729"/>
      <c r="E34" s="5682"/>
      <c r="F34" s="5640"/>
      <c r="G34" s="5698"/>
      <c r="H34" s="5710"/>
      <c r="I34" s="5712"/>
      <c r="J34" s="5030"/>
      <c r="K34" s="5738"/>
      <c r="L34" s="5698"/>
      <c r="M34" s="5739"/>
      <c r="N34" s="5735"/>
      <c r="O34" s="1126"/>
      <c r="P34" s="1137" t="s">
        <v>949</v>
      </c>
      <c r="Q34" s="120"/>
      <c r="R34" s="119"/>
      <c r="S34" s="1127"/>
      <c r="T34" s="1128"/>
    </row>
    <row r="35" spans="1:20" s="1" customFormat="1" ht="18" customHeight="1">
      <c r="A35" s="5713"/>
      <c r="B35" s="5736" t="s">
        <v>942</v>
      </c>
      <c r="C35" s="5736"/>
      <c r="D35" s="5736"/>
      <c r="E35" s="5736"/>
      <c r="F35" s="5736"/>
      <c r="G35" s="5736"/>
      <c r="H35" s="5736"/>
      <c r="I35" s="5736"/>
      <c r="J35" s="5736"/>
      <c r="K35" s="5736"/>
      <c r="L35" s="5736"/>
      <c r="M35" s="5736"/>
      <c r="N35" s="5736"/>
      <c r="O35" s="1126"/>
      <c r="P35" s="1162"/>
      <c r="Q35" s="2"/>
      <c r="R35" s="2"/>
      <c r="S35" s="1127"/>
      <c r="T35" s="1128"/>
    </row>
    <row r="36" spans="1:20" s="1" customFormat="1" ht="18" customHeight="1">
      <c r="B36" s="1130"/>
      <c r="C36" s="2"/>
      <c r="D36" s="2"/>
      <c r="E36" s="2"/>
      <c r="F36" s="2"/>
      <c r="G36" s="2"/>
      <c r="H36" s="2"/>
      <c r="I36" s="2"/>
      <c r="J36" s="2"/>
      <c r="K36" s="2"/>
      <c r="L36" s="2"/>
      <c r="M36" s="2"/>
      <c r="N36" s="2"/>
      <c r="O36" s="1126"/>
      <c r="P36" s="1127"/>
      <c r="Q36" s="1127"/>
      <c r="R36" s="1127"/>
      <c r="S36" s="1127"/>
      <c r="T36" s="1128"/>
    </row>
    <row r="37" spans="1:20" s="1" customFormat="1" ht="18" customHeight="1">
      <c r="A37" s="1167">
        <f>ROW()</f>
        <v>37</v>
      </c>
      <c r="B37" s="5656" t="s">
        <v>953</v>
      </c>
      <c r="C37" s="5657"/>
      <c r="D37" s="5657"/>
      <c r="E37" s="5657"/>
      <c r="F37" s="5657"/>
      <c r="G37" s="5657"/>
      <c r="H37" s="5657"/>
      <c r="I37" s="5657"/>
      <c r="J37" s="5657"/>
      <c r="K37" s="5657"/>
      <c r="L37" s="5657"/>
      <c r="M37" s="5657"/>
      <c r="N37" s="5658"/>
      <c r="O37" s="1126"/>
      <c r="P37" s="1127"/>
      <c r="Q37" s="1127"/>
      <c r="R37" s="1127"/>
      <c r="S37" s="1127"/>
      <c r="T37" s="1128"/>
    </row>
    <row r="38" spans="1:20" s="1" customFormat="1" ht="18" customHeight="1">
      <c r="A38" s="1167"/>
      <c r="B38" s="5659"/>
      <c r="C38" s="5660"/>
      <c r="D38" s="5660"/>
      <c r="E38" s="5660"/>
      <c r="F38" s="5660"/>
      <c r="G38" s="5660"/>
      <c r="H38" s="5660"/>
      <c r="I38" s="5660"/>
      <c r="J38" s="5660"/>
      <c r="K38" s="5660"/>
      <c r="L38" s="5660"/>
      <c r="M38" s="5660"/>
      <c r="N38" s="5661"/>
      <c r="O38" s="1126"/>
      <c r="P38" s="1127"/>
      <c r="Q38" s="1127"/>
      <c r="R38" s="1127"/>
      <c r="S38" s="1127"/>
      <c r="T38" s="1128"/>
    </row>
    <row r="39" spans="1:20" s="1" customFormat="1" ht="18" customHeight="1">
      <c r="A39" s="2"/>
      <c r="B39" s="2"/>
      <c r="C39" s="2"/>
      <c r="D39" s="2"/>
      <c r="E39" s="2"/>
      <c r="F39" s="2"/>
      <c r="G39" s="2"/>
      <c r="H39" s="2"/>
      <c r="I39" s="2"/>
      <c r="J39" s="2"/>
      <c r="K39" s="2"/>
      <c r="L39" s="2"/>
      <c r="M39" s="2"/>
      <c r="N39" s="2"/>
      <c r="O39" s="1126"/>
      <c r="P39" s="1127"/>
      <c r="Q39" s="1127"/>
      <c r="R39" s="1127"/>
      <c r="S39" s="1127"/>
      <c r="T39" s="1128"/>
    </row>
    <row r="40" spans="1:20" s="1" customFormat="1" ht="18" customHeight="1">
      <c r="A40" s="1164" t="s">
        <v>70</v>
      </c>
      <c r="B40" s="5662" t="s">
        <v>954</v>
      </c>
      <c r="C40" s="5663"/>
      <c r="D40" s="5663"/>
      <c r="E40" s="5663"/>
      <c r="F40" s="5663"/>
      <c r="G40" s="5663"/>
      <c r="H40" s="5663"/>
      <c r="I40" s="5663"/>
      <c r="J40" s="5663"/>
      <c r="K40" s="5663"/>
      <c r="L40" s="5663"/>
      <c r="M40" s="5663"/>
      <c r="N40" s="5664"/>
      <c r="O40" s="1126"/>
      <c r="P40" s="1131" t="s">
        <v>955</v>
      </c>
      <c r="Q40" s="1132"/>
      <c r="R40" s="1133"/>
      <c r="S40" s="1127"/>
      <c r="T40" s="1128"/>
    </row>
    <row r="41" spans="1:20" s="1" customFormat="1" ht="18" customHeight="1">
      <c r="A41" s="5699" t="str">
        <f>B40</f>
        <v>VIANDE CUITE A SERVIR NOMBRE DE GASTRO ET DE LOUCHES POUR LE SERVICE</v>
      </c>
      <c r="B41" s="558" t="str">
        <f>ADDRESS(ROW(),COLUMN(),4)</f>
        <v>B41</v>
      </c>
      <c r="C41" s="903" t="s">
        <v>691</v>
      </c>
      <c r="D41" s="1056"/>
      <c r="E41" s="1056"/>
      <c r="F41" s="1056"/>
      <c r="G41" s="1056"/>
      <c r="H41" s="1056"/>
      <c r="I41" s="1056"/>
      <c r="J41" s="1056"/>
      <c r="K41" s="1056"/>
      <c r="L41" s="1056"/>
      <c r="M41" s="1056"/>
      <c r="N41" s="1166" t="s">
        <v>46</v>
      </c>
      <c r="O41" s="1126"/>
      <c r="P41" s="1163"/>
      <c r="Q41" s="2"/>
      <c r="R41" s="1135"/>
      <c r="S41" s="1127"/>
      <c r="T41" s="1128"/>
    </row>
    <row r="42" spans="1:20" s="1" customFormat="1" ht="18" customHeight="1">
      <c r="A42" s="5699"/>
      <c r="B42" s="5700" t="s">
        <v>907</v>
      </c>
      <c r="C42" s="5701" t="s">
        <v>944</v>
      </c>
      <c r="D42" s="5702" t="s">
        <v>956</v>
      </c>
      <c r="E42" s="5702" t="s">
        <v>957</v>
      </c>
      <c r="F42" s="5703" t="s">
        <v>948</v>
      </c>
      <c r="G42" s="5704"/>
      <c r="H42" s="5704"/>
      <c r="I42" s="5705"/>
      <c r="J42" s="1138"/>
      <c r="K42" s="5742" t="s">
        <v>958</v>
      </c>
      <c r="L42" s="5743" t="s">
        <v>959</v>
      </c>
      <c r="M42" s="5744" t="s">
        <v>956</v>
      </c>
      <c r="N42" s="5745" t="s">
        <v>960</v>
      </c>
      <c r="O42" s="1126"/>
      <c r="P42" s="1134" t="s">
        <v>907</v>
      </c>
      <c r="Q42" s="2"/>
      <c r="R42" s="1135"/>
      <c r="S42" s="1127"/>
      <c r="T42" s="1128"/>
    </row>
    <row r="43" spans="1:20" s="1" customFormat="1" ht="18" customHeight="1">
      <c r="A43" s="5699"/>
      <c r="B43" s="5700"/>
      <c r="C43" s="5701"/>
      <c r="D43" s="5702"/>
      <c r="E43" s="5702"/>
      <c r="F43" s="5706"/>
      <c r="G43" s="5707"/>
      <c r="H43" s="5707"/>
      <c r="I43" s="5708"/>
      <c r="J43" s="1138"/>
      <c r="K43" s="5716"/>
      <c r="L43" s="5722"/>
      <c r="M43" s="5744"/>
      <c r="N43" s="5745"/>
      <c r="O43" s="1126"/>
      <c r="P43" s="1136" t="s">
        <v>944</v>
      </c>
      <c r="Q43" s="2"/>
      <c r="R43" s="1135"/>
      <c r="S43" s="1127"/>
      <c r="T43" s="1128"/>
    </row>
    <row r="44" spans="1:20" s="1" customFormat="1" ht="18" customHeight="1">
      <c r="A44" s="5699"/>
      <c r="B44" s="5669">
        <v>100</v>
      </c>
      <c r="C44" s="5726" t="s">
        <v>952</v>
      </c>
      <c r="D44" s="5731">
        <v>6</v>
      </c>
      <c r="E44" s="5728">
        <v>2.5</v>
      </c>
      <c r="F44" s="5732">
        <f>IF(D44=0,0,INT(D44/E44))</f>
        <v>2</v>
      </c>
      <c r="G44" s="5733" t="str">
        <f>C44</f>
        <v>Gastro 1/1</v>
      </c>
      <c r="H44" s="4951">
        <f>D44-(E44*F44)</f>
        <v>1</v>
      </c>
      <c r="I44" s="5711" t="str">
        <f>IF(H44=0,0,"Kg")</f>
        <v>Kg</v>
      </c>
      <c r="J44" s="1138"/>
      <c r="K44" s="5730">
        <v>13</v>
      </c>
      <c r="L44" s="5740">
        <f>E44/K44</f>
        <v>0.19230769230769232</v>
      </c>
      <c r="M44" s="5740">
        <f>D44</f>
        <v>6</v>
      </c>
      <c r="N44" s="5741">
        <f>M44/L44</f>
        <v>31.2</v>
      </c>
      <c r="O44" s="1126"/>
      <c r="P44" s="1136" t="s">
        <v>956</v>
      </c>
      <c r="Q44" s="2"/>
      <c r="R44" s="1135"/>
      <c r="S44" s="1127"/>
      <c r="T44" s="1128"/>
    </row>
    <row r="45" spans="1:20" s="1" customFormat="1" ht="18" customHeight="1">
      <c r="A45" s="5699"/>
      <c r="B45" s="5669"/>
      <c r="C45" s="5726"/>
      <c r="D45" s="5731"/>
      <c r="E45" s="5728"/>
      <c r="F45" s="5732"/>
      <c r="G45" s="5733"/>
      <c r="H45" s="4951"/>
      <c r="I45" s="5711"/>
      <c r="J45" s="1138"/>
      <c r="K45" s="5730"/>
      <c r="L45" s="5740"/>
      <c r="M45" s="5740"/>
      <c r="N45" s="5741"/>
      <c r="O45" s="1126"/>
      <c r="P45" s="1136" t="s">
        <v>957</v>
      </c>
      <c r="Q45" s="2"/>
      <c r="R45" s="1135"/>
      <c r="S45" s="1127"/>
      <c r="T45" s="1128"/>
    </row>
    <row r="46" spans="1:20" s="1" customFormat="1" ht="18" customHeight="1">
      <c r="A46" s="5699"/>
      <c r="B46" s="1139"/>
      <c r="C46" s="1140"/>
      <c r="D46" s="1140"/>
      <c r="E46" s="1140"/>
      <c r="F46" s="1140"/>
      <c r="G46" s="1140"/>
      <c r="H46" s="1140"/>
      <c r="I46" s="1140"/>
      <c r="J46" s="1141"/>
      <c r="K46" s="1142"/>
      <c r="L46" s="1142"/>
      <c r="M46" s="1142"/>
      <c r="N46" s="1143"/>
      <c r="O46" s="1126"/>
      <c r="P46" s="1137" t="s">
        <v>958</v>
      </c>
      <c r="Q46" s="1144"/>
      <c r="R46" s="1145"/>
      <c r="S46" s="1127"/>
      <c r="T46" s="1128"/>
    </row>
    <row r="47" spans="1:20" s="1" customFormat="1" ht="18" customHeight="1">
      <c r="O47" s="1126"/>
      <c r="P47" s="1127"/>
      <c r="Q47" s="1127"/>
      <c r="R47" s="1127"/>
      <c r="S47" s="1127"/>
      <c r="T47" s="1128"/>
    </row>
    <row r="48" spans="1:20" s="1" customFormat="1" ht="18" customHeight="1">
      <c r="A48" s="1164" t="s">
        <v>70</v>
      </c>
      <c r="B48" s="5662" t="s">
        <v>961</v>
      </c>
      <c r="C48" s="5663"/>
      <c r="D48" s="5663"/>
      <c r="E48" s="5663"/>
      <c r="F48" s="5663"/>
      <c r="G48" s="5663"/>
      <c r="H48" s="5663"/>
      <c r="I48" s="5663"/>
      <c r="J48" s="5663"/>
      <c r="K48" s="5663"/>
      <c r="L48" s="5663"/>
      <c r="M48" s="5663"/>
      <c r="N48" s="5664"/>
      <c r="O48" s="1126"/>
      <c r="P48" s="1131" t="s">
        <v>962</v>
      </c>
      <c r="Q48" s="1132"/>
      <c r="R48" s="1133"/>
      <c r="S48" s="1127"/>
      <c r="T48" s="1128"/>
    </row>
    <row r="49" spans="1:20" s="1" customFormat="1" ht="18" customHeight="1">
      <c r="A49" s="5699" t="str">
        <f>B48</f>
        <v>GARNITURE DE FINITION AU POIDS    service à la louche</v>
      </c>
      <c r="B49" s="558" t="str">
        <f>ADDRESS(ROW(),COLUMN(),4)</f>
        <v>B49</v>
      </c>
      <c r="C49" s="903" t="s">
        <v>691</v>
      </c>
      <c r="D49" s="1056"/>
      <c r="E49" s="1056"/>
      <c r="F49" s="1056"/>
      <c r="G49" s="1056"/>
      <c r="H49" s="1056"/>
      <c r="I49" s="1056"/>
      <c r="J49" s="1056"/>
      <c r="K49" s="1056"/>
      <c r="L49" s="1056"/>
      <c r="M49" s="1056"/>
      <c r="N49" s="1166" t="s">
        <v>457</v>
      </c>
      <c r="O49" s="1126"/>
      <c r="P49" s="1163"/>
      <c r="Q49" s="2"/>
      <c r="R49" s="1135"/>
      <c r="S49" s="1127"/>
      <c r="T49" s="1128"/>
    </row>
    <row r="50" spans="1:20" s="1" customFormat="1" ht="18" customHeight="1">
      <c r="A50" s="5699"/>
      <c r="B50" s="5746" t="s">
        <v>907</v>
      </c>
      <c r="C50" s="5747" t="s">
        <v>915</v>
      </c>
      <c r="D50" s="5749" t="s">
        <v>916</v>
      </c>
      <c r="E50" s="5743" t="s">
        <v>917</v>
      </c>
      <c r="F50" s="5743"/>
      <c r="G50" s="5743" t="s">
        <v>919</v>
      </c>
      <c r="H50" s="5743"/>
      <c r="I50" s="5743" t="s">
        <v>920</v>
      </c>
      <c r="J50" s="5751"/>
      <c r="K50" s="5747" t="s">
        <v>963</v>
      </c>
      <c r="L50" s="5665" t="s">
        <v>915</v>
      </c>
      <c r="M50" s="5665" t="s">
        <v>964</v>
      </c>
      <c r="N50" s="5667" t="s">
        <v>965</v>
      </c>
      <c r="O50" s="1126"/>
      <c r="P50" s="1134" t="s">
        <v>907</v>
      </c>
      <c r="Q50" s="2"/>
      <c r="R50" s="1135"/>
      <c r="S50" s="1127"/>
      <c r="T50" s="1128"/>
    </row>
    <row r="51" spans="1:20" s="1" customFormat="1" ht="18" customHeight="1">
      <c r="A51" s="5699"/>
      <c r="B51" s="5700"/>
      <c r="C51" s="5748"/>
      <c r="D51" s="5750"/>
      <c r="E51" s="5722"/>
      <c r="F51" s="5722"/>
      <c r="G51" s="5722"/>
      <c r="H51" s="5722"/>
      <c r="I51" s="5722"/>
      <c r="J51" s="5752"/>
      <c r="K51" s="5748"/>
      <c r="L51" s="5666"/>
      <c r="M51" s="5666"/>
      <c r="N51" s="5668"/>
      <c r="O51" s="1126"/>
      <c r="P51" s="1136" t="s">
        <v>915</v>
      </c>
      <c r="Q51" s="2"/>
      <c r="R51" s="1135"/>
      <c r="S51" s="1127"/>
      <c r="T51" s="1128"/>
    </row>
    <row r="52" spans="1:20" s="1" customFormat="1" ht="18" customHeight="1">
      <c r="A52" s="5699"/>
      <c r="B52" s="5669">
        <v>100</v>
      </c>
      <c r="C52" s="5728">
        <v>0.1</v>
      </c>
      <c r="D52" s="5673">
        <v>10</v>
      </c>
      <c r="E52" s="5675">
        <f>(C52/(100-D52)*100)</f>
        <v>0.1111111111111111</v>
      </c>
      <c r="F52" s="5676"/>
      <c r="G52" s="5675">
        <f>C52*B52</f>
        <v>10</v>
      </c>
      <c r="H52" s="5676"/>
      <c r="I52" s="5675">
        <f>E52*B52</f>
        <v>11.111111111111111</v>
      </c>
      <c r="J52" s="5676"/>
      <c r="K52" s="5730">
        <v>2</v>
      </c>
      <c r="L52" s="5681">
        <f>M52*K52</f>
        <v>0.1</v>
      </c>
      <c r="M52" s="5681">
        <f>C52/K52</f>
        <v>0.05</v>
      </c>
      <c r="N52" s="5753">
        <f>G52/M52</f>
        <v>200</v>
      </c>
      <c r="O52" s="1126"/>
      <c r="P52" s="1146" t="s">
        <v>916</v>
      </c>
      <c r="Q52" s="2"/>
      <c r="R52" s="1135"/>
      <c r="S52" s="1127"/>
      <c r="T52" s="1128"/>
    </row>
    <row r="53" spans="1:20" s="1" customFormat="1" ht="18" customHeight="1">
      <c r="A53" s="5699"/>
      <c r="B53" s="5670"/>
      <c r="C53" s="5729"/>
      <c r="D53" s="5674"/>
      <c r="E53" s="5677"/>
      <c r="F53" s="5678"/>
      <c r="G53" s="5677"/>
      <c r="H53" s="5678"/>
      <c r="I53" s="5677"/>
      <c r="J53" s="5678"/>
      <c r="K53" s="5030"/>
      <c r="L53" s="5682"/>
      <c r="M53" s="5682"/>
      <c r="N53" s="5754"/>
      <c r="O53" s="1126"/>
      <c r="P53" s="1137" t="s">
        <v>963</v>
      </c>
      <c r="Q53" s="120"/>
      <c r="R53" s="119"/>
      <c r="S53" s="1127"/>
      <c r="T53" s="1128"/>
    </row>
    <row r="54" spans="1:20" s="1" customFormat="1" ht="18" customHeight="1">
      <c r="A54" s="1130"/>
      <c r="B54" s="1130"/>
      <c r="C54" s="2"/>
      <c r="D54" s="2"/>
      <c r="E54" s="2"/>
      <c r="F54" s="2"/>
      <c r="G54" s="2"/>
      <c r="H54" s="2"/>
      <c r="I54" s="2"/>
      <c r="J54" s="2"/>
      <c r="K54" s="2"/>
      <c r="L54" s="2"/>
      <c r="M54" s="2"/>
      <c r="N54" s="2"/>
      <c r="O54" s="1126"/>
      <c r="P54" s="1127"/>
      <c r="Q54" s="1127"/>
      <c r="R54" s="1127"/>
      <c r="S54" s="1127"/>
      <c r="T54" s="1128"/>
    </row>
    <row r="55" spans="1:20" s="1" customFormat="1" ht="18" customHeight="1">
      <c r="A55" s="1164" t="s">
        <v>70</v>
      </c>
      <c r="B55" s="5662" t="s">
        <v>966</v>
      </c>
      <c r="C55" s="5663"/>
      <c r="D55" s="5663"/>
      <c r="E55" s="5663"/>
      <c r="F55" s="5663"/>
      <c r="G55" s="5663"/>
      <c r="H55" s="5663"/>
      <c r="I55" s="5663"/>
      <c r="J55" s="5663"/>
      <c r="K55" s="5663"/>
      <c r="L55" s="5663"/>
      <c r="M55" s="5663"/>
      <c r="N55" s="5664"/>
      <c r="O55" s="1126"/>
      <c r="P55" s="1131" t="s">
        <v>967</v>
      </c>
      <c r="Q55" s="1132"/>
      <c r="R55" s="1133"/>
      <c r="S55" s="1127"/>
      <c r="T55" s="1128"/>
    </row>
    <row r="56" spans="1:20" s="1" customFormat="1" ht="18" customHeight="1">
      <c r="A56" s="5699" t="str">
        <f>B55</f>
        <v>SAUCE - POIDS et NB DE LOUCHES POUR LE SERVICE</v>
      </c>
      <c r="B56" s="558" t="str">
        <f>ADDRESS(ROW(),COLUMN(),4)</f>
        <v>B56</v>
      </c>
      <c r="C56" s="903" t="s">
        <v>691</v>
      </c>
      <c r="D56" s="1056"/>
      <c r="E56" s="1056"/>
      <c r="F56" s="1056"/>
      <c r="G56" s="1056"/>
      <c r="H56" s="1056"/>
      <c r="I56" s="1056"/>
      <c r="J56" s="1056"/>
      <c r="K56" s="1056"/>
      <c r="L56" s="1056"/>
      <c r="M56" s="1056"/>
      <c r="N56" s="1165" t="s">
        <v>469</v>
      </c>
      <c r="O56" s="1126"/>
      <c r="P56" s="1163"/>
      <c r="Q56" s="2"/>
      <c r="R56" s="1135"/>
      <c r="S56" s="1127"/>
      <c r="T56" s="1128"/>
    </row>
    <row r="57" spans="1:20" s="1" customFormat="1" ht="18" customHeight="1">
      <c r="A57" s="5699"/>
      <c r="B57" s="5685" t="s">
        <v>907</v>
      </c>
      <c r="C57" s="5695" t="s">
        <v>915</v>
      </c>
      <c r="D57" s="5689" t="s">
        <v>916</v>
      </c>
      <c r="E57" s="5755" t="s">
        <v>914</v>
      </c>
      <c r="F57" s="5756"/>
      <c r="G57" s="5761">
        <v>0.15</v>
      </c>
      <c r="H57" s="5691" t="s">
        <v>917</v>
      </c>
      <c r="I57" s="5692"/>
      <c r="J57" s="5665" t="s">
        <v>918</v>
      </c>
      <c r="K57" s="5691" t="s">
        <v>919</v>
      </c>
      <c r="L57" s="5692"/>
      <c r="M57" s="5773" t="s">
        <v>920</v>
      </c>
      <c r="N57" s="5774"/>
      <c r="O57" s="1126"/>
      <c r="P57" s="1134" t="s">
        <v>907</v>
      </c>
      <c r="Q57" s="2"/>
      <c r="R57" s="1135"/>
      <c r="S57" s="1127"/>
      <c r="T57" s="1128"/>
    </row>
    <row r="58" spans="1:20" s="1" customFormat="1" ht="18" customHeight="1">
      <c r="A58" s="5699"/>
      <c r="B58" s="5686"/>
      <c r="C58" s="5696"/>
      <c r="D58" s="5690"/>
      <c r="E58" s="5757"/>
      <c r="F58" s="5758"/>
      <c r="G58" s="5762"/>
      <c r="H58" s="5693"/>
      <c r="I58" s="5694"/>
      <c r="J58" s="5666"/>
      <c r="K58" s="5693"/>
      <c r="L58" s="5694"/>
      <c r="M58" s="5775"/>
      <c r="N58" s="5776"/>
      <c r="O58" s="1126"/>
      <c r="P58" s="1136" t="s">
        <v>915</v>
      </c>
      <c r="Q58" s="2"/>
      <c r="R58" s="1135"/>
      <c r="S58" s="1127"/>
      <c r="T58" s="1128"/>
    </row>
    <row r="59" spans="1:20" s="1" customFormat="1" ht="18" customHeight="1">
      <c r="A59" s="5699"/>
      <c r="B59" s="5669">
        <v>100</v>
      </c>
      <c r="C59" s="5728">
        <v>0.06</v>
      </c>
      <c r="D59" s="5673">
        <v>2</v>
      </c>
      <c r="E59" s="5757"/>
      <c r="F59" s="5758"/>
      <c r="G59" s="5762"/>
      <c r="H59" s="5777">
        <f>IF(B59=0,0,(C59/(100-D59)*100))</f>
        <v>6.1224489795918366E-2</v>
      </c>
      <c r="I59" s="5764" t="s">
        <v>42</v>
      </c>
      <c r="J59" s="5779">
        <f>G57/C59</f>
        <v>2.5</v>
      </c>
      <c r="K59" s="5781">
        <f>C59*B59</f>
        <v>6</v>
      </c>
      <c r="L59" s="5764" t="s">
        <v>42</v>
      </c>
      <c r="M59" s="5766">
        <f>H59*B59</f>
        <v>6.1224489795918364</v>
      </c>
      <c r="N59" s="5768" t="s">
        <v>42</v>
      </c>
      <c r="O59" s="1126"/>
      <c r="P59" s="1146" t="s">
        <v>916</v>
      </c>
      <c r="Q59" s="2"/>
      <c r="R59" s="1135"/>
      <c r="S59" s="1127"/>
      <c r="T59" s="1128"/>
    </row>
    <row r="60" spans="1:20" s="1" customFormat="1" ht="18" customHeight="1">
      <c r="A60" s="5699"/>
      <c r="B60" s="5670"/>
      <c r="C60" s="5729"/>
      <c r="D60" s="5674"/>
      <c r="E60" s="5759"/>
      <c r="F60" s="5760"/>
      <c r="G60" s="5763"/>
      <c r="H60" s="5778"/>
      <c r="I60" s="5765"/>
      <c r="J60" s="5780"/>
      <c r="K60" s="5782"/>
      <c r="L60" s="5765"/>
      <c r="M60" s="5767"/>
      <c r="N60" s="5769"/>
      <c r="O60" s="1126"/>
      <c r="P60" s="1147" t="s">
        <v>914</v>
      </c>
      <c r="Q60" s="120"/>
      <c r="R60" s="119"/>
      <c r="S60" s="1127"/>
      <c r="T60" s="1128"/>
    </row>
    <row r="61" spans="1:20" s="1" customFormat="1" ht="18" customHeight="1">
      <c r="B61" s="1130"/>
      <c r="C61" s="138"/>
      <c r="D61" s="138"/>
      <c r="E61" s="138"/>
      <c r="F61" s="138"/>
      <c r="G61" s="138"/>
      <c r="H61" s="138"/>
      <c r="I61" s="138"/>
      <c r="J61" s="138"/>
      <c r="K61" s="138"/>
      <c r="L61" s="138"/>
      <c r="M61" s="138"/>
      <c r="N61" s="138"/>
      <c r="O61" s="1126"/>
      <c r="P61" s="1127"/>
      <c r="Q61" s="1127"/>
      <c r="R61" s="1127"/>
      <c r="S61" s="1127"/>
      <c r="T61" s="1128"/>
    </row>
    <row r="62" spans="1:20" s="1" customFormat="1" ht="18" customHeight="1">
      <c r="A62" s="1167">
        <f>ROW()</f>
        <v>62</v>
      </c>
      <c r="B62" s="5770" t="s">
        <v>968</v>
      </c>
      <c r="C62" s="5771"/>
      <c r="D62" s="5771"/>
      <c r="E62" s="5771"/>
      <c r="F62" s="5771"/>
      <c r="G62" s="5771"/>
      <c r="H62" s="5771"/>
      <c r="I62" s="5771"/>
      <c r="J62" s="5771"/>
      <c r="K62" s="5771"/>
      <c r="L62" s="5771"/>
      <c r="M62" s="5771"/>
      <c r="N62" s="5772"/>
      <c r="O62" s="1126"/>
      <c r="P62" s="1127"/>
      <c r="Q62" s="1127"/>
      <c r="R62" s="1127"/>
      <c r="S62" s="1127"/>
      <c r="T62" s="1128"/>
    </row>
    <row r="63" spans="1:20" s="1" customFormat="1" ht="18" customHeight="1">
      <c r="A63" s="1167"/>
      <c r="B63" s="1148" t="str">
        <f t="shared" ref="B63:N63" si="0">SUBSTITUTE(ADDRESS(1,COLUMN(),4),"1","")</f>
        <v>B</v>
      </c>
      <c r="C63" s="1149" t="str">
        <f t="shared" si="0"/>
        <v>C</v>
      </c>
      <c r="D63" s="1149" t="str">
        <f t="shared" si="0"/>
        <v>D</v>
      </c>
      <c r="E63" s="1149" t="str">
        <f t="shared" si="0"/>
        <v>E</v>
      </c>
      <c r="F63" s="1149" t="str">
        <f t="shared" si="0"/>
        <v>F</v>
      </c>
      <c r="G63" s="1149" t="str">
        <f t="shared" si="0"/>
        <v>G</v>
      </c>
      <c r="H63" s="1149" t="str">
        <f t="shared" si="0"/>
        <v>H</v>
      </c>
      <c r="I63" s="1149" t="str">
        <f t="shared" si="0"/>
        <v>I</v>
      </c>
      <c r="J63" s="1150" t="str">
        <f t="shared" si="0"/>
        <v>J</v>
      </c>
      <c r="K63" s="1150" t="str">
        <f t="shared" si="0"/>
        <v>K</v>
      </c>
      <c r="L63" s="1149" t="str">
        <f t="shared" si="0"/>
        <v>L</v>
      </c>
      <c r="M63" s="1149" t="str">
        <f t="shared" si="0"/>
        <v>M</v>
      </c>
      <c r="N63" s="1151" t="str">
        <f t="shared" si="0"/>
        <v>N</v>
      </c>
      <c r="O63" s="1126"/>
      <c r="P63" s="1127"/>
      <c r="Q63" s="1127"/>
      <c r="R63" s="1127"/>
      <c r="S63" s="1127"/>
      <c r="T63" s="1128"/>
    </row>
    <row r="64" spans="1:20" s="1" customFormat="1" ht="18" customHeight="1">
      <c r="A64" s="1167"/>
      <c r="B64" s="1152" t="s">
        <v>930</v>
      </c>
      <c r="C64" s="1153"/>
      <c r="D64" s="1153"/>
      <c r="E64" s="1153"/>
      <c r="F64" s="1153"/>
      <c r="G64" s="1153"/>
      <c r="H64" s="1153"/>
      <c r="I64" s="1153"/>
      <c r="J64" s="1153"/>
      <c r="K64" s="1153"/>
      <c r="L64" s="1153"/>
      <c r="M64" s="1153"/>
      <c r="N64" s="1154" t="s">
        <v>969</v>
      </c>
      <c r="O64" s="1126"/>
      <c r="P64" s="1127"/>
      <c r="Q64" s="1127"/>
      <c r="R64" s="1127"/>
      <c r="S64" s="1127"/>
      <c r="T64" s="1128"/>
    </row>
    <row r="65" spans="1:20" s="1" customFormat="1" ht="18" customHeight="1">
      <c r="A65" s="1167"/>
      <c r="B65" s="1155" t="s">
        <v>37</v>
      </c>
      <c r="C65" s="1156" t="str">
        <f ca="1">CELL("nomfichier")</f>
        <v>D:\Données\Copie_ancien_DD\0-UPRT.fait\1-UPRT.FR-SITE-WEB\ff-fiches-fabrications\ff-fiches-fabrication-maj-08-2020\[ff-22-formats-formules-pourcentages.xlsx]Epurer.un.texte</v>
      </c>
      <c r="D65" s="1156"/>
      <c r="E65" s="1156"/>
      <c r="F65" s="1156"/>
      <c r="G65" s="1156"/>
      <c r="H65" s="1156"/>
      <c r="I65" s="1156"/>
      <c r="J65" s="1156"/>
      <c r="K65" s="1156"/>
      <c r="L65" s="1156"/>
      <c r="M65" s="1156"/>
      <c r="N65" s="1157"/>
      <c r="O65" s="1126"/>
      <c r="P65" s="1127"/>
      <c r="Q65" s="1127"/>
      <c r="R65" s="1127"/>
      <c r="S65" s="1127"/>
      <c r="T65" s="1128"/>
    </row>
    <row r="66" spans="1:20" s="1" customFormat="1" ht="18" customHeight="1">
      <c r="A66" s="1167"/>
      <c r="B66" s="1158" t="s">
        <v>36</v>
      </c>
      <c r="C66" s="1156" t="s">
        <v>970</v>
      </c>
      <c r="D66" s="1156"/>
      <c r="E66" s="1156"/>
      <c r="F66" s="1156"/>
      <c r="G66" s="1156"/>
      <c r="H66" s="1156"/>
      <c r="I66" s="1156"/>
      <c r="J66" s="1156"/>
      <c r="K66" s="1156"/>
      <c r="L66" s="1156"/>
      <c r="M66" s="1156"/>
      <c r="N66" s="1157"/>
      <c r="O66" s="1126"/>
      <c r="P66" s="1127"/>
      <c r="Q66" s="1127"/>
      <c r="R66" s="1127"/>
      <c r="S66" s="1127"/>
      <c r="T66" s="1128"/>
    </row>
    <row r="67" spans="1:20" s="1" customFormat="1" ht="18" customHeight="1" thickBot="1">
      <c r="A67" s="1167"/>
      <c r="B67" s="1159" t="s">
        <v>34</v>
      </c>
      <c r="C67" s="1160"/>
      <c r="D67" s="1160"/>
      <c r="E67" s="1160"/>
      <c r="F67" s="1160"/>
      <c r="G67" s="1160"/>
      <c r="H67" s="1160"/>
      <c r="I67" s="1160"/>
      <c r="J67" s="1160"/>
      <c r="K67" s="1160"/>
      <c r="L67" s="1160"/>
      <c r="M67" s="1160"/>
      <c r="N67" s="1161"/>
      <c r="O67" s="1126"/>
      <c r="P67" s="1127"/>
      <c r="Q67" s="1127"/>
      <c r="R67" s="1127"/>
      <c r="S67" s="1127"/>
      <c r="T67" s="1128"/>
    </row>
  </sheetData>
  <mergeCells count="122">
    <mergeCell ref="B62:N62"/>
    <mergeCell ref="J57:J58"/>
    <mergeCell ref="K57:L58"/>
    <mergeCell ref="M57:N58"/>
    <mergeCell ref="B59:B60"/>
    <mergeCell ref="C59:C60"/>
    <mergeCell ref="D59:D60"/>
    <mergeCell ref="H59:H60"/>
    <mergeCell ref="I59:I60"/>
    <mergeCell ref="J59:J60"/>
    <mergeCell ref="K59:K60"/>
    <mergeCell ref="K52:K53"/>
    <mergeCell ref="L52:L53"/>
    <mergeCell ref="M52:M53"/>
    <mergeCell ref="N52:N53"/>
    <mergeCell ref="B55:N55"/>
    <mergeCell ref="A56:A60"/>
    <mergeCell ref="B57:B58"/>
    <mergeCell ref="C57:C58"/>
    <mergeCell ref="D57:D58"/>
    <mergeCell ref="E57:F60"/>
    <mergeCell ref="G57:G60"/>
    <mergeCell ref="H57:I58"/>
    <mergeCell ref="L59:L60"/>
    <mergeCell ref="M59:M60"/>
    <mergeCell ref="N59:N60"/>
    <mergeCell ref="M44:M45"/>
    <mergeCell ref="N44:N45"/>
    <mergeCell ref="K42:K43"/>
    <mergeCell ref="L42:L43"/>
    <mergeCell ref="M42:M43"/>
    <mergeCell ref="N42:N43"/>
    <mergeCell ref="B48:N48"/>
    <mergeCell ref="A49:A53"/>
    <mergeCell ref="B50:B51"/>
    <mergeCell ref="C50:C51"/>
    <mergeCell ref="D50:D51"/>
    <mergeCell ref="E50:F51"/>
    <mergeCell ref="G50:H51"/>
    <mergeCell ref="I50:J51"/>
    <mergeCell ref="K50:K51"/>
    <mergeCell ref="L50:L51"/>
    <mergeCell ref="M50:M51"/>
    <mergeCell ref="N50:N51"/>
    <mergeCell ref="B52:B53"/>
    <mergeCell ref="C52:C53"/>
    <mergeCell ref="D52:D53"/>
    <mergeCell ref="E52:F53"/>
    <mergeCell ref="G52:H53"/>
    <mergeCell ref="I52:J53"/>
    <mergeCell ref="K31:K32"/>
    <mergeCell ref="L31:N32"/>
    <mergeCell ref="B33:B34"/>
    <mergeCell ref="C33:C34"/>
    <mergeCell ref="D33:D34"/>
    <mergeCell ref="E33:E34"/>
    <mergeCell ref="J33:J34"/>
    <mergeCell ref="B44:B45"/>
    <mergeCell ref="C44:C45"/>
    <mergeCell ref="D44:D45"/>
    <mergeCell ref="E44:E45"/>
    <mergeCell ref="F44:F45"/>
    <mergeCell ref="G44:G45"/>
    <mergeCell ref="N33:N34"/>
    <mergeCell ref="B35:N35"/>
    <mergeCell ref="B37:N38"/>
    <mergeCell ref="B40:N40"/>
    <mergeCell ref="K33:K34"/>
    <mergeCell ref="L33:L34"/>
    <mergeCell ref="M33:M34"/>
    <mergeCell ref="H44:H45"/>
    <mergeCell ref="I44:I45"/>
    <mergeCell ref="K44:K45"/>
    <mergeCell ref="L44:L45"/>
    <mergeCell ref="D24:D25"/>
    <mergeCell ref="E24:F25"/>
    <mergeCell ref="G24:H25"/>
    <mergeCell ref="I24:J25"/>
    <mergeCell ref="K24:K25"/>
    <mergeCell ref="L24:L25"/>
    <mergeCell ref="G33:G34"/>
    <mergeCell ref="A41:A46"/>
    <mergeCell ref="B42:B43"/>
    <mergeCell ref="C42:C43"/>
    <mergeCell ref="D42:D43"/>
    <mergeCell ref="E42:E43"/>
    <mergeCell ref="F42:I43"/>
    <mergeCell ref="H33:H34"/>
    <mergeCell ref="I33:I34"/>
    <mergeCell ref="A23:A35"/>
    <mergeCell ref="B29:N29"/>
    <mergeCell ref="B31:B32"/>
    <mergeCell ref="C31:C32"/>
    <mergeCell ref="D31:D32"/>
    <mergeCell ref="E31:E32"/>
    <mergeCell ref="F31:F32"/>
    <mergeCell ref="G31:I32"/>
    <mergeCell ref="J31:J32"/>
    <mergeCell ref="F33:F34"/>
    <mergeCell ref="B2:N4"/>
    <mergeCell ref="A6:A7"/>
    <mergeCell ref="B6:N7"/>
    <mergeCell ref="B15:K16"/>
    <mergeCell ref="L15:L16"/>
    <mergeCell ref="M15:N16"/>
    <mergeCell ref="B17:N17"/>
    <mergeCell ref="B19:N20"/>
    <mergeCell ref="B22:N22"/>
    <mergeCell ref="M24:M25"/>
    <mergeCell ref="N24:N25"/>
    <mergeCell ref="B26:B27"/>
    <mergeCell ref="C26:C27"/>
    <mergeCell ref="D26:D27"/>
    <mergeCell ref="E26:F27"/>
    <mergeCell ref="G26:H27"/>
    <mergeCell ref="I26:J27"/>
    <mergeCell ref="K26:K27"/>
    <mergeCell ref="L26:L27"/>
    <mergeCell ref="M26:M27"/>
    <mergeCell ref="N26:N27"/>
    <mergeCell ref="B24:B25"/>
    <mergeCell ref="C24:C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7"/>
  <sheetViews>
    <sheetView showGridLines="0" showZeros="0" workbookViewId="0">
      <selection activeCell="A84" sqref="A84:XFD162"/>
    </sheetView>
  </sheetViews>
  <sheetFormatPr baseColWidth="10" defaultColWidth="8" defaultRowHeight="15"/>
  <cols>
    <col min="1" max="1" width="11.125" style="2673" customWidth="1"/>
    <col min="2" max="2" width="72.5" style="2673" customWidth="1"/>
    <col min="3" max="3" width="32.125" style="2673" bestFit="1" customWidth="1"/>
    <col min="4" max="4" width="13.25" style="2673" customWidth="1"/>
    <col min="5" max="16384" width="8" style="2673"/>
  </cols>
  <sheetData>
    <row r="1" spans="1:6" ht="60" customHeight="1">
      <c r="A1" s="2672" t="s">
        <v>2577</v>
      </c>
    </row>
    <row r="2" spans="1:6">
      <c r="A2" s="2672" t="s">
        <v>2578</v>
      </c>
    </row>
    <row r="3" spans="1:6" ht="33">
      <c r="A3" s="2672" t="s">
        <v>2579</v>
      </c>
      <c r="C3" s="2674"/>
      <c r="D3" s="2675"/>
    </row>
    <row r="4" spans="1:6">
      <c r="A4" s="2672" t="s">
        <v>2580</v>
      </c>
    </row>
    <row r="5" spans="1:6">
      <c r="A5" s="2672" t="s">
        <v>2581</v>
      </c>
      <c r="C5" s="5783" t="s">
        <v>2577</v>
      </c>
      <c r="D5" s="5783"/>
    </row>
    <row r="6" spans="1:6" ht="16.5" customHeight="1">
      <c r="A6" s="2672" t="s">
        <v>2582</v>
      </c>
      <c r="C6" s="2682" t="s">
        <v>2583</v>
      </c>
      <c r="D6" s="2723"/>
      <c r="F6" s="2724" t="str">
        <f ca="1">IF(D6=TODAY(),"Vous avez compris!","")</f>
        <v/>
      </c>
    </row>
    <row r="7" spans="1:6" ht="16.5" customHeight="1" thickBot="1">
      <c r="A7" s="2684" t="s">
        <v>2584</v>
      </c>
      <c r="C7" s="2682" t="s">
        <v>2585</v>
      </c>
      <c r="D7" s="2723"/>
    </row>
    <row r="8" spans="1:6" ht="16.5" customHeight="1" thickTop="1" thickBot="1">
      <c r="A8" s="2672" t="s">
        <v>2586</v>
      </c>
      <c r="C8" s="2682" t="s">
        <v>2587</v>
      </c>
      <c r="D8" s="2725">
        <f>D7-D6</f>
        <v>0</v>
      </c>
    </row>
    <row r="9" spans="1:6" ht="15.75" thickTop="1">
      <c r="A9" s="2672" t="s">
        <v>2588</v>
      </c>
    </row>
    <row r="10" spans="1:6" ht="15" customHeight="1" thickBot="1">
      <c r="A10" s="2684" t="s">
        <v>2589</v>
      </c>
      <c r="C10" s="2682" t="s">
        <v>2590</v>
      </c>
      <c r="D10" s="2726"/>
    </row>
    <row r="11" spans="1:6" ht="15" customHeight="1" thickTop="1" thickBot="1">
      <c r="A11" s="2684" t="s">
        <v>2591</v>
      </c>
      <c r="C11" s="2682" t="s">
        <v>2592</v>
      </c>
      <c r="D11" s="2727">
        <f>D6+D10</f>
        <v>0</v>
      </c>
    </row>
    <row r="12" spans="1:6" ht="15.75" thickTop="1">
      <c r="A12" s="2672" t="s">
        <v>2593</v>
      </c>
    </row>
    <row r="13" spans="1:6">
      <c r="A13" s="2672" t="s">
        <v>2501</v>
      </c>
    </row>
    <row r="14" spans="1:6">
      <c r="A14" s="2672" t="s">
        <v>2502</v>
      </c>
    </row>
    <row r="15" spans="1:6">
      <c r="A15" s="2672" t="s">
        <v>2503</v>
      </c>
    </row>
    <row r="16" spans="1:6">
      <c r="A16" s="2672" t="s">
        <v>2594</v>
      </c>
    </row>
    <row r="17" spans="1:4">
      <c r="A17" s="2672" t="s">
        <v>2595</v>
      </c>
    </row>
    <row r="18" spans="1:4">
      <c r="A18" s="2672" t="s">
        <v>2596</v>
      </c>
    </row>
    <row r="19" spans="1:4">
      <c r="A19" s="2672" t="s">
        <v>2508</v>
      </c>
    </row>
    <row r="25" spans="1:4" ht="15" customHeight="1">
      <c r="C25" s="2674"/>
      <c r="D25" s="2675"/>
    </row>
    <row r="27" spans="1:4">
      <c r="C27" s="5783" t="s">
        <v>2586</v>
      </c>
      <c r="D27" s="5783"/>
    </row>
    <row r="28" spans="1:4">
      <c r="C28" s="2682" t="s">
        <v>2597</v>
      </c>
      <c r="D28" s="2728"/>
    </row>
    <row r="31" spans="1:4">
      <c r="C31" s="5783" t="s">
        <v>2598</v>
      </c>
      <c r="D31" s="5783"/>
    </row>
    <row r="32" spans="1:4">
      <c r="C32" s="2682" t="s">
        <v>2599</v>
      </c>
      <c r="D32" s="2729">
        <v>0.33333333333333331</v>
      </c>
    </row>
    <row r="33" spans="3:4">
      <c r="C33" s="2682" t="s">
        <v>2600</v>
      </c>
      <c r="D33" s="2729">
        <v>0.5</v>
      </c>
    </row>
    <row r="34" spans="3:4">
      <c r="C34" s="2682" t="s">
        <v>2601</v>
      </c>
      <c r="D34" s="2729">
        <v>0.54166666666666663</v>
      </c>
    </row>
    <row r="35" spans="3:4" ht="15.75" thickBot="1">
      <c r="C35" s="2682" t="s">
        <v>2602</v>
      </c>
      <c r="D35" s="2729">
        <v>0.70833333333333337</v>
      </c>
    </row>
    <row r="36" spans="3:4" ht="16.5" thickTop="1" thickBot="1">
      <c r="C36" s="2682" t="s">
        <v>2603</v>
      </c>
      <c r="D36" s="2725">
        <f>((D35-D32)-(D34-D33))*24</f>
        <v>8.0000000000000018</v>
      </c>
    </row>
    <row r="37" spans="3:4" ht="15.75" thickTop="1"/>
    <row r="45" spans="3:4">
      <c r="C45" s="5784" t="s">
        <v>2604</v>
      </c>
      <c r="D45" s="5784"/>
    </row>
    <row r="46" spans="3:4">
      <c r="C46" s="2682" t="s">
        <v>2605</v>
      </c>
      <c r="D46" s="2730">
        <v>43005</v>
      </c>
    </row>
    <row r="47" spans="3:4">
      <c r="C47" s="2682" t="s">
        <v>2606</v>
      </c>
      <c r="D47" s="2731">
        <v>0.36944444444444446</v>
      </c>
    </row>
  </sheetData>
  <mergeCells count="4">
    <mergeCell ref="C5:D5"/>
    <mergeCell ref="C27:D27"/>
    <mergeCell ref="C31:D31"/>
    <mergeCell ref="C45:D45"/>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81"/>
  <sheetViews>
    <sheetView showGridLines="0" workbookViewId="0">
      <selection activeCell="N34" sqref="N34"/>
    </sheetView>
  </sheetViews>
  <sheetFormatPr baseColWidth="10" defaultRowHeight="12.75"/>
  <cols>
    <col min="1" max="1" width="2.5" style="2045" customWidth="1"/>
    <col min="2" max="2" width="9.875" style="2045" customWidth="1"/>
    <col min="3" max="3" width="19.25" style="2045" customWidth="1"/>
    <col min="4" max="4" width="4.375" style="2045" customWidth="1"/>
    <col min="5" max="5" width="10.625" style="2045" customWidth="1"/>
    <col min="6" max="6" width="11.125" style="2045" customWidth="1"/>
    <col min="7" max="7" width="19.625" style="2045" customWidth="1"/>
    <col min="8" max="8" width="11" style="443"/>
    <col min="9" max="9" width="2.75" style="443" customWidth="1"/>
    <col min="10" max="10" width="10.375" style="443" customWidth="1"/>
    <col min="11" max="11" width="12.375" style="443" customWidth="1"/>
    <col min="12" max="12" width="10.75" style="443" customWidth="1"/>
    <col min="13" max="16384" width="11" style="443"/>
  </cols>
  <sheetData>
    <row r="1" spans="1:24" ht="18">
      <c r="A1" s="2799"/>
      <c r="B1" s="5785" t="s">
        <v>2818</v>
      </c>
      <c r="C1" s="5786"/>
      <c r="D1" s="5786"/>
      <c r="E1" s="5786"/>
      <c r="F1" s="5786"/>
      <c r="G1" s="5787"/>
      <c r="J1" s="2800" t="s">
        <v>2819</v>
      </c>
      <c r="K1" s="2800"/>
      <c r="L1" s="2800"/>
      <c r="M1" s="2800"/>
      <c r="N1" s="2800"/>
      <c r="Q1" s="5788" t="s">
        <v>2820</v>
      </c>
      <c r="R1" s="5789"/>
      <c r="S1" s="5789"/>
      <c r="T1" s="5789"/>
      <c r="U1" s="5789"/>
      <c r="V1" s="5789"/>
      <c r="W1" s="5790"/>
      <c r="X1" s="2045"/>
    </row>
    <row r="2" spans="1:24" ht="18.75" thickBot="1">
      <c r="A2" s="2852"/>
      <c r="B2" s="2853">
        <v>2022</v>
      </c>
      <c r="C2" s="2854"/>
      <c r="D2" s="2855" t="s">
        <v>2821</v>
      </c>
      <c r="E2" s="2856"/>
      <c r="F2" s="2856"/>
      <c r="G2" s="2857"/>
      <c r="Q2" s="2858"/>
      <c r="R2" s="2045"/>
      <c r="S2" s="2045"/>
      <c r="T2" s="2045"/>
      <c r="U2" s="2859"/>
      <c r="V2" s="2045"/>
      <c r="W2" s="2860"/>
      <c r="X2" s="2045"/>
    </row>
    <row r="3" spans="1:24">
      <c r="B3" s="2861" t="s">
        <v>2822</v>
      </c>
      <c r="C3" s="2862" t="s">
        <v>2823</v>
      </c>
      <c r="D3" s="2863" t="s">
        <v>2824</v>
      </c>
      <c r="E3" s="2864" t="s">
        <v>2825</v>
      </c>
      <c r="F3" s="2864" t="s">
        <v>2826</v>
      </c>
      <c r="G3" s="2865" t="s">
        <v>2823</v>
      </c>
      <c r="J3" s="2866" t="s">
        <v>2827</v>
      </c>
      <c r="K3" s="2867">
        <v>1</v>
      </c>
      <c r="L3" s="2801" t="s">
        <v>2828</v>
      </c>
      <c r="M3" s="2802" t="s">
        <v>2829</v>
      </c>
      <c r="N3" s="2100"/>
      <c r="Q3" s="2868"/>
      <c r="R3" s="2045"/>
      <c r="S3" s="2869" t="s">
        <v>2830</v>
      </c>
      <c r="T3" s="2870"/>
      <c r="U3" s="2870"/>
      <c r="V3" s="2870"/>
      <c r="W3" s="2871"/>
      <c r="X3" s="2045"/>
    </row>
    <row r="4" spans="1:24" s="2803" customFormat="1">
      <c r="A4" s="2872"/>
      <c r="B4" s="2873">
        <f>DATE(B2,1,1)</f>
        <v>44562</v>
      </c>
      <c r="C4" s="2874" t="s">
        <v>2831</v>
      </c>
      <c r="D4" s="2875"/>
      <c r="E4" s="2876"/>
      <c r="F4" s="2877" t="str">
        <f>IF(AND(ISNUMBER(D4),ISNUMBER(E4),D4&lt;&gt;0,E4&lt;&gt;0),DATE(B2,E4,D4),"")</f>
        <v/>
      </c>
      <c r="G4" s="2878"/>
      <c r="J4" s="2866" t="s">
        <v>2832</v>
      </c>
      <c r="K4" s="2879">
        <v>2022</v>
      </c>
      <c r="L4" s="443"/>
      <c r="M4" s="443"/>
      <c r="Q4" s="2880"/>
      <c r="R4" s="2045"/>
      <c r="S4" s="2045"/>
      <c r="T4" s="2045"/>
      <c r="U4" s="2859"/>
      <c r="V4" s="2045"/>
      <c r="W4" s="2860"/>
      <c r="X4" s="2045"/>
    </row>
    <row r="5" spans="1:24">
      <c r="A5" s="2872"/>
      <c r="B5" s="2873">
        <f>DATE(B2,IF((25-MOD((11*MOD(B2-1900,19)+4-INT((7*MOD(B2-1900,19)+1)/19)),29)-MOD(B2-1900+INT((B2-1900)/4)+31-MOD((11*MOD(B2-1900,19)+4-INT((7*MOD(B2-1900,19)+1)/19)),29),7))&gt;0,4,3),IF((25-MOD((11*MOD(B2-1900,19)+4-INT((7*MOD(B2-1900,19)+1)/19)),29)-MOD(B2-1900+INT((B2-1900)/4)+31-MOD((11*MOD(B2-1900,19)+4-INT((7*MOD(B2-1900,19)+1)/19)),29),7))&gt;0,(25-MOD((11*MOD(B2-1900,19)+4-INT((7*MOD(B2-1900,19)+1)/19)),29)-MOD(B2-1900+INT((B2-1900)/4)+31-MOD((11*MOD(B2-1900,19)+4-INT((7*MOD(B2-1900,19)+1)/19)),29),7)),31+(25-MOD((11*MOD(B2-1900,19)+4-INT((7*MOD(B2-1900,19)+1)/19)),29)-MOD(B2-1900+INT((B2-1900)/4)+31-MOD((11*MOD(B2-1900,19)+4-INT((7*MOD(B2-1900,19)+1)/19)),29),7))))</f>
        <v>44668</v>
      </c>
      <c r="C5" s="2874" t="s">
        <v>2833</v>
      </c>
      <c r="D5" s="2881"/>
      <c r="E5" s="2882"/>
      <c r="F5" s="2883" t="str">
        <f>IF(AND(ISNUMBER(D5),ISNUMBER(E5),D5&lt;&gt;0,E5&lt;&gt;0),DATE(B2,E5,D5),"")</f>
        <v/>
      </c>
      <c r="G5" s="2884"/>
      <c r="K5" s="2804" t="s">
        <v>2834</v>
      </c>
      <c r="L5" s="2802" t="s">
        <v>2835</v>
      </c>
      <c r="Q5" s="2858"/>
      <c r="R5" s="2045"/>
      <c r="S5" s="2045"/>
      <c r="T5" s="2045"/>
      <c r="U5" s="2859"/>
      <c r="V5" s="2045"/>
      <c r="W5" s="2860"/>
      <c r="X5" s="2045"/>
    </row>
    <row r="6" spans="1:24">
      <c r="A6" s="2872"/>
      <c r="B6" s="2873">
        <f>B5+1</f>
        <v>44669</v>
      </c>
      <c r="C6" s="2874" t="s">
        <v>2836</v>
      </c>
      <c r="D6" s="2881">
        <v>5</v>
      </c>
      <c r="E6" s="2882">
        <v>3</v>
      </c>
      <c r="F6" s="2883">
        <f>IF(AND(ISNUMBER(D6),ISNUMBER(E6),D6&lt;&gt;0,E6&lt;&gt;0),DATE(B2,E6,D6),"")</f>
        <v>44625</v>
      </c>
      <c r="G6" s="2884" t="s">
        <v>2837</v>
      </c>
      <c r="K6" s="2805"/>
      <c r="L6" s="2806"/>
      <c r="Q6" s="2885"/>
      <c r="R6" s="2045"/>
      <c r="S6" s="2045" t="s">
        <v>2838</v>
      </c>
      <c r="T6" s="2045" t="s">
        <v>2839</v>
      </c>
      <c r="U6" s="2859"/>
      <c r="V6" s="2045"/>
      <c r="W6" s="2860"/>
      <c r="X6" s="2045"/>
    </row>
    <row r="7" spans="1:24" ht="18">
      <c r="A7" s="2872"/>
      <c r="B7" s="2873">
        <f>DATE(B2,5,1)</f>
        <v>44682</v>
      </c>
      <c r="C7" s="2874" t="s">
        <v>2840</v>
      </c>
      <c r="D7" s="2881"/>
      <c r="E7" s="2882"/>
      <c r="F7" s="2883" t="str">
        <f>IF(AND(ISNUMBER(D7),ISNUMBER(E7),D7&lt;&gt;0,E7&lt;&gt;0),DATE(B2,E7,D7),"")</f>
        <v/>
      </c>
      <c r="G7" s="2884"/>
      <c r="J7" s="2886" t="s">
        <v>2841</v>
      </c>
      <c r="K7" s="2887" t="s">
        <v>2842</v>
      </c>
      <c r="L7" s="2888"/>
      <c r="M7" s="2888"/>
      <c r="N7" s="2889"/>
      <c r="Q7" s="2885"/>
      <c r="R7" s="2045"/>
      <c r="S7" s="2045"/>
      <c r="T7" s="2045"/>
      <c r="U7" s="2859"/>
      <c r="V7" s="2045"/>
      <c r="W7" s="2860"/>
      <c r="X7" s="2045"/>
    </row>
    <row r="8" spans="1:24" ht="13.5" thickBot="1">
      <c r="A8" s="2872"/>
      <c r="B8" s="2873">
        <f>DATE(B2,5,8)</f>
        <v>44689</v>
      </c>
      <c r="C8" s="2874" t="s">
        <v>2843</v>
      </c>
      <c r="D8" s="2881"/>
      <c r="E8" s="2882"/>
      <c r="F8" s="2883" t="str">
        <f>IF(AND(ISNUMBER(D8),ISNUMBER(E8),D8&lt;&gt;0,E8&lt;&gt;0),DATE(B2,E8,D8),"")</f>
        <v/>
      </c>
      <c r="G8" s="2884"/>
      <c r="J8" s="2890">
        <f>IF(WEEKDAY(DATE(K4,K3,1))=7,DATE(K4,K3,3),IF(WEEKDAY(DATE(K4,K3,1))=1,DATE(K4,K3,2),DATE(K4,K3,1)))</f>
        <v>44564</v>
      </c>
      <c r="K8" s="2807"/>
      <c r="L8" s="2808"/>
      <c r="M8" s="2808"/>
      <c r="N8" s="2809"/>
      <c r="Q8" s="2885"/>
      <c r="R8" s="2045"/>
      <c r="S8" s="2045"/>
      <c r="T8" s="2045"/>
      <c r="U8" s="2859"/>
      <c r="V8" s="2045"/>
      <c r="W8" s="2860"/>
      <c r="X8" s="2045"/>
    </row>
    <row r="9" spans="1:24">
      <c r="A9" s="2872"/>
      <c r="B9" s="2873">
        <f>B5+39</f>
        <v>44707</v>
      </c>
      <c r="C9" s="2874" t="s">
        <v>2844</v>
      </c>
      <c r="D9" s="2881"/>
      <c r="E9" s="2882"/>
      <c r="F9" s="2883" t="str">
        <f>IF(AND(ISNUMBER(D9),ISNUMBER(E9),D9&lt;&gt;0,E9&lt;&gt;0),DATE(B2,E9,D9),"")</f>
        <v/>
      </c>
      <c r="G9" s="2884"/>
      <c r="J9" s="2810">
        <f t="shared" ref="J9:J31" si="0">IF(ISTEXT(J8),"",IF(WEEKDAY(J8)=6,IF(MONTH(J8+3)=MONTH(J8),J8+3,""),IF(MONTH(J8+1)=MONTH(J8),J8+1,"")))</f>
        <v>44565</v>
      </c>
      <c r="K9" s="2811"/>
      <c r="L9" s="2812"/>
      <c r="M9" s="2812"/>
      <c r="N9" s="2813"/>
      <c r="Q9" s="2885"/>
      <c r="R9" s="2045"/>
      <c r="S9" s="2891" t="s">
        <v>2845</v>
      </c>
      <c r="T9" s="2892"/>
      <c r="U9" s="2859"/>
      <c r="V9" s="2045"/>
      <c r="W9" s="2860"/>
      <c r="X9" s="2045"/>
    </row>
    <row r="10" spans="1:24" ht="13.5" thickBot="1">
      <c r="A10" s="2872"/>
      <c r="B10" s="2873">
        <f>B5+49</f>
        <v>44717</v>
      </c>
      <c r="C10" s="2874" t="s">
        <v>2846</v>
      </c>
      <c r="D10" s="2881"/>
      <c r="E10" s="2882"/>
      <c r="F10" s="2883" t="str">
        <f>IF(AND(ISNUMBER(D10),ISNUMBER(E10),D10&lt;&gt;0,E10&lt;&gt;0),DATE(B2,E10,D10),"")</f>
        <v/>
      </c>
      <c r="G10" s="2884"/>
      <c r="J10" s="2810">
        <f t="shared" si="0"/>
        <v>44566</v>
      </c>
      <c r="K10" s="2811" t="s">
        <v>2847</v>
      </c>
      <c r="L10" s="2812"/>
      <c r="M10" s="2812"/>
      <c r="N10" s="2813"/>
      <c r="Q10" s="2885"/>
      <c r="R10" s="2045"/>
      <c r="S10" s="2893"/>
      <c r="T10" s="2894">
        <v>44564</v>
      </c>
      <c r="U10" s="2859"/>
      <c r="V10" s="2045"/>
      <c r="W10" s="2860"/>
      <c r="X10" s="2045"/>
    </row>
    <row r="11" spans="1:24" ht="13.5" thickTop="1">
      <c r="A11" s="2872"/>
      <c r="B11" s="2873">
        <f>B5+50</f>
        <v>44718</v>
      </c>
      <c r="C11" s="2874" t="s">
        <v>2848</v>
      </c>
      <c r="D11" s="2881"/>
      <c r="E11" s="2882"/>
      <c r="F11" s="2883" t="str">
        <f>IF(AND(ISNUMBER(D11),ISNUMBER(E11),D11&lt;&gt;0,E11&lt;&gt;0),DATE(B2,E11,D11),"")</f>
        <v/>
      </c>
      <c r="G11" s="2884"/>
      <c r="J11" s="2810">
        <f t="shared" si="0"/>
        <v>44567</v>
      </c>
      <c r="K11" s="2811"/>
      <c r="L11" s="2812"/>
      <c r="M11" s="2812"/>
      <c r="N11" s="2813"/>
      <c r="Q11" s="2885"/>
      <c r="R11" s="2045"/>
      <c r="S11" s="2045"/>
      <c r="T11" s="2895"/>
      <c r="U11" s="2896" t="s">
        <v>2849</v>
      </c>
      <c r="V11" s="2897" t="str">
        <f>VLOOKUP(WEEKDAY(T10,1),S15:T21,2,)</f>
        <v>Lundi</v>
      </c>
      <c r="W11" s="2860"/>
      <c r="X11" s="2045"/>
    </row>
    <row r="12" spans="1:24" ht="13.5" thickBot="1">
      <c r="A12" s="2872"/>
      <c r="B12" s="2873">
        <f>DATE(B2,7,14)</f>
        <v>44756</v>
      </c>
      <c r="C12" s="2874" t="s">
        <v>2850</v>
      </c>
      <c r="D12" s="2881"/>
      <c r="E12" s="2882"/>
      <c r="F12" s="2883" t="str">
        <f>IF(AND(ISNUMBER(D12),ISNUMBER(E12),D12&lt;&gt;0,E12&lt;&gt;0),DATE(B2,E12,D12),"")</f>
        <v/>
      </c>
      <c r="G12" s="2884"/>
      <c r="J12" s="2810">
        <f t="shared" si="0"/>
        <v>44568</v>
      </c>
      <c r="K12" s="2811"/>
      <c r="L12" s="2812"/>
      <c r="M12" s="2812"/>
      <c r="N12" s="2813"/>
      <c r="Q12" s="2898"/>
      <c r="R12" s="2899"/>
      <c r="S12" s="2899"/>
      <c r="T12" s="2899"/>
      <c r="U12" s="2900"/>
      <c r="V12" s="2899"/>
      <c r="W12" s="2901"/>
      <c r="X12" s="2045"/>
    </row>
    <row r="13" spans="1:24" ht="13.5" thickBot="1">
      <c r="A13" s="2872"/>
      <c r="B13" s="2873">
        <f>DATE(B2,8,15)</f>
        <v>44788</v>
      </c>
      <c r="C13" s="2874" t="s">
        <v>2851</v>
      </c>
      <c r="D13" s="2881"/>
      <c r="E13" s="2882"/>
      <c r="F13" s="2883" t="str">
        <f>IF(AND(ISNUMBER(D13),ISNUMBER(E13),D13&lt;&gt;0,E13&lt;&gt;0),DATE(B2,E13,D13),"")</f>
        <v/>
      </c>
      <c r="G13" s="2884"/>
      <c r="J13" s="2810">
        <f t="shared" si="0"/>
        <v>44571</v>
      </c>
      <c r="K13" s="2811"/>
      <c r="L13" s="2812"/>
      <c r="M13" s="2812"/>
      <c r="N13" s="2813"/>
      <c r="Q13" s="2902"/>
      <c r="R13" s="2045"/>
      <c r="S13" s="2045"/>
      <c r="T13" s="2045"/>
      <c r="U13" s="2859"/>
      <c r="V13" s="2045"/>
      <c r="W13" s="2860"/>
      <c r="X13" s="2045"/>
    </row>
    <row r="14" spans="1:24">
      <c r="A14" s="2872"/>
      <c r="B14" s="2873">
        <f>DATE(B2,11,1)</f>
        <v>44866</v>
      </c>
      <c r="C14" s="2874" t="s">
        <v>2852</v>
      </c>
      <c r="D14" s="2881"/>
      <c r="E14" s="2882"/>
      <c r="F14" s="2883" t="str">
        <f>IF(AND(ISNUMBER(D14),ISNUMBER(E14),D14&lt;&gt;0,E14&lt;&gt;0),DATE(B2,E14,D14),"")</f>
        <v/>
      </c>
      <c r="G14" s="2884"/>
      <c r="J14" s="2810">
        <f t="shared" si="0"/>
        <v>44572</v>
      </c>
      <c r="K14" s="2811"/>
      <c r="L14" s="2812"/>
      <c r="M14" s="2812"/>
      <c r="N14" s="2813"/>
      <c r="Q14" s="2902"/>
      <c r="R14" s="2045"/>
      <c r="S14" s="2903" t="s">
        <v>2853</v>
      </c>
      <c r="T14" s="2904"/>
      <c r="U14" s="2859"/>
      <c r="V14" s="2045"/>
      <c r="W14" s="2860"/>
      <c r="X14" s="2045"/>
    </row>
    <row r="15" spans="1:24">
      <c r="A15" s="2872"/>
      <c r="B15" s="2873">
        <f>DATE(B2,11,11)</f>
        <v>44876</v>
      </c>
      <c r="C15" s="2874" t="s">
        <v>2854</v>
      </c>
      <c r="D15" s="2881"/>
      <c r="E15" s="2882"/>
      <c r="F15" s="2883" t="str">
        <f>IF(AND(ISNUMBER(D15),ISNUMBER(E15),D15&lt;&gt;0,E15&lt;&gt;0),DATE(B2,E15,D15),"")</f>
        <v/>
      </c>
      <c r="G15" s="2884"/>
      <c r="J15" s="2810">
        <f t="shared" si="0"/>
        <v>44573</v>
      </c>
      <c r="K15" s="2811"/>
      <c r="L15" s="2812"/>
      <c r="M15" s="2812"/>
      <c r="N15" s="2813"/>
      <c r="Q15" s="2902"/>
      <c r="R15" s="2045"/>
      <c r="S15" s="2905">
        <v>1</v>
      </c>
      <c r="T15" s="2906" t="s">
        <v>2855</v>
      </c>
      <c r="U15" s="2859"/>
      <c r="V15" s="2045"/>
      <c r="W15" s="2860"/>
      <c r="X15" s="2045"/>
    </row>
    <row r="16" spans="1:24" ht="13.5" thickBot="1">
      <c r="A16" s="2907"/>
      <c r="B16" s="2908">
        <f>DATE(B2,12,25)</f>
        <v>44920</v>
      </c>
      <c r="C16" s="2909" t="s">
        <v>2856</v>
      </c>
      <c r="D16" s="2910"/>
      <c r="E16" s="2911"/>
      <c r="F16" s="2912" t="str">
        <f>IF(AND(ISNUMBER(D16),ISNUMBER(E16),D16&lt;&gt;0,E16&lt;&gt;0),DATE(B2,E16,D16),"")</f>
        <v/>
      </c>
      <c r="G16" s="2913"/>
      <c r="J16" s="2810">
        <f t="shared" si="0"/>
        <v>44574</v>
      </c>
      <c r="K16" s="2811"/>
      <c r="L16" s="2812"/>
      <c r="M16" s="2812"/>
      <c r="N16" s="2813"/>
      <c r="Q16" s="2902"/>
      <c r="R16" s="2045"/>
      <c r="S16" s="2914">
        <v>2</v>
      </c>
      <c r="T16" s="2915" t="s">
        <v>2857</v>
      </c>
      <c r="U16" s="2859"/>
      <c r="V16" s="2045"/>
      <c r="W16" s="2860"/>
      <c r="X16" s="2045"/>
    </row>
    <row r="17" spans="1:24">
      <c r="A17" s="2916"/>
      <c r="B17" s="2917" t="str">
        <f>IF(F4="","",F4)</f>
        <v/>
      </c>
      <c r="C17" s="2918" t="str">
        <f>IF(G4="","",G4)</f>
        <v/>
      </c>
      <c r="D17" s="2919"/>
      <c r="E17" s="2134"/>
      <c r="F17" s="2134"/>
      <c r="G17" s="2920"/>
      <c r="J17" s="2810">
        <f t="shared" si="0"/>
        <v>44575</v>
      </c>
      <c r="K17" s="2811"/>
      <c r="L17" s="2812"/>
      <c r="M17" s="2812"/>
      <c r="N17" s="2813"/>
      <c r="Q17" s="2902"/>
      <c r="R17" s="2045"/>
      <c r="S17" s="2914">
        <v>3</v>
      </c>
      <c r="T17" s="2915" t="s">
        <v>2858</v>
      </c>
      <c r="U17" s="2859"/>
      <c r="V17" s="2045"/>
      <c r="W17" s="2860"/>
      <c r="X17" s="2045"/>
    </row>
    <row r="18" spans="1:24">
      <c r="A18" s="2916"/>
      <c r="B18" s="2921" t="str">
        <f t="shared" ref="B18:C29" si="1">IF(F5="","",F5)</f>
        <v/>
      </c>
      <c r="C18" s="2922" t="str">
        <f t="shared" si="1"/>
        <v/>
      </c>
      <c r="D18" s="2919" t="s">
        <v>2859</v>
      </c>
      <c r="E18" s="2134"/>
      <c r="F18" s="2134"/>
      <c r="G18" s="2920"/>
      <c r="J18" s="2810">
        <f t="shared" si="0"/>
        <v>44578</v>
      </c>
      <c r="K18" s="2811"/>
      <c r="L18" s="2812"/>
      <c r="M18" s="2812"/>
      <c r="N18" s="2813"/>
      <c r="Q18" s="2902"/>
      <c r="R18" s="2045"/>
      <c r="S18" s="2914">
        <v>4</v>
      </c>
      <c r="T18" s="2915" t="s">
        <v>2860</v>
      </c>
      <c r="U18" s="2859"/>
      <c r="V18" s="2045"/>
      <c r="W18" s="2860"/>
      <c r="X18" s="2045"/>
    </row>
    <row r="19" spans="1:24">
      <c r="A19" s="2916"/>
      <c r="B19" s="2921">
        <f t="shared" si="1"/>
        <v>44625</v>
      </c>
      <c r="C19" s="2922" t="str">
        <f t="shared" si="1"/>
        <v>récup</v>
      </c>
      <c r="D19" s="2919"/>
      <c r="E19" s="2134"/>
      <c r="F19" s="2134"/>
      <c r="G19" s="2920"/>
      <c r="J19" s="2810">
        <f t="shared" si="0"/>
        <v>44579</v>
      </c>
      <c r="K19" s="2811"/>
      <c r="L19" s="2812"/>
      <c r="M19" s="2812"/>
      <c r="N19" s="2813"/>
      <c r="Q19" s="2902"/>
      <c r="R19" s="2045"/>
      <c r="S19" s="2914">
        <v>5</v>
      </c>
      <c r="T19" s="2915" t="s">
        <v>2861</v>
      </c>
      <c r="U19" s="2859"/>
      <c r="V19" s="2045"/>
      <c r="W19" s="2860"/>
      <c r="X19" s="2045"/>
    </row>
    <row r="20" spans="1:24">
      <c r="A20" s="2916"/>
      <c r="B20" s="2921" t="str">
        <f t="shared" si="1"/>
        <v/>
      </c>
      <c r="C20" s="2922" t="str">
        <f t="shared" si="1"/>
        <v/>
      </c>
      <c r="D20" s="2919" t="s">
        <v>2862</v>
      </c>
      <c r="E20" s="2134"/>
      <c r="F20" s="2134"/>
      <c r="G20" s="2920"/>
      <c r="J20" s="2810">
        <f t="shared" si="0"/>
        <v>44580</v>
      </c>
      <c r="K20" s="2811"/>
      <c r="L20" s="2812"/>
      <c r="M20" s="2812"/>
      <c r="N20" s="2813"/>
      <c r="Q20" s="2902"/>
      <c r="R20" s="2045"/>
      <c r="S20" s="2914">
        <v>6</v>
      </c>
      <c r="T20" s="2915" t="s">
        <v>2863</v>
      </c>
      <c r="U20" s="2859"/>
      <c r="V20" s="2045"/>
      <c r="W20" s="2860"/>
      <c r="X20" s="2045"/>
    </row>
    <row r="21" spans="1:24" ht="13.5" thickBot="1">
      <c r="A21" s="2916"/>
      <c r="B21" s="2921" t="str">
        <f t="shared" si="1"/>
        <v/>
      </c>
      <c r="C21" s="2922" t="str">
        <f t="shared" si="1"/>
        <v/>
      </c>
      <c r="D21" s="2919"/>
      <c r="E21" s="2134"/>
      <c r="F21" s="2134"/>
      <c r="G21" s="2920"/>
      <c r="J21" s="2810">
        <f t="shared" si="0"/>
        <v>44581</v>
      </c>
      <c r="K21" s="2811"/>
      <c r="L21" s="2812"/>
      <c r="M21" s="2812"/>
      <c r="N21" s="2813"/>
      <c r="Q21" s="2923"/>
      <c r="R21" s="2899"/>
      <c r="S21" s="2924">
        <v>7</v>
      </c>
      <c r="T21" s="2925" t="s">
        <v>2864</v>
      </c>
      <c r="U21" s="2900"/>
      <c r="V21" s="2899"/>
      <c r="W21" s="2901"/>
      <c r="X21" s="2045"/>
    </row>
    <row r="22" spans="1:24">
      <c r="A22" s="2916"/>
      <c r="B22" s="2921" t="str">
        <f t="shared" si="1"/>
        <v/>
      </c>
      <c r="C22" s="2922" t="str">
        <f t="shared" si="1"/>
        <v/>
      </c>
      <c r="D22" s="2919"/>
      <c r="E22" s="2134"/>
      <c r="F22" s="2134"/>
      <c r="G22" s="2920"/>
      <c r="J22" s="2810">
        <f t="shared" si="0"/>
        <v>44582</v>
      </c>
      <c r="K22" s="2811"/>
      <c r="L22" s="2812"/>
      <c r="M22" s="2812"/>
      <c r="N22" s="2813"/>
    </row>
    <row r="23" spans="1:24">
      <c r="A23" s="2916"/>
      <c r="B23" s="2921" t="str">
        <f t="shared" si="1"/>
        <v/>
      </c>
      <c r="C23" s="2922" t="str">
        <f t="shared" si="1"/>
        <v/>
      </c>
      <c r="D23" s="2919"/>
      <c r="E23" s="2134"/>
      <c r="F23" s="2134"/>
      <c r="G23" s="2920"/>
      <c r="J23" s="2810">
        <f t="shared" si="0"/>
        <v>44585</v>
      </c>
      <c r="K23" s="2811"/>
      <c r="L23" s="2812"/>
      <c r="M23" s="2812"/>
      <c r="N23" s="2813"/>
    </row>
    <row r="24" spans="1:24" ht="15">
      <c r="A24" s="2916"/>
      <c r="B24" s="2921" t="str">
        <f t="shared" si="1"/>
        <v/>
      </c>
      <c r="C24" s="2922" t="str">
        <f t="shared" si="1"/>
        <v/>
      </c>
      <c r="D24" s="2919"/>
      <c r="E24" s="2134"/>
      <c r="F24" s="2134"/>
      <c r="G24" s="2920"/>
      <c r="J24" s="2810">
        <f t="shared" si="0"/>
        <v>44586</v>
      </c>
      <c r="K24" s="2811"/>
      <c r="L24" s="2812"/>
      <c r="M24" s="2812"/>
      <c r="N24" s="2813"/>
      <c r="Q24" s="2814" t="s">
        <v>2865</v>
      </c>
    </row>
    <row r="25" spans="1:24">
      <c r="A25" s="2916"/>
      <c r="B25" s="2921" t="str">
        <f t="shared" si="1"/>
        <v/>
      </c>
      <c r="C25" s="2922" t="str">
        <f t="shared" si="1"/>
        <v/>
      </c>
      <c r="D25" s="2919"/>
      <c r="E25" s="2134"/>
      <c r="F25" s="2134"/>
      <c r="G25" s="2920"/>
      <c r="J25" s="2810">
        <f t="shared" si="0"/>
        <v>44587</v>
      </c>
      <c r="K25" s="2811"/>
      <c r="L25" s="2812"/>
      <c r="M25" s="2812"/>
      <c r="N25" s="2813"/>
    </row>
    <row r="26" spans="1:24">
      <c r="A26" s="2916"/>
      <c r="B26" s="2921" t="str">
        <f t="shared" si="1"/>
        <v/>
      </c>
      <c r="C26" s="2922" t="str">
        <f t="shared" si="1"/>
        <v/>
      </c>
      <c r="D26" s="2919"/>
      <c r="E26" s="2134"/>
      <c r="F26" s="2134"/>
      <c r="G26" s="2920"/>
      <c r="J26" s="2810">
        <f t="shared" si="0"/>
        <v>44588</v>
      </c>
      <c r="K26" s="2811"/>
      <c r="L26" s="2812"/>
      <c r="M26" s="2812"/>
      <c r="N26" s="2813"/>
      <c r="Q26" s="2926" t="s">
        <v>723</v>
      </c>
      <c r="R26" s="2815" t="s">
        <v>2866</v>
      </c>
    </row>
    <row r="27" spans="1:24">
      <c r="A27" s="2916"/>
      <c r="B27" s="2921" t="str">
        <f t="shared" si="1"/>
        <v/>
      </c>
      <c r="C27" s="2922" t="str">
        <f t="shared" si="1"/>
        <v/>
      </c>
      <c r="D27" s="2919"/>
      <c r="E27" s="2134"/>
      <c r="F27" s="2134"/>
      <c r="G27" s="2920"/>
      <c r="J27" s="2810">
        <f t="shared" si="0"/>
        <v>44589</v>
      </c>
      <c r="K27" s="2811"/>
      <c r="L27" s="2812"/>
      <c r="M27" s="2812"/>
      <c r="N27" s="2813"/>
    </row>
    <row r="28" spans="1:24">
      <c r="A28" s="2916"/>
      <c r="B28" s="2921" t="str">
        <f t="shared" si="1"/>
        <v/>
      </c>
      <c r="C28" s="2922" t="str">
        <f t="shared" si="1"/>
        <v/>
      </c>
      <c r="D28" s="2919"/>
      <c r="E28" s="2134"/>
      <c r="F28" s="2134"/>
      <c r="G28" s="2920"/>
      <c r="J28" s="2810">
        <f t="shared" si="0"/>
        <v>44592</v>
      </c>
      <c r="K28" s="2811"/>
      <c r="L28" s="2812"/>
      <c r="M28" s="2812"/>
      <c r="N28" s="2813"/>
    </row>
    <row r="29" spans="1:24" ht="13.5" thickBot="1">
      <c r="A29" s="2927"/>
      <c r="B29" s="2928" t="str">
        <f t="shared" si="1"/>
        <v/>
      </c>
      <c r="C29" s="2929" t="str">
        <f t="shared" si="1"/>
        <v/>
      </c>
      <c r="D29" s="2930"/>
      <c r="E29" s="2931"/>
      <c r="F29" s="2931"/>
      <c r="G29" s="2932"/>
      <c r="J29" s="2810" t="str">
        <f t="shared" si="0"/>
        <v/>
      </c>
      <c r="K29" s="2811"/>
      <c r="L29" s="2812"/>
      <c r="M29" s="2812"/>
      <c r="N29" s="2813"/>
    </row>
    <row r="30" spans="1:24">
      <c r="J30" s="2810" t="str">
        <f t="shared" si="0"/>
        <v/>
      </c>
      <c r="K30" s="2811"/>
      <c r="L30" s="2812"/>
      <c r="M30" s="2812"/>
      <c r="N30" s="2813"/>
    </row>
    <row r="31" spans="1:24">
      <c r="J31" s="2816" t="str">
        <f t="shared" si="0"/>
        <v/>
      </c>
      <c r="K31" s="2817"/>
      <c r="L31" s="2818"/>
      <c r="M31" s="2818"/>
      <c r="N31" s="2819"/>
    </row>
    <row r="32" spans="1:24" ht="18">
      <c r="E32" s="2820" t="s">
        <v>2931</v>
      </c>
      <c r="J32" s="2821">
        <f>COUNT(J8:J31)</f>
        <v>21</v>
      </c>
      <c r="K32" s="2822" t="s">
        <v>2867</v>
      </c>
      <c r="L32" s="2823"/>
      <c r="M32" s="2823"/>
      <c r="N32" s="2824"/>
    </row>
    <row r="33" spans="2:14">
      <c r="C33" s="2045" t="s">
        <v>2868</v>
      </c>
    </row>
    <row r="34" spans="2:14">
      <c r="C34" s="2045" t="s">
        <v>2869</v>
      </c>
      <c r="D34" s="2825"/>
      <c r="I34" s="2804"/>
      <c r="J34" s="2826"/>
    </row>
    <row r="35" spans="2:14">
      <c r="C35" s="2045" t="s">
        <v>2870</v>
      </c>
    </row>
    <row r="36" spans="2:14">
      <c r="C36" s="2045" t="s">
        <v>2871</v>
      </c>
      <c r="G36" s="2933"/>
      <c r="I36" s="2804"/>
      <c r="J36" s="2803" t="s">
        <v>2872</v>
      </c>
      <c r="K36" s="2805"/>
    </row>
    <row r="37" spans="2:14">
      <c r="C37" s="2934">
        <v>5.416666666666667</v>
      </c>
      <c r="D37" s="2825"/>
      <c r="E37" s="2825"/>
      <c r="K37" s="2827" t="s">
        <v>2873</v>
      </c>
    </row>
    <row r="38" spans="2:14" ht="15.75">
      <c r="B38" s="2935"/>
      <c r="C38" s="2936"/>
      <c r="D38" s="2937" t="s">
        <v>2874</v>
      </c>
      <c r="E38" s="2938">
        <v>215</v>
      </c>
      <c r="F38" s="2939" t="s">
        <v>2875</v>
      </c>
      <c r="G38" s="2906"/>
      <c r="L38" s="642"/>
      <c r="M38" s="642"/>
      <c r="N38" s="642"/>
    </row>
    <row r="39" spans="2:14" ht="15.75">
      <c r="B39" s="2940"/>
      <c r="D39" s="2941" t="s">
        <v>2876</v>
      </c>
      <c r="E39" s="2828">
        <v>1.6666666666666667</v>
      </c>
      <c r="F39" s="2942" t="s">
        <v>2877</v>
      </c>
      <c r="G39" s="2915"/>
      <c r="L39" s="642"/>
      <c r="M39" s="642"/>
      <c r="N39" s="642"/>
    </row>
    <row r="40" spans="2:14" ht="15.75">
      <c r="B40" s="2940"/>
      <c r="C40" s="2943"/>
      <c r="D40" s="2944" t="s">
        <v>2878</v>
      </c>
      <c r="E40" s="2829">
        <v>5</v>
      </c>
      <c r="F40" s="2945" t="s">
        <v>2877</v>
      </c>
      <c r="G40" s="2915"/>
      <c r="L40" s="642"/>
      <c r="M40" s="642"/>
      <c r="N40" s="642"/>
    </row>
    <row r="41" spans="2:14" ht="15.75">
      <c r="B41" s="2946"/>
      <c r="C41" s="2947"/>
      <c r="D41" s="2830" t="s">
        <v>2879</v>
      </c>
      <c r="E41" s="2831">
        <f>E39/E40</f>
        <v>0.33333333333333337</v>
      </c>
      <c r="F41" s="2948"/>
      <c r="G41" s="2949"/>
      <c r="J41" s="2803" t="s">
        <v>2880</v>
      </c>
    </row>
    <row r="42" spans="2:14" ht="15.75">
      <c r="C42" s="2950"/>
      <c r="D42" s="2832"/>
      <c r="E42" s="2833"/>
      <c r="F42" s="2951"/>
      <c r="G42" s="2950"/>
      <c r="J42" s="2803"/>
    </row>
    <row r="43" spans="2:14" ht="15.75">
      <c r="B43" s="2935"/>
      <c r="C43" s="2936"/>
      <c r="D43" s="2952" t="s">
        <v>2881</v>
      </c>
      <c r="E43" s="2953">
        <f>E41*E38</f>
        <v>71.666666666666671</v>
      </c>
      <c r="F43" s="2936"/>
      <c r="G43" s="2906"/>
      <c r="H43" s="443" t="s">
        <v>2882</v>
      </c>
      <c r="J43" s="443" t="s">
        <v>2883</v>
      </c>
    </row>
    <row r="44" spans="2:14" ht="15.75">
      <c r="B44" s="2940"/>
      <c r="D44" s="2834" t="s">
        <v>2933</v>
      </c>
      <c r="E44" s="2835">
        <v>0</v>
      </c>
      <c r="G44" s="2915"/>
      <c r="J44" s="443" t="s">
        <v>2884</v>
      </c>
    </row>
    <row r="45" spans="2:14" ht="15.75">
      <c r="B45" s="2940"/>
      <c r="D45" s="2834" t="s">
        <v>2932</v>
      </c>
      <c r="E45" s="2828">
        <v>0</v>
      </c>
      <c r="F45" s="2954" t="s">
        <v>2885</v>
      </c>
      <c r="G45" s="2915"/>
      <c r="J45" s="443" t="s">
        <v>2886</v>
      </c>
    </row>
    <row r="46" spans="2:14" ht="15.75">
      <c r="B46" s="2946"/>
      <c r="C46" s="2955"/>
      <c r="D46" s="2837" t="s">
        <v>2887</v>
      </c>
      <c r="E46" s="2838">
        <f>IF(E45&gt;E44,E43-E45,E43+E44)</f>
        <v>71.666666666666671</v>
      </c>
      <c r="F46" s="2956" t="s">
        <v>2888</v>
      </c>
      <c r="G46" s="2957"/>
      <c r="J46" s="2926" t="s">
        <v>723</v>
      </c>
      <c r="K46" s="2799" t="s">
        <v>2889</v>
      </c>
    </row>
    <row r="47" spans="2:14" ht="15.75">
      <c r="D47" s="2836"/>
      <c r="E47" s="2839"/>
      <c r="F47" s="2954"/>
      <c r="J47" s="2799"/>
      <c r="K47" s="2799"/>
    </row>
    <row r="48" spans="2:14" ht="15.75">
      <c r="D48" s="2840" t="s">
        <v>2890</v>
      </c>
      <c r="E48" s="2841"/>
      <c r="F48" s="2840" t="s">
        <v>2891</v>
      </c>
      <c r="G48" s="2958" t="s">
        <v>2892</v>
      </c>
    </row>
    <row r="49" spans="2:11" ht="15.75">
      <c r="B49" s="2045" t="s">
        <v>2893</v>
      </c>
      <c r="D49" s="2842" t="s">
        <v>2894</v>
      </c>
      <c r="E49" s="2959">
        <v>5.3576388888888893</v>
      </c>
      <c r="F49" s="2829">
        <v>12</v>
      </c>
      <c r="G49" s="2960">
        <f t="shared" ref="G49:G55" si="2">IF(ISBLANK(F49),"",E49/F49)</f>
        <v>0.44646990740740744</v>
      </c>
      <c r="J49" s="2803" t="s">
        <v>2895</v>
      </c>
    </row>
    <row r="50" spans="2:11" ht="15.75">
      <c r="B50" s="2045" t="s">
        <v>2896</v>
      </c>
      <c r="D50" s="2842" t="s">
        <v>2897</v>
      </c>
      <c r="E50" s="2959">
        <v>4.666666666666667</v>
      </c>
      <c r="F50" s="2829">
        <v>12</v>
      </c>
      <c r="G50" s="2960">
        <f t="shared" si="2"/>
        <v>0.3888888888888889</v>
      </c>
      <c r="J50" s="443" t="s">
        <v>2898</v>
      </c>
    </row>
    <row r="51" spans="2:11" ht="15.75">
      <c r="B51" s="2045" t="s">
        <v>2896</v>
      </c>
      <c r="D51" s="2842" t="s">
        <v>2899</v>
      </c>
      <c r="E51" s="2959">
        <v>5.4416666666666664</v>
      </c>
      <c r="F51" s="2829">
        <v>12</v>
      </c>
      <c r="G51" s="2960">
        <f t="shared" si="2"/>
        <v>0.45347222222222222</v>
      </c>
      <c r="J51" s="443" t="s">
        <v>2900</v>
      </c>
      <c r="K51" s="2805"/>
    </row>
    <row r="52" spans="2:11" ht="15.75">
      <c r="D52" s="2842" t="s">
        <v>2901</v>
      </c>
      <c r="E52" s="2959">
        <v>3.7701388888888889</v>
      </c>
      <c r="F52" s="2829">
        <v>12</v>
      </c>
      <c r="G52" s="2960">
        <f t="shared" si="2"/>
        <v>0.31417824074074074</v>
      </c>
      <c r="J52" s="2926" t="s">
        <v>723</v>
      </c>
      <c r="K52" s="2827" t="s">
        <v>2902</v>
      </c>
    </row>
    <row r="53" spans="2:11" ht="15.75">
      <c r="D53" s="2842" t="s">
        <v>2903</v>
      </c>
      <c r="E53" s="2959">
        <v>4.6909722222222223</v>
      </c>
      <c r="F53" s="2829">
        <v>12</v>
      </c>
      <c r="G53" s="2960">
        <f t="shared" si="2"/>
        <v>0.39091435185185186</v>
      </c>
    </row>
    <row r="54" spans="2:11" ht="15.75">
      <c r="D54" s="2842" t="s">
        <v>2904</v>
      </c>
      <c r="E54" s="2959">
        <v>4.9020833333333336</v>
      </c>
      <c r="F54" s="2829">
        <v>12</v>
      </c>
      <c r="G54" s="2960">
        <f t="shared" si="2"/>
        <v>0.40850694444444446</v>
      </c>
      <c r="J54" s="2803" t="s">
        <v>2905</v>
      </c>
      <c r="K54" s="2805"/>
    </row>
    <row r="55" spans="2:11" ht="15.75">
      <c r="D55" s="2842" t="s">
        <v>2906</v>
      </c>
      <c r="E55" s="2959">
        <v>3.1729166666666671</v>
      </c>
      <c r="F55" s="2829">
        <v>12</v>
      </c>
      <c r="G55" s="2960">
        <f t="shared" si="2"/>
        <v>0.26440972222222225</v>
      </c>
      <c r="J55" s="443" t="s">
        <v>2907</v>
      </c>
    </row>
    <row r="56" spans="2:11" ht="15.75">
      <c r="D56" s="2842" t="s">
        <v>2908</v>
      </c>
      <c r="E56" s="2959">
        <v>0</v>
      </c>
      <c r="F56" s="2829"/>
      <c r="G56" s="2960" t="str">
        <f>IF(ISBLANK(F56),"",E56/F56)</f>
        <v/>
      </c>
      <c r="J56" s="443" t="s">
        <v>2909</v>
      </c>
    </row>
    <row r="57" spans="2:11" ht="15.75">
      <c r="D57" s="2842" t="s">
        <v>2910</v>
      </c>
      <c r="E57" s="2959">
        <v>5.115277777777778</v>
      </c>
      <c r="F57" s="2829">
        <v>12</v>
      </c>
      <c r="G57" s="2960">
        <f t="shared" ref="G57:G62" si="3">IF(ISBLANK(F57),"",E57/F57)</f>
        <v>0.42627314814814815</v>
      </c>
      <c r="J57" s="2926" t="s">
        <v>723</v>
      </c>
      <c r="K57" s="2827" t="s">
        <v>2911</v>
      </c>
    </row>
    <row r="58" spans="2:11" ht="15.75">
      <c r="D58" s="2842" t="s">
        <v>2912</v>
      </c>
      <c r="E58" s="2959">
        <v>4.5</v>
      </c>
      <c r="F58" s="2829">
        <v>12</v>
      </c>
      <c r="G58" s="2960">
        <f t="shared" si="3"/>
        <v>0.375</v>
      </c>
      <c r="K58" s="2805"/>
    </row>
    <row r="59" spans="2:11" ht="15.75">
      <c r="D59" s="2842" t="s">
        <v>2913</v>
      </c>
      <c r="E59" s="2959">
        <v>4.4770833333333337</v>
      </c>
      <c r="F59" s="2829">
        <v>12</v>
      </c>
      <c r="G59" s="2960">
        <f t="shared" si="3"/>
        <v>0.37309027777777781</v>
      </c>
      <c r="J59" s="2803" t="s">
        <v>2914</v>
      </c>
      <c r="K59" s="2805"/>
    </row>
    <row r="60" spans="2:11" ht="15.75">
      <c r="D60" s="2842" t="s">
        <v>2915</v>
      </c>
      <c r="E60" s="2959">
        <v>4.0506944444444448</v>
      </c>
      <c r="F60" s="2829">
        <v>12</v>
      </c>
      <c r="G60" s="2960">
        <f t="shared" si="3"/>
        <v>0.33755787037037038</v>
      </c>
      <c r="J60" s="443" t="s">
        <v>2916</v>
      </c>
      <c r="K60" s="2805"/>
    </row>
    <row r="61" spans="2:11" ht="15.75">
      <c r="D61" s="2825"/>
      <c r="E61" s="2843"/>
      <c r="J61" s="443" t="s">
        <v>2917</v>
      </c>
      <c r="K61" s="2805"/>
    </row>
    <row r="62" spans="2:11" ht="15.75">
      <c r="C62" s="2961"/>
      <c r="D62" s="2832" t="s">
        <v>2918</v>
      </c>
      <c r="E62" s="2833">
        <f>SUM(E49:E60)</f>
        <v>50.145138888888894</v>
      </c>
      <c r="F62" s="2962">
        <f>SUM(F49:F60)</f>
        <v>132</v>
      </c>
      <c r="G62" s="2963">
        <f t="shared" si="3"/>
        <v>0.37988741582491586</v>
      </c>
      <c r="J62" s="443" t="s">
        <v>2919</v>
      </c>
      <c r="K62" s="2805"/>
    </row>
    <row r="63" spans="2:11" ht="15">
      <c r="D63" s="2844"/>
      <c r="E63" s="2845"/>
      <c r="J63" s="2926" t="s">
        <v>723</v>
      </c>
      <c r="K63" s="2827" t="s">
        <v>2920</v>
      </c>
    </row>
    <row r="64" spans="2:11" ht="15.75">
      <c r="B64" s="2935"/>
      <c r="C64" s="2936"/>
      <c r="D64" s="2964" t="s">
        <v>2921</v>
      </c>
      <c r="E64" s="2965">
        <v>15</v>
      </c>
      <c r="F64" s="2936"/>
      <c r="G64" s="2906"/>
    </row>
    <row r="65" spans="2:13" ht="15.75">
      <c r="B65" s="2940"/>
      <c r="D65" s="2846"/>
      <c r="E65" s="2839">
        <f>E41*E64</f>
        <v>5.0000000000000009</v>
      </c>
      <c r="G65" s="2915"/>
      <c r="K65" s="2805"/>
    </row>
    <row r="66" spans="2:13" ht="15.75">
      <c r="B66" s="2940"/>
      <c r="D66" s="2834" t="s">
        <v>2922</v>
      </c>
      <c r="E66" s="2847">
        <v>10</v>
      </c>
      <c r="G66" s="2915"/>
    </row>
    <row r="67" spans="2:13" ht="15.75">
      <c r="B67" s="2946"/>
      <c r="C67" s="2955"/>
      <c r="D67" s="2848"/>
      <c r="E67" s="2838">
        <f>E41*E66</f>
        <v>3.3333333333333339</v>
      </c>
      <c r="F67" s="2955"/>
      <c r="G67" s="2957"/>
      <c r="J67" s="5783" t="s">
        <v>2598</v>
      </c>
      <c r="K67" s="5783"/>
      <c r="L67" s="5783"/>
    </row>
    <row r="68" spans="2:13" ht="15.75">
      <c r="D68" s="2825"/>
      <c r="E68" s="2839"/>
      <c r="J68" s="2966" t="s">
        <v>2599</v>
      </c>
      <c r="K68" s="2966"/>
      <c r="L68" s="2967">
        <v>0.29166666666666669</v>
      </c>
    </row>
    <row r="69" spans="2:13" ht="15.75">
      <c r="B69" s="2935"/>
      <c r="C69" s="2936"/>
      <c r="D69" s="2952" t="s">
        <v>2923</v>
      </c>
      <c r="E69" s="2953">
        <f>E62-E67</f>
        <v>46.811805555555559</v>
      </c>
      <c r="F69" s="2936"/>
      <c r="G69" s="2906"/>
      <c r="J69" s="2966" t="s">
        <v>2600</v>
      </c>
      <c r="K69" s="2966"/>
      <c r="L69" s="2967">
        <v>0.5</v>
      </c>
      <c r="M69" s="2849" t="s">
        <v>2924</v>
      </c>
    </row>
    <row r="70" spans="2:13" ht="15.75">
      <c r="B70" s="2940"/>
      <c r="D70" s="2834"/>
      <c r="E70" s="2839"/>
      <c r="G70" s="2915"/>
      <c r="J70" s="2966" t="s">
        <v>2601</v>
      </c>
      <c r="K70" s="2966"/>
      <c r="L70" s="2967">
        <v>0.54166666666666663</v>
      </c>
      <c r="M70" s="443" t="s">
        <v>2925</v>
      </c>
    </row>
    <row r="71" spans="2:13" ht="16.5" thickBot="1">
      <c r="B71" s="2940"/>
      <c r="D71" s="2834" t="str">
        <f>IF(E62&gt;E46,"CCR DOIT",IF(E46&gt;E62,"Vous devez",IF(E46=E62,"OK")))</f>
        <v>Vous devez</v>
      </c>
      <c r="E71" s="2839">
        <f>IF(E46=E69,0,IF(E46&gt;E69,E46-E69,IF(E69&gt;E46,E69-E46)))</f>
        <v>24.854861111111113</v>
      </c>
      <c r="G71" s="2915"/>
      <c r="J71" s="2966" t="s">
        <v>2602</v>
      </c>
      <c r="K71" s="2966"/>
      <c r="L71" s="2968">
        <v>0.70833333333333337</v>
      </c>
    </row>
    <row r="72" spans="2:13" ht="17.25" thickTop="1" thickBot="1">
      <c r="B72" s="2946"/>
      <c r="C72" s="2955"/>
      <c r="D72" s="2850" t="s">
        <v>2926</v>
      </c>
      <c r="E72" s="2851">
        <f>E71/E41</f>
        <v>74.564583333333331</v>
      </c>
      <c r="F72" s="2955"/>
      <c r="G72" s="2957"/>
      <c r="J72" s="2966" t="s">
        <v>2603</v>
      </c>
      <c r="K72" s="2966"/>
      <c r="L72" s="2969">
        <f>((L71-L68)-(L70-L69))*24</f>
        <v>9.0000000000000018</v>
      </c>
    </row>
    <row r="73" spans="2:13" ht="13.5" thickTop="1"/>
    <row r="74" spans="2:13">
      <c r="J74" s="443" t="s">
        <v>2927</v>
      </c>
    </row>
    <row r="75" spans="2:13">
      <c r="J75" s="443" t="s">
        <v>2928</v>
      </c>
    </row>
    <row r="76" spans="2:13">
      <c r="J76" s="443" t="s">
        <v>2929</v>
      </c>
    </row>
    <row r="77" spans="2:13">
      <c r="J77" s="443" t="s">
        <v>2930</v>
      </c>
    </row>
    <row r="81" spans="11:11">
      <c r="K81" s="2805"/>
    </row>
  </sheetData>
  <mergeCells count="3">
    <mergeCell ref="B1:G1"/>
    <mergeCell ref="Q1:W1"/>
    <mergeCell ref="J67:L67"/>
  </mergeCells>
  <hyperlinks>
    <hyperlink ref="R26" r:id="rId1" xr:uid="{00000000-0004-0000-0900-000000000000}"/>
    <hyperlink ref="K46" r:id="rId2" xr:uid="{00000000-0004-0000-0900-000001000000}"/>
    <hyperlink ref="K37" r:id="rId3" xr:uid="{00000000-0004-0000-0900-000002000000}"/>
    <hyperlink ref="K52" r:id="rId4" xr:uid="{00000000-0004-0000-0900-000003000000}"/>
    <hyperlink ref="K57" r:id="rId5" xr:uid="{00000000-0004-0000-0900-000004000000}"/>
    <hyperlink ref="K63" r:id="rId6" xr:uid="{00000000-0004-0000-0900-000005000000}"/>
  </hyperlinks>
  <pageMargins left="0.78740157499999996" right="0.78740157499999996" top="0.984251969" bottom="0.984251969" header="0.4921259845" footer="0.4921259845"/>
  <pageSetup paperSize="9" orientation="portrait" horizontalDpi="4294967292" r:id="rId7"/>
  <headerFooter alignWithMargins="0">
    <oddHeader>&amp;A</oddHeader>
    <oddFooter>Page &amp;P</oddFooter>
  </headerFooter>
  <drawing r:id="rId8"/>
  <legacy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37</vt:i4>
      </vt:variant>
      <vt:variant>
        <vt:lpstr>Plages nommées</vt:lpstr>
      </vt:variant>
      <vt:variant>
        <vt:i4>1</vt:i4>
      </vt:variant>
    </vt:vector>
  </HeadingPairs>
  <TitlesOfParts>
    <vt:vector size="38" baseType="lpstr">
      <vt:lpstr>Nota</vt:lpstr>
      <vt:lpstr>différence Portion et Poids</vt:lpstr>
      <vt:lpstr>aides cuisine</vt:lpstr>
      <vt:lpstr>aides patisserie</vt:lpstr>
      <vt:lpstr>conversions</vt:lpstr>
      <vt:lpstr>pourcentages</vt:lpstr>
      <vt:lpstr>Plat en sauce en 5 étapes</vt:lpstr>
      <vt:lpstr>Date et heure</vt:lpstr>
      <vt:lpstr>Jours ouvrés</vt:lpstr>
      <vt:lpstr>comparer des offres</vt:lpstr>
      <vt:lpstr>Boulangerie-comment</vt:lpstr>
      <vt:lpstr>Franck Barbenoire</vt:lpstr>
      <vt:lpstr>Matou.Matheux</vt:lpstr>
      <vt:lpstr>Adobe.Flash.Player</vt:lpstr>
      <vt:lpstr>Comprendre pour Transmettre</vt:lpstr>
      <vt:lpstr>Informations de base</vt:lpstr>
      <vt:lpstr>Introduction aux fonctions</vt:lpstr>
      <vt:lpstr>Moyenne</vt:lpstr>
      <vt:lpstr>MIN et MAX</vt:lpstr>
      <vt:lpstr>Combiner texte et nombres</vt:lpstr>
      <vt:lpstr>Instructions SI</vt:lpstr>
      <vt:lpstr>RECHERCHEV</vt:lpstr>
      <vt:lpstr>Fonctions conditionnelles</vt:lpstr>
      <vt:lpstr>Assistant Fonction</vt:lpstr>
      <vt:lpstr>Erreurs dans les formules</vt:lpstr>
      <vt:lpstr>relations formules</vt:lpstr>
      <vt:lpstr>des.sites.de.référence</vt:lpstr>
      <vt:lpstr>Formats-Formules-Fonctions</vt:lpstr>
      <vt:lpstr>Formules-Fonctions.2</vt:lpstr>
      <vt:lpstr>Epurer.un.texte</vt:lpstr>
      <vt:lpstr>Epurer un texte2</vt:lpstr>
      <vt:lpstr>Cuisiniers.Pesez</vt:lpstr>
      <vt:lpstr>Vocabulaire</vt:lpstr>
      <vt:lpstr>Polices de Symboles</vt:lpstr>
      <vt:lpstr>Emoticones </vt:lpstr>
      <vt:lpstr>Tutos Youtube</vt:lpstr>
      <vt:lpstr>CODES COULEURS</vt:lpstr>
      <vt:lpstr>'Comprendre pour Transmettre'!Zone_d_impression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Joel Leboucher</cp:lastModifiedBy>
  <dcterms:created xsi:type="dcterms:W3CDTF">2019-08-07T05:51:24Z</dcterms:created>
  <dcterms:modified xsi:type="dcterms:W3CDTF">2023-05-29T07:56:14Z</dcterms:modified>
</cp:coreProperties>
</file>